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1100" tabRatio="0" activeTab="1"/>
  </bookViews>
  <sheets>
    <sheet name="Диаграмма1" sheetId="1" r:id="rId1"/>
    <sheet name="Sheet1" sheetId="2" r:id="rId2"/>
  </sheets>
  <definedNames>
    <definedName name="_xlnm.Print_Area" localSheetId="1">'Sheet1'!$A$1:$P$1010</definedName>
  </definedNames>
  <calcPr fullCalcOnLoad="1"/>
</workbook>
</file>

<file path=xl/sharedStrings.xml><?xml version="1.0" encoding="utf-8"?>
<sst xmlns="http://schemas.openxmlformats.org/spreadsheetml/2006/main" count="1025" uniqueCount="573">
  <si>
    <t>Загальний фонд</t>
  </si>
  <si>
    <t>Спеціальний фонд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</si>
  <si>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</si>
  <si>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</si>
  <si>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</si>
  <si>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</si>
  <si>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</si>
  <si>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</si>
  <si>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</si>
  <si>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</si>
  <si>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</si>
  <si>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</si>
  <si>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</si>
  <si>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</si>
  <si>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</si>
  <si>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>% виконання за _______ до уточненого плану</t>
  </si>
  <si>
    <t>Всього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</si>
  <si>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</si>
  <si>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</si>
  <si>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</si>
  <si>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Тип показника: Витрати</t>
  </si>
  <si>
    <t>грн.</t>
  </si>
  <si>
    <t>Управління капітального будівництва та дорожнього господарства Сумської міської ради</t>
  </si>
  <si>
    <t xml:space="preserve">    Показник: обсяг видатків,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</si>
  <si>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</si>
  <si>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</si>
  <si>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</si>
  <si>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</si>
  <si>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</si>
  <si>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</si>
  <si>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</si>
  <si>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</si>
  <si>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ДІМ СМР</t>
  </si>
  <si>
    <t>УКБтаДГ СМР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</si>
  <si>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</si>
  <si>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</si>
  <si>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</si>
  <si>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</si>
  <si>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</si>
  <si>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</si>
  <si>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</si>
  <si>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</si>
  <si>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</si>
  <si>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</si>
  <si>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</si>
  <si>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</si>
  <si>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</si>
  <si>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</si>
  <si>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</si>
  <si>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</si>
  <si>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</si>
  <si>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середні витрати на  висадження 1 тис. од. квіткової розсади, грн.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</si>
  <si>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</si>
  <si>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</si>
  <si>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>Показник: кількість світлоточок, які планується утримувати, од.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</si>
  <si>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</si>
  <si>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</si>
  <si>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</si>
  <si>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</si>
  <si>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</si>
  <si>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</si>
  <si>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</si>
  <si>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</si>
  <si>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</si>
  <si>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</si>
  <si>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</si>
  <si>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</si>
  <si>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</si>
  <si>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</si>
  <si>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РАЗОМ </t>
  </si>
  <si>
    <t xml:space="preserve">    Показник: загальна площа тротуарів, що потребує капітального ремонту, кв. 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</si>
  <si>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</si>
  <si>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</si>
  <si>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тротуарів, грн.</t>
  </si>
  <si>
    <t xml:space="preserve">    Показник: площа дитячого парку "Казка", яку планується прибирати, га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</si>
  <si>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</si>
  <si>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</si>
  <si>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</si>
  <si>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</si>
  <si>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</si>
  <si>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</si>
  <si>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</si>
  <si>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</si>
  <si>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</si>
  <si>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</si>
  <si>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</si>
  <si>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</si>
  <si>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</si>
  <si>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</si>
  <si>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</si>
  <si>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</si>
  <si>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</si>
  <si>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</si>
  <si>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</si>
  <si>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</si>
  <si>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</si>
  <si>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</si>
  <si>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</si>
  <si>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</si>
  <si>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</si>
  <si>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</si>
  <si>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</si>
  <si>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</si>
  <si>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</si>
  <si>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</si>
  <si>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</si>
  <si>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</si>
  <si>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</si>
  <si>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</si>
  <si>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</si>
  <si>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 xml:space="preserve">    Показник: кількість науково-технічної продукції, од.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</si>
  <si>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</si>
  <si>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</si>
  <si>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</si>
  <si>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</si>
  <si>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</si>
  <si>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</si>
  <si>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</si>
  <si>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Показник:площа трави (амброзії), яку планується прополювати,  га</t>
  </si>
  <si>
    <t xml:space="preserve">    Показник:середні витрати на прополювання трави (амброзії), грн</t>
  </si>
  <si>
    <t>Показник: темп зростання середніх витрат на придбання однієї лавки порівняно з попереднім роком, %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</si>
  <si>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</si>
  <si>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</si>
  <si>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</si>
  <si>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</si>
  <si>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</si>
  <si>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</si>
  <si>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</si>
  <si>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</si>
  <si>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</si>
  <si>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</si>
  <si>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</si>
  <si>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</si>
  <si>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</si>
  <si>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</si>
  <si>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</si>
  <si>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</si>
  <si>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</si>
  <si>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Мета: Розробка технічних паспортів на багатоквартирні житлові будинки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</si>
  <si>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</si>
  <si>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</si>
  <si>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</si>
  <si>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</si>
  <si>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</si>
  <si>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</si>
  <si>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</si>
  <si>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</si>
  <si>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</si>
  <si>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КПКВК 7691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</si>
  <si>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</si>
  <si>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</si>
  <si>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</si>
  <si>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</si>
  <si>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 xml:space="preserve">    Показник: середня вартість,  грн.</t>
  </si>
  <si>
    <t>КПКВК 6017</t>
  </si>
  <si>
    <t xml:space="preserve"> КПКВК 3210</t>
  </si>
  <si>
    <t xml:space="preserve">    Показник: середні витрати на  висадження одного дерева та посадку куща, грн.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</si>
  <si>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</si>
  <si>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</si>
  <si>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</si>
  <si>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</si>
  <si>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</si>
  <si>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</si>
  <si>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</si>
  <si>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</si>
  <si>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</si>
  <si>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</si>
  <si>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</si>
  <si>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</si>
  <si>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</si>
  <si>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</si>
  <si>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 xml:space="preserve">    Показник: кількість , од.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</si>
  <si>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</si>
  <si>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</si>
  <si>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</si>
  <si>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</si>
  <si>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</si>
  <si>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</si>
  <si>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</si>
  <si>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</si>
  <si>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</si>
  <si>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</si>
  <si>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</si>
  <si>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 xml:space="preserve"> Сумський міський голова </t>
  </si>
  <si>
    <t xml:space="preserve"> Завдання: 48. Встановлення вузлів  комерційного обліку </t>
  </si>
  <si>
    <t xml:space="preserve">комунального господарства Сумської міської </t>
  </si>
  <si>
    <t>на 2021-2023 роки</t>
  </si>
  <si>
    <t xml:space="preserve">    Показник: середня вартість будівництва, реконструкції та реставрації для одного об'єкта,  грн.</t>
  </si>
  <si>
    <t>Мета: Забезпечення надійного та безперебійного функціонування житлово – комунального господарства</t>
  </si>
  <si>
    <t xml:space="preserve">    Мета:  Забезпечення демонтажу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 </t>
  </si>
  <si>
    <t xml:space="preserve">    Показник: обсяг видатків на  проведення демонтажу об'єктів без відключення від мережі електропостачання, грн.</t>
  </si>
  <si>
    <t xml:space="preserve">    Показник: обсяг видатків за послуги із відключення об'єктів від мережі електропостачання , грн.</t>
  </si>
  <si>
    <t xml:space="preserve">    Показник: обсяг видатків за послуги із доставки демонтованих об'єктів на майданчик тимчасового зберігання , грн.</t>
  </si>
  <si>
    <t xml:space="preserve">    Показник: обсяг видатків за послуги з прибирання території (від сміття, що залишилось після демонтажу), в т.ч. вивезення на полігон та утилізація, грн.</t>
  </si>
  <si>
    <t xml:space="preserve">    Показник: середня вартість однієї години демонтажу об'єктів без відключення від мережі електропостачання , грн.</t>
  </si>
  <si>
    <t xml:space="preserve">    Показник: середня вартість однієї години послуги з відключення об'єктів від мережі електропостачання , грн.</t>
  </si>
  <si>
    <t xml:space="preserve">    Показник: середня вартість однієї години послуги з доставки демонтованих об'єктів на майданчик тимчасового зберігання , грн.</t>
  </si>
  <si>
    <t xml:space="preserve">    Показник: середня вартість прибирання , вивезення на полігон та утилізації одного куб.м. сміття на території  , грн.</t>
  </si>
  <si>
    <t xml:space="preserve">  Завдання: 4.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</si>
  <si>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  Показник: обсяг видатків на оплату послуги зберігання об'єктів, грн.</t>
  </si>
  <si>
    <t xml:space="preserve">    Показник: термін зберігання, міс.</t>
  </si>
  <si>
    <t xml:space="preserve">    Показник: середньомісячна вартість послуги зберігання, грн.</t>
  </si>
  <si>
    <t xml:space="preserve">    Мета: 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</si>
  <si>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  Показник: обсяг видатків на придбання та виготовлення  рекламних матеріалів до святкових та урочистих подій , грн.</t>
  </si>
  <si>
    <t xml:space="preserve">    Показник: обсяг видатків на придбання та виготовлення рекламних матеріалів  соціального характеру, грн.</t>
  </si>
  <si>
    <t xml:space="preserve"> Показник: обсяг видатків на розробку/коригування макетів для друку рекламного матеріалу </t>
  </si>
  <si>
    <t xml:space="preserve">    Показник: загальна кількість святкових та урочистих подій, які підлягають святковому оформленню, од. </t>
  </si>
  <si>
    <t xml:space="preserve">    Показник: загальна кількість заходів з розміщення соціальної реклами, од. </t>
  </si>
  <si>
    <t xml:space="preserve">Показник: загальна кількість розробки/коригування макетів для друку рекламного матеріалу, од. </t>
  </si>
  <si>
    <t xml:space="preserve">    Показник: середня вартість розробка/коригування одного макету для друку рекламного матеріалу </t>
  </si>
  <si>
    <t xml:space="preserve">    Показник: обсяг видатків на демонтаж (розбирання, знесення) рекламних засобів на висоті до 3 метрів, грн.</t>
  </si>
  <si>
    <t xml:space="preserve">    Показник: обсяг видатків на демонтаж (розбирання, знесення) рекламних засобів на висоті вище 3 метрів, грн.</t>
  </si>
  <si>
    <t xml:space="preserve">    Показник: обсяг видатків на демонтаж (розбирання, знесення) великоформатних рекламних засобів (типу «біг-борд» та ін.) , грн.</t>
  </si>
  <si>
    <t xml:space="preserve">    Показник: обсяг видатків за послуги із доставки демонтованих рекламних засобів на майданчик тимчасового зберігання , грн.</t>
  </si>
  <si>
    <t xml:space="preserve">    Показник: обсяг видатків за послуги із відключення від мережі електропостачання , грн.</t>
  </si>
  <si>
    <t xml:space="preserve">    Показник: кількість часу витраченого на демонтаж (розбирання, знесення) великоформатних рекламних засобів (типу «біг-борд» та ін.) , год.</t>
  </si>
  <si>
    <t xml:space="preserve">    Показник: кількість часу витраченого на доставку демонтованих рекламних засобів на майданчик тимчасового зберігання , год.</t>
  </si>
  <si>
    <t xml:space="preserve">    Показник: кількість часу витраченого на відключення від мережі електропостачання , год.</t>
  </si>
  <si>
    <t xml:space="preserve">    Показник: кількість куб.м. прибраного на території сміття</t>
  </si>
  <si>
    <t xml:space="preserve">    Показник: середня вартість однієї години демонтажу (розбирання, знесення) рекламних засобів на висоті до 3 метрів , грн.</t>
  </si>
  <si>
    <t xml:space="preserve">    Показник: середня вартість однієї години демонтажу (розбирання, знесення) рекламних засобів на висоті вище 3 метрів, грн.</t>
  </si>
  <si>
    <t xml:space="preserve">    Показник: середня вартість однієї години демонтажу (розбирання, знесення) великоформатних рекламних засобів (типу «біг-борд» та ін.), грн.</t>
  </si>
  <si>
    <t xml:space="preserve">    Показник: середня вартість однієї години послуги з доставки демонтованих рекламних засобів на майданчик тимчасового зберігання , грн.</t>
  </si>
  <si>
    <t xml:space="preserve">    Показник: середня вартість однієї години послуги з відключення від мережі електропостачання , грн.</t>
  </si>
  <si>
    <t xml:space="preserve">    Показник: середня вартість прибирання, вивезення на полігон та утилізації одного куб.м. сміття на території  , грн.</t>
  </si>
  <si>
    <t>КПКВК  6090</t>
  </si>
  <si>
    <t>Тип показника: Ефективності</t>
  </si>
  <si>
    <t xml:space="preserve"> Показник: середня вартість 1  відшкодування майнової шкоди, охорони новорічних ялинок, грн.</t>
  </si>
  <si>
    <t xml:space="preserve">    Показник: середня вартість проведення санації,  грн.</t>
  </si>
  <si>
    <t xml:space="preserve">    Показник: середня вартість проведення поточного ремонту,  грн.</t>
  </si>
  <si>
    <t xml:space="preserve"> Показник: кількість колодязів, по яких буде проведено поточний ремонт, од</t>
  </si>
  <si>
    <t>Тип показника: Продукту</t>
  </si>
  <si>
    <t xml:space="preserve"> Показник: обсяг видатків, грн.</t>
  </si>
  <si>
    <t>Показник: обсяг видатків, грн.</t>
  </si>
  <si>
    <t>Показник: кількість святкових корзин, які необхідно виготовити, од</t>
  </si>
  <si>
    <t>Показник: середня вартість виготовлення 1 корзини, грн.</t>
  </si>
  <si>
    <t>Показник: кількість розроблиних звітів з оцінки впливу на довкілля, од</t>
  </si>
  <si>
    <t>Показник: середня вартість 1 звіту, грн.</t>
  </si>
  <si>
    <t>Показник: кількість покажчиків, од</t>
  </si>
  <si>
    <t>Показник: середня 1 послуги, грн.</t>
  </si>
  <si>
    <t>Показник:  кількість щитів, од.</t>
  </si>
  <si>
    <t>Показник: середня вартість 1 послуги  грн.</t>
  </si>
  <si>
    <t>Показник: кількість проєктів, од</t>
  </si>
  <si>
    <t>Показник: середня вартість проєкту , грн.</t>
  </si>
  <si>
    <t>Показник: кількість, од</t>
  </si>
  <si>
    <t>Показник: середня вартість 1 заходу, грн.</t>
  </si>
  <si>
    <t>Показник: кількість послуг, од</t>
  </si>
  <si>
    <t>Показник: середня вартість 1 послуги, грн.</t>
  </si>
  <si>
    <t xml:space="preserve">Мета:  Забезпечення святкового оформлення міста до пам'ятних та історичних дат, культурно-мистецьких, релігійних, інших святкових заходів та інша діяльність у сфері житлово-комунального господарства </t>
  </si>
  <si>
    <t>КПКВК 6011</t>
  </si>
  <si>
    <t>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</si>
  <si>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Показник:вартість капітального ремонту житлового фонду (будинку), грн.</t>
  </si>
  <si>
    <t>Показник: кількість позичальників, що отримали відшкодування відсоткових ставок, од.</t>
  </si>
  <si>
    <t>КПКВК 7310</t>
  </si>
  <si>
    <t>КПКВК 7330</t>
  </si>
  <si>
    <t>КПКВК 7340</t>
  </si>
  <si>
    <t xml:space="preserve">    Мета: Проведення проектування, реставраціъ та охорони пам'яток архітектури</t>
  </si>
  <si>
    <t xml:space="preserve">    Мета: Проведення будівництва інших об'єктів комунальної власності </t>
  </si>
  <si>
    <t xml:space="preserve">    Показник: вартість садіння дерев та кущів, створення газонів  на території територыальноъ громади</t>
  </si>
  <si>
    <t xml:space="preserve">    Показник: середні витрати на садіння 1 дерева/ куща, грн.</t>
  </si>
  <si>
    <t>Показник: довжина мереж зовнішнього освітлення, на якій проведено капітальний ремонт, км</t>
  </si>
  <si>
    <t xml:space="preserve"> Показник: обсяг видатків на утримання кладовищ, грн.</t>
  </si>
  <si>
    <t>Показник: кількість кладовищ, які  планується утримувати, од</t>
  </si>
  <si>
    <t>Показник: середньорічні витрати на утримання 1 кладовища, грн.</t>
  </si>
  <si>
    <t xml:space="preserve"> Показник:  видатки на поточний ремонт, утримання місць поховань та елементів благоустрою, грн</t>
  </si>
  <si>
    <t>Показник: кількість кладовищ, на яких планується  проводити поточний ремонт, утримання місць поховань та елементів благоустрою , од</t>
  </si>
  <si>
    <t>Показник: середньорічні витрати на поточний ремонт, утримання місць поховань та елементів благоустрою на  1 кладовищі, грн.</t>
  </si>
  <si>
    <t xml:space="preserve"> Показник:  видатки по забезпеченню діяльності спецслужби, грн</t>
  </si>
  <si>
    <t>Показник: середні витрати на один виїзд спецслужби, грн.</t>
  </si>
  <si>
    <t xml:space="preserve"> Показник: видатки на забезпечення поховання безрідних, грн</t>
  </si>
  <si>
    <t xml:space="preserve"> Показник: видатки на забезпечення сервісного обслуговування водогонів, грн</t>
  </si>
  <si>
    <t>Показник: кількість водогонів, чол.</t>
  </si>
  <si>
    <t>Показник: середня вартість сервісного обслуговування 1 водогону, грн.</t>
  </si>
  <si>
    <t xml:space="preserve"> Показник: видатки на улаштування водогонів грн</t>
  </si>
  <si>
    <t>Показник: середня вартість  улаштування 1 водогону, грн.</t>
  </si>
  <si>
    <t xml:space="preserve"> Тип показника: Продукту</t>
  </si>
  <si>
    <t>Показник: видатки на послуги зі збирання безпечних відходів, непридатних для вторинного використання (прибирання урн від сміття по місту), грн</t>
  </si>
  <si>
    <t>Показник: видатки на послуги з утримання в належному стані об'єктів благоустрою міста Суми (утримання зупинок громадського транспорту)</t>
  </si>
  <si>
    <t>Показник: кількість зупинок громадського транспорту, од.</t>
  </si>
  <si>
    <t xml:space="preserve">Мета: Підвищення рівня благоустрою міста, підвищення експлуатаційних властивостей житлового фонду </t>
  </si>
  <si>
    <t xml:space="preserve">    Показник: середня вартість робіт по співфінансуванню робіт з капітального ремонту житлового фонду (будинку), грн.</t>
  </si>
  <si>
    <t>Показник: середня вартість буклетів для здійснення просвітницької діяльності серед населення, грн.</t>
  </si>
  <si>
    <t>Показник: кількість буклетів для здійснення просвітницької діяльності серед населення, од</t>
  </si>
  <si>
    <t>Показник: кількість колодязів, по яких буде проведена санація, од</t>
  </si>
  <si>
    <t>Показник: середня вартість1 куб.м. спожитотого прородного газу, грн.</t>
  </si>
  <si>
    <t xml:space="preserve"> Тип показника: Ефективності</t>
  </si>
  <si>
    <t xml:space="preserve"> Показник: кількість , од.</t>
  </si>
  <si>
    <t>Показник: середня вартість,  грн.</t>
  </si>
  <si>
    <t xml:space="preserve">    Показник: кількість об'єктів, яка охоплена поточним та капітальним ремонтом, шт.</t>
  </si>
  <si>
    <t xml:space="preserve"> Показник: обсяг видатків на поточний ремонт та улаштування огорож, грн.</t>
  </si>
  <si>
    <t>Показник: кількість огорож, од</t>
  </si>
  <si>
    <t>Показник: середні витрати на поточний ремонт та улаштування 1 огорожі, грн.</t>
  </si>
  <si>
    <t xml:space="preserve"> Показник: обсяг видатків на поточний та капітальний ремонт зупинок громадського транспорту, грн.</t>
  </si>
  <si>
    <t>Показник: кількість зупинок громадського транспорту, од</t>
  </si>
  <si>
    <t>Показник: середні витрати на поточний  та капітальний ремонт 1 зупинки громадського транспорту, грн.</t>
  </si>
  <si>
    <t xml:space="preserve"> Показник: обсяг видатків на  проведення обстеження та екпертизи мостів та шляхопроводів, грн.</t>
  </si>
  <si>
    <t>Показник: кількість обстежень та екпертиз мостів та шляхопроводів, од</t>
  </si>
  <si>
    <t>Показник: середні витрати на  проведення обстеження та екпертизи мостів та шляхопроводів, грн.</t>
  </si>
  <si>
    <t xml:space="preserve"> Показник: обсяг видатків на  проведення інвентаризації та  паспортизації  левневих мереж міста (електронна мапа), грн.</t>
  </si>
  <si>
    <t>Показник: од</t>
  </si>
  <si>
    <t>Показник: середні витрати, грн.</t>
  </si>
  <si>
    <t xml:space="preserve"> Показник: обсяг видатків на  проведення технічної інвентаризації та паспортизації доріг, грн.</t>
  </si>
  <si>
    <t>Показник: середні витрати на проведення технічної інвентаризації та паспортизації доріг, грн.</t>
  </si>
  <si>
    <t xml:space="preserve"> Показник: обсяг видатків на  розроблення схеми дислокації дорожніх знаків та організації безпеки руху, грн.</t>
  </si>
  <si>
    <t>Показник: середні витрати на розроблення схеми дислокації дорожніх знаків та організації безпеки руху, грн.</t>
  </si>
  <si>
    <t xml:space="preserve"> Показник: обсяг видатків на  проведення капітального ремонту об'єктів транспортної інфраструктури , грн.</t>
  </si>
  <si>
    <t>Показник:кількість об'єктів транспортної інфраструктури, що потребують капітального ремонту, од</t>
  </si>
  <si>
    <t xml:space="preserve"> Показник: обсяг видатків на проведення поточного та капітального ремонту  (встановлення) технічних засобів регулювання дорожнім рухом, грн.</t>
  </si>
  <si>
    <t>Показник: кількість засобів регулювання дорожнім рухом, од</t>
  </si>
  <si>
    <t>Показник: середні витрати на проведення поточного та капітального ремонту  (встановлення) технічних засобів регулювання дорожнім рухом, грн.</t>
  </si>
  <si>
    <t xml:space="preserve"> Показник: обсяг видатків на проведення ремонту та обслуговування технічних засобів регулювання дорожнім рухом, грн.</t>
  </si>
  <si>
    <t>Показник: середні витрати на проведення ремонту та обслуговування технічних засобів регулювання дорожнім рухом, грн.</t>
  </si>
  <si>
    <t>Показник:  од</t>
  </si>
  <si>
    <t>Показник: середні витрати на проведення капітального ремонту об'єктів транспортної інфраструктури , грн.</t>
  </si>
  <si>
    <t xml:space="preserve"> Показник: обсяг видатків на  проведення капітального ремонту парків, скверів тощо , грн.</t>
  </si>
  <si>
    <t>Показник:кількість парків, скверів тощо , що потребують капітального ремонту, од</t>
  </si>
  <si>
    <t>Показник: середні витрати на проведення капітального ремонту парків, скверів тощо , грн.</t>
  </si>
  <si>
    <t xml:space="preserve">    Показник: середні витрати на догляд за деревами та кущами, грн.</t>
  </si>
  <si>
    <t xml:space="preserve">    Показник: кількість дерев та кущів, за якими планується догляд од.</t>
  </si>
  <si>
    <t xml:space="preserve">    Показник: середні витрати на утримання парків, скверів міста, зелених зон та пляжів, грн.</t>
  </si>
  <si>
    <t xml:space="preserve">    Показник: територія парків, скверів міста, зелених зон та пляжів, на якій планується утримання, од.</t>
  </si>
  <si>
    <t xml:space="preserve">    Показник: площа газонів, яку планується утримувати, га</t>
  </si>
  <si>
    <t xml:space="preserve"> Показник: обсяг видатків на  проведення  поточного ремонту  малих архітектурних форм та споруд благоустрою у парках, скверах та зелених зонах, грн.</t>
  </si>
  <si>
    <t>Показник: кількість малих архітектурних форм та споруд благоустрою у парках, скверах та зелених зонах, що потребують поточного ремонту, од</t>
  </si>
  <si>
    <t>Показник: середні витрати на проведення поточного ремонту малих архітектурних форм та споруд благоустрою у парках, скверах та зелених зонах , грн.</t>
  </si>
  <si>
    <t xml:space="preserve"> Показник: обсяг видатків на  проведення утримання майданчику для складування відходів по вул. М.Лукаша, грн.</t>
  </si>
  <si>
    <t>Показник: середні витрати на утримання 1 місяця майданчику для складування відходів по вул. М.Лукаша , грн.</t>
  </si>
  <si>
    <t>Показник: середні витрати на догляд за 1 од. троянди</t>
  </si>
  <si>
    <t xml:space="preserve"> Показник: обсяг видатків на  встановлення паркових лавочок в дитячому парку "Казка", грн.</t>
  </si>
  <si>
    <t>Показник: кількість паркових лавочок в дитячому парку "Казка", які планується встановити, од</t>
  </si>
  <si>
    <t>Показник: середні витрати на встановлення паркових лавочок в дитячому парку "Казка", грн.</t>
  </si>
  <si>
    <t xml:space="preserve">    Показник: кількість троянд, за якими планується провести догляд,. од.</t>
  </si>
  <si>
    <t>Показник: середні витрати на утримання туалету на території дитячого "Казка</t>
  </si>
  <si>
    <t>Показник: кількість туалетів на території дитячого "Казка, які планується утримувати</t>
  </si>
  <si>
    <t xml:space="preserve">    Показник: середні витрати на  прибирання 1 га території дитячого парку "Казка",  грн.</t>
  </si>
  <si>
    <t xml:space="preserve">    Показник: середні витрати на  догляд 1 дерева на  території дитячого парку "Казка",  грн.</t>
  </si>
  <si>
    <t xml:space="preserve">    Показник: кількість дерев на території дитячого парку "Казка", які планується доглянути,од</t>
  </si>
  <si>
    <t xml:space="preserve">    Показник: кількість дерев на території дитячого парку "Казка", які планується висадити,од</t>
  </si>
  <si>
    <t xml:space="preserve">    Показник: середні витрати на  висадку 1 дерева на  території дитячого парку "Казка",  грн.</t>
  </si>
  <si>
    <t xml:space="preserve">    Показник: кількість квітників на території дитячого парку "Казка", які планується улаштувати,од</t>
  </si>
  <si>
    <t xml:space="preserve">    Показник: середні витрати на улаштування 1 тис.од. квіткової розсали на  території дитячого парку "Казка",  грн.</t>
  </si>
  <si>
    <t xml:space="preserve">    Показник: площа газонів, яку планується відновити (створити), га.</t>
  </si>
  <si>
    <t>Показник: середні витрати на  відновлення  (створення) 1 га газонів,грн.</t>
  </si>
  <si>
    <t xml:space="preserve">    Показник: кількість парків, скверів міста, зелених зон та пляжів, на якій планується утримання, од.</t>
  </si>
  <si>
    <t xml:space="preserve">    Показник: кількість дерев та кущів, які потребують догляду, од.</t>
  </si>
  <si>
    <t xml:space="preserve">    Показник: Питома вага утриманої териорії до території, що підлягає утриманню, %</t>
  </si>
  <si>
    <t xml:space="preserve">    Показник: Питома вага дерев та кущів, які потребують догляду до загальної їх кількості , %,</t>
  </si>
  <si>
    <t xml:space="preserve">    Показник: площа дитячого парку "Казка", що підлягає прибиранню,  га</t>
  </si>
  <si>
    <t xml:space="preserve">    Показник: Площа газонів, яку необхідно утримувати, га</t>
  </si>
  <si>
    <t>Показник: площа трави (амброзії), що підлягає прополюванню,  га</t>
  </si>
  <si>
    <t>Показник: площа газонів, які планується відновити (створити), га</t>
  </si>
  <si>
    <t xml:space="preserve">    Показник: кількість зелених насаджень (дерев та кущів), що планується висадити , од.</t>
  </si>
  <si>
    <t xml:space="preserve">    Показник: середні витрати на утримання 1 га газонів, грн.</t>
  </si>
  <si>
    <t xml:space="preserve"> Показник: видатки на встановлення стаціонарних туалетів на кладовищах,  грн</t>
  </si>
  <si>
    <t>Показник: кількість туалетів, чол.</t>
  </si>
  <si>
    <t>Показник: середня вартість  встановлення 1 туалету, грн.</t>
  </si>
  <si>
    <t>Показник: середня вартість одного заходу з утримання в належному стані об'єктів благоустрою міста Суми (утримання зупинок громадського транспорту), грн.</t>
  </si>
  <si>
    <t xml:space="preserve">    Показник: видатки на придбання та встановлення урн, грн</t>
  </si>
  <si>
    <t xml:space="preserve">    Показник: кількість урн, які планується придбати та встановити, од.</t>
  </si>
  <si>
    <t xml:space="preserve">    Показник: середня вартість придбання та встановлення однієї урни, грн.</t>
  </si>
  <si>
    <t xml:space="preserve">    Показник: видатки на бирання та вивезення сміття на території Сумської міської територіальної громади (після проведення місячника благоустрою), грн</t>
  </si>
  <si>
    <t>Показник: об'єм сміття, який планується зібрати та вивезти, м3.</t>
  </si>
  <si>
    <t xml:space="preserve">    Показник: середня вартість збирання та вивезення 1 м3 сміття, грн.</t>
  </si>
  <si>
    <t xml:space="preserve">    Показник: видатки на догляд за об'єктами благоустрою загального користування: ліквідація несанкціонованих і неконтрольованих звалищ відходів , грн</t>
  </si>
  <si>
    <t xml:space="preserve">    Показник: видатки на проведення санітарних заходів у прибережних смугах річок Псел, Сумка, Стрілка, озера Чеха та ін. водних об’єктів , грн</t>
  </si>
  <si>
    <t>Показник: площа території, на якій проводиться благоустрій, тис.м2.</t>
  </si>
  <si>
    <t xml:space="preserve">    Показник: витрати на одиницю показника продукту, грн./тис.м2 </t>
  </si>
  <si>
    <t xml:space="preserve">    Показник: видатки на проведення технічного обслуговування насосної станції по вул.Круговій та по вул.Тихорецька , грн</t>
  </si>
  <si>
    <t xml:space="preserve">    Показник: середні витрати на один місяць безперебійної роботи насосних станцій по вул. Тихорецька та вул. Кругова, грн
</t>
  </si>
  <si>
    <t xml:space="preserve">    Показник: видатки на проведення спостереження, технічного обслуговування та поточного ремонту системи санкціонованого проїзду на перехресті провул. Терезова та вул. Воскресенської в м.Суми , грн</t>
  </si>
  <si>
    <t xml:space="preserve">    Показник: середні витрати на один місяць безперебійної роботи  системи санкціонованого проїзду на перехресті провул. Терезова та вул. Воскресенської в м.Суми, грн.
</t>
  </si>
  <si>
    <t xml:space="preserve">    Показник: середня вартість одного заходу з поточного ремонту об'єктів та елементів благоустрою на рік, грн.</t>
  </si>
  <si>
    <t xml:space="preserve">    Показник: середня вартість одного заходу з утримання об'єктів та елементів благоустрою на рік, грн.</t>
  </si>
  <si>
    <t xml:space="preserve"> Показник: видатки на придбання та встановлення нових лавок, грн</t>
  </si>
  <si>
    <t xml:space="preserve"> Тип показника: Якості</t>
  </si>
  <si>
    <t xml:space="preserve"> Показник: видатки на технічне обслуговування та поточний ремонт фонтанів, грн</t>
  </si>
  <si>
    <t>Показник: середня вартість технічного обслуговування та поточного ремонту 1 фонтану, грн.</t>
  </si>
  <si>
    <t>Показник: темп зростання середніх витрат на технічне обслуговування та поточний ремонт фонтанів порівняно з попереднім роком, %</t>
  </si>
  <si>
    <t xml:space="preserve">  Показник: кількість фонтанів, од.</t>
  </si>
  <si>
    <t xml:space="preserve"> Показник: видатки на забезпечення водопостачання фонтанів, грн</t>
  </si>
  <si>
    <t>Показник: середня вартість 1м3 води, грн.</t>
  </si>
  <si>
    <t>Показник: темп зростання середніх витрат на забезпечення водопостачання фонтанів порівняно з попереднім роком, %</t>
  </si>
  <si>
    <t>Показник: об'єм води, необхідний для забезпечення фонтанів, м3.</t>
  </si>
  <si>
    <t xml:space="preserve"> Показник: видатки на забезпечення утримання та поточного ремонту дитячих та спортивних майданчиків, грн</t>
  </si>
  <si>
    <t>Показник: кількість дитячих та спортивних майданчиків, що підлягають утриманню та поточному ремонту, од</t>
  </si>
  <si>
    <t>Показник: середня вартість утримання та поточного ремонту дитячого та спортивного майданчику, грн.</t>
  </si>
  <si>
    <t>Показник: темп зростання середніх витрат на забезпечення утримання та поточного ремонту дитячого та спортивного майданчиків порівняно з попереднім роком, %</t>
  </si>
  <si>
    <t xml:space="preserve"> Показник: видатки на забезпечення технічного обслуговування  камер відеоспостереження , грн</t>
  </si>
  <si>
    <t>Показник: середні витрати на один місяць технічного обслуговування камер відеоспостереження, грн.</t>
  </si>
  <si>
    <t>Показник: темп зростання середніх витрат на забезпечення одного місяця технічного обслуговування  камер відеоспостереження  порівняно з попереднім роком, %</t>
  </si>
  <si>
    <t xml:space="preserve"> Показник: видатки на забезпечення  функціонування громадських вбиралень , грн</t>
  </si>
  <si>
    <t>Показник: кількість туалетів, які планується утримувати</t>
  </si>
  <si>
    <t>Показник: темп зростання середніх витрат на функціонування громадських вбиралень  порівняно з попереднім роком, %</t>
  </si>
  <si>
    <t xml:space="preserve"> Показник: видатки на забезпечення  поточного ремонту малих архітектурних форм на території Сумської міської територіальної громади , грн</t>
  </si>
  <si>
    <t>Показник: кількість малих архітектурних форм, що потребують поточного ремонту, од.</t>
  </si>
  <si>
    <t>Показник: середні витрати на проведення поточного ремонту 1 малої архітектурної форми, грн.</t>
  </si>
  <si>
    <t xml:space="preserve"> Показник: видатки на створення електронної мапи благоустрою міста Суми , грн</t>
  </si>
  <si>
    <t>Показник: кількість електронних мап благоустрою міста Суми, од.</t>
  </si>
  <si>
    <t>Показник: середні витрати на створення електронної мапи благоустрою міста Суми, грн.</t>
  </si>
  <si>
    <t xml:space="preserve">  Завдання: 1.15. Забезпечення проведення капітального ремонту об'єктів транспортної інфраструктури </t>
  </si>
  <si>
    <t xml:space="preserve">  Завдання: 3.2. Забезпечення проведення поточного ремонту  малих архітектурних форм та споруд благоустрою у парках, скверах та зелених зонах </t>
  </si>
  <si>
    <t xml:space="preserve">  Завдання: 3.3. Забезпечення проведення утримання майданчику для складування відходів по вул. М. Лукаша</t>
  </si>
  <si>
    <t xml:space="preserve">  Завдання: 3.4. Забезпечення встановлення паркових лавочок в дитячому парку "Казка"</t>
  </si>
  <si>
    <t xml:space="preserve">  Завдання: 3.5. Забезпечення проведення капітального ремонту  парків, скверів тощо</t>
  </si>
  <si>
    <t xml:space="preserve"> Завдання: 4. Забезпечення благоустрою кладовищ, діяльності спецслужби, поховання безрідних Сумської міської територіальної громади та організація громадських робіт</t>
  </si>
  <si>
    <t xml:space="preserve"> Завдання: 4.1. Забезпечення утримання кладовищ</t>
  </si>
  <si>
    <t xml:space="preserve"> Завдання: 4.2. Забезпечення поточного ремонту, утримання місць поховань та елементів благоустрою</t>
  </si>
  <si>
    <t xml:space="preserve"> Завдання: 4.3. Забезпечення діяльності спецслужби</t>
  </si>
  <si>
    <t xml:space="preserve"> Завдання: 4.4. Забезпечення поховання безрідних</t>
  </si>
  <si>
    <t xml:space="preserve"> Завдання: 4.5. Забезпечення сервісного обслуговування водогонів</t>
  </si>
  <si>
    <t xml:space="preserve"> Завдання: 4.6. Улаштування водогону на Аварійному  та Ново-Центрально Баранівськом кладовищах</t>
  </si>
  <si>
    <t xml:space="preserve">  Завдання: 5.1. Забезпечення санітарної очистки території міста Суми (послуги зі збирання безпечних відходів, непридатних для вторинного використовування (прибирання урн від сміття по місту)</t>
  </si>
  <si>
    <t xml:space="preserve">  Завдання: 5.2. Забезпечення утримання в належному стані об'єктів благоустрою міста Суми (утримання зупинок громадського транспорту)</t>
  </si>
  <si>
    <t xml:space="preserve">  Завдання: 5.3. Забезпечення придбання та встановлення урн </t>
  </si>
  <si>
    <t xml:space="preserve">  Завдання: 5.6. Проведення санітарних заходів у прибережних смугах річок Псел, Сумка, Стрілка, озера Чеха та ін. водних об’єктів </t>
  </si>
  <si>
    <t xml:space="preserve">  Завдання: 6. Поточний ремонт та утримання в належному стані об'єктів благоустрою </t>
  </si>
  <si>
    <t xml:space="preserve">  Завдання: 6.2. Спостереження, технічне обслуговування та поточний ремонт системи санкціонованого проїзду на перехресті провул. Терезова та вул. Воскресенської в м.Суми</t>
  </si>
  <si>
    <t xml:space="preserve">  Завдання: 6.5. Технічне обслуговування та поточний ремонт фонтанів</t>
  </si>
  <si>
    <t xml:space="preserve">  Завдання: 6.6. Забезпечення водопостачання фонтанів</t>
  </si>
  <si>
    <t xml:space="preserve">  Завдання: 6.7. Забезпечення утримання та поточного ремонту дитячих та спортивних майданчиків</t>
  </si>
  <si>
    <t>Завдання: 7. Забезпечення сприятливих умов для співіснування людей та тварин</t>
  </si>
  <si>
    <t xml:space="preserve">  Завдання: 8. Капітальний ремонт об'єктів та елементів благоустрою на загальних об'єктах</t>
  </si>
  <si>
    <t xml:space="preserve"> КПКВК 6030</t>
  </si>
  <si>
    <t xml:space="preserve">  Завдання: 9.1.  Проведення капітального ремонту житлових будинків</t>
  </si>
  <si>
    <t xml:space="preserve">  Завдання: 9.2. Співфінансування капітального ремонту житлового фонду</t>
  </si>
  <si>
    <t xml:space="preserve">  Завдання: 10. Забезпечення святкового оформлення міста до пам'ятних та історичних дат, культурно-мистецьких, релігійних та інших заходів Сумської міської  територіальної громади</t>
  </si>
  <si>
    <t xml:space="preserve"> Завдання: 11.9. Проведення інформайійно-розяснювальної роботи серед населення щодо роздільного збору ТПВ</t>
  </si>
  <si>
    <t xml:space="preserve">  Завдання: 12.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</si>
  <si>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Завдання: 12.1. Придбання та виготовлення рекламних матеріалів  соціального характеру, рекламних матеріалів до святкових та урочистих подій </t>
  </si>
  <si>
    <t xml:space="preserve">  Завдання: 12. 2. Демонтаж  рекламних засобів, розміщених самовільно та з порушенням порядку розміщення зовнішньої реклами на території Сумської міської об'єднаної територіальної громади</t>
  </si>
  <si>
    <t xml:space="preserve">  Завдання: 12.3.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</t>
  </si>
  <si>
    <t xml:space="preserve">  Завдання: 11.17. Орендна плата за користування земельною ділянкою полігону для розміщення твердих побутових відходів III черги</t>
  </si>
  <si>
    <t xml:space="preserve">  Завдання: 25. Повернення бюджетних позичок на поворотній основі</t>
  </si>
  <si>
    <t>Показник: сума видатків на поточний ремонт  проїздів, тротуарів, велосипедних доріжок, грн</t>
  </si>
  <si>
    <t xml:space="preserve">    Показник: площа проїздів, тротуарів, велосипедних доріжок,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</si>
  <si>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велосипедних доріжок, грн.</t>
  </si>
  <si>
    <t xml:space="preserve">    Показник: питома вага проїздів, тротуарів і велосипедних доріжок, що зазнала поточного ремонту до площі, що потребувала поточного ремонту</t>
  </si>
  <si>
    <t xml:space="preserve">    Показник: загальна площа пішохідних та велосипедних доріжок, що потребує капітального ремонту, кв. м</t>
  </si>
  <si>
    <t xml:space="preserve">    Показник: площа  пішохідних та велосипедних доріжок, на якій планується провести капітальний ремонт, кв.м</t>
  </si>
  <si>
    <t xml:space="preserve">    Показник: середня вартість капітального ремонту 1 кв. м  пішохідних та велосипедних доріжок, грн.</t>
  </si>
  <si>
    <t xml:space="preserve">    Показник: питома вага  пішохідних та велосипедних доріжок, що зазнала капітального ремонту до площі, що потребувала капітального ремонту, %</t>
  </si>
  <si>
    <t xml:space="preserve">  Завдання: 1.4. Забезпечення поточного ремонту та улаштування огорож</t>
  </si>
  <si>
    <t xml:space="preserve">  Завдання: 1.5. Забезпечення поточного та капітального ремонту зупинок громадського транспорту</t>
  </si>
  <si>
    <t>Завдання: 1.6. Забезпечення проведення поточного ремонту проїздів, тротуарів, велосипедних доріжок</t>
  </si>
  <si>
    <t xml:space="preserve">  Завдання: 1.7. Забезпечення проведення  ремонту та обслуговування технічних засобів регулювання дорожнім рухом</t>
  </si>
  <si>
    <t xml:space="preserve">  Завдання: 1.8. Забезпечення проведення ремонту мостів, шляхопроводів та пішохідних мостів</t>
  </si>
  <si>
    <t xml:space="preserve">  Завдання: 1.9. Забезпечення проведення поточного та капітального ремонту  (встановлення) технічних засобів регулювання дорожнім рухом</t>
  </si>
  <si>
    <t xml:space="preserve">  Завдання: 1.10. Забезпечення  улаштування нових та розширення існуючих тротуарів, пішохідних та велосипедних доріжок </t>
  </si>
  <si>
    <t xml:space="preserve">  Завдання: 1.11. Забезпечення  проведення обстеження та екпертизи мостів та шляхопроводів</t>
  </si>
  <si>
    <t xml:space="preserve">  Завдання: 1.12. Забезпечення  інвентаризації та  паспортизації  левневих мереж міста (електронна мапа)</t>
  </si>
  <si>
    <t xml:space="preserve">  Завдання: 1.13. Забезпечення проведення технічної інвентаризації та паспортизації доріг</t>
  </si>
  <si>
    <t xml:space="preserve">  Завдання: 1.14. Забезпечення розроблення схеми дислокації дорожніх знаків та організації безпеки руху</t>
  </si>
  <si>
    <t xml:space="preserve">    Показник: видатки на Оплата за спожиту електроенергію насосною станцією по вул.Тихорецька , грн</t>
  </si>
  <si>
    <t>Показник: кількість кіловат за спожиту електроенергію насосною станцією по вул.Тихорецька, од.</t>
  </si>
  <si>
    <t xml:space="preserve">    Показник: середні витрати на один кіловат спожитої електроенергії насосною станцією по вул.Тихорецька, грн.</t>
  </si>
  <si>
    <t xml:space="preserve">  Завдання: 6. 4. Поточний ремонт, утримання об'єктів та елементів благоустрою</t>
  </si>
  <si>
    <t xml:space="preserve">  Завдання: 6.8. Придбання та встановлення нових лавок</t>
  </si>
  <si>
    <t xml:space="preserve">  Завдання: 9.  Капітальний ремонт  житлового  фонду</t>
  </si>
  <si>
    <t xml:space="preserve"> Завдання: 11.1. Проведення поточного ремонт хомутів для кріплення прапорів на електричних та тролейбусних опорах</t>
  </si>
  <si>
    <t xml:space="preserve"> Завдання: 11.2 Оплата податку на земельну ділянку за адресою: м.Суми, вул.Привокзальна, 4/13 (каналізаційно-насосна станція)</t>
  </si>
  <si>
    <t xml:space="preserve">  Завдання: 11.3. Забезпечення оплати за видачу сертифікату, який видається у разі прийняття в експлуатацію об'єкта</t>
  </si>
  <si>
    <t xml:space="preserve">  Завдання: 11.4. Забезпечення постачання природного газу монументу "Вічна Слава"</t>
  </si>
  <si>
    <t xml:space="preserve"> Завдання: 11.7. Встановлення інформаційних табло на зупинках громадського транспорту</t>
  </si>
  <si>
    <t xml:space="preserve"> Завдання: 11.8. Заміна електричного кабелю на території дитячого парку "Казка"</t>
  </si>
  <si>
    <t xml:space="preserve"> Завдання: 11.10. Поточний ремонт та виготовлення  інформаційних щитів для кладовищ</t>
  </si>
  <si>
    <t>Завдання: 11.11. Виготовлення святкових корзин "Прапорове багаття"</t>
  </si>
  <si>
    <t xml:space="preserve"> Завдання: 11.12. Надання послуг з розробки звіту з оцінки впливу на довкілля</t>
  </si>
  <si>
    <t xml:space="preserve"> Завдання: 11.14. Реалізація проєкту «Circular-based waste management» («Управління відходами на основі замкненого циклу»)</t>
  </si>
  <si>
    <t xml:space="preserve"> Завдання: 11.15. Виготовлення документації по зняттю родючого слою</t>
  </si>
  <si>
    <t xml:space="preserve"> Завдання: 11.16. Оплата послуг за використання надр</t>
  </si>
  <si>
    <t xml:space="preserve">  Завдання: 11.18. Надання послуги з розробки проекту: організація дорожнього руху </t>
  </si>
  <si>
    <t>програми  реформування і розвитку житлово-</t>
  </si>
  <si>
    <t>територіальної громади на 2021-2023 роки",</t>
  </si>
  <si>
    <t xml:space="preserve">Результативні показники виконання заходів Комплексної цільової програми  реформування і розвитку житлово-комунального господарства, на виконання яких виділяються кошти бюджету Сумської міської територіальної громади та інші надходження                                    </t>
  </si>
  <si>
    <r>
      <t xml:space="preserve">   </t>
    </r>
    <r>
      <rPr>
        <b/>
        <sz val="8"/>
        <rFont val="Times New Roman"/>
        <family val="1"/>
      </rPr>
      <t xml:space="preserve"> Тип показника: Продукту</t>
    </r>
  </si>
  <si>
    <r>
      <t xml:space="preserve">   </t>
    </r>
    <r>
      <rPr>
        <b/>
        <sz val="8"/>
        <rFont val="Times New Roman"/>
        <family val="1"/>
      </rPr>
      <t xml:space="preserve"> Тип показника: Ефективності</t>
    </r>
  </si>
  <si>
    <t>"Про внесення змін до Комплексної цільової</t>
  </si>
  <si>
    <t>затвердженої рішенням Сумської міської ради</t>
  </si>
  <si>
    <t xml:space="preserve">  Завдання: 6.1. Технічне обслуговування насосної станції по вул.Круговій та по вул.Тихорецька </t>
  </si>
  <si>
    <t xml:space="preserve">  Завдання: 6.3. Оплата за спожиту електроенергію насосною станцією по вул.Тихорецька та фонтан площа Театральна,3</t>
  </si>
  <si>
    <t>КПКВК 7462</t>
  </si>
  <si>
    <t xml:space="preserve"> Завдання: 14. Виконання заходів за рахунок цільових фондів </t>
  </si>
  <si>
    <t xml:space="preserve">  Завдання: 14.1. Садіння нових дерев і кущів за рахунок цільового фонду </t>
  </si>
  <si>
    <t>Мета: Покращення стану автомобільних доріг</t>
  </si>
  <si>
    <t xml:space="preserve">  Завдання: 14.2. Кошти ОСББ/співвласників передбачені на співфінансування капітального ремонту житлового фонду</t>
  </si>
  <si>
    <t xml:space="preserve">  Завдання: 15. Забезпечення функціонування об'єктів житлово-комунального господарства</t>
  </si>
  <si>
    <t xml:space="preserve"> Завдання: 16.2 Фінансова підтримка КП «Міськводоканал» СМР (погашення заборгованості за судовим рішенням  перед ДПЗД "Укрінтеренерго")</t>
  </si>
  <si>
    <t xml:space="preserve"> Завдання: 16.3 Фінансова підтримка КП «Міськводоканал» СМР (погашення заборгованості за судовим рішенням перед ПАТ "Сумиобленерго")</t>
  </si>
  <si>
    <t xml:space="preserve">  Завдання: 16.4. Вимоги пожежної безпеки</t>
  </si>
  <si>
    <t>Завдання: 16.5. Фінансова підтримка КП «Міськводоканал» СМР (придбання водопровідних та каналізаційних люків)</t>
  </si>
  <si>
    <t>Завдання: 16.7 Надання послуг по обстеженню води</t>
  </si>
  <si>
    <t>Завдання: 16.8. Капітальний ремонт інших об'єктів - заміна насосного обладнання</t>
  </si>
  <si>
    <t xml:space="preserve"> Завдання: 16.10 Фінансова підтримка КП «Міськводоканал» СМР (сплата збору за продовження строку дії спеціального дозволу на користування надрами)</t>
  </si>
  <si>
    <t xml:space="preserve"> Завдання: 16.11 Фінансова підтримка КП «Міськводоканал» СМР (погашення поточної заборгованості)</t>
  </si>
  <si>
    <t>Завдання: 17. Впровадження енергозберігаючих заходів</t>
  </si>
  <si>
    <t xml:space="preserve">  Завдання: 18. Забезпечення зміцнення матеріально-технічної бази підприємств комунальної форми власності</t>
  </si>
  <si>
    <t xml:space="preserve">  Завдання: 19. Створення сприятливих умов проживання населення та забезпечення надання життєво необхідних послуг</t>
  </si>
  <si>
    <t xml:space="preserve">  Завдання: 20. Забезпечення надійного та безперебійного функціонування житлово-експлуатаційного господарства</t>
  </si>
  <si>
    <t xml:space="preserve">  Завдання: 21. Організація та проведення громадських робіт</t>
  </si>
  <si>
    <t xml:space="preserve">  Завдання: 22.Заходи з будівництва, реставрації  та реконструкції</t>
  </si>
  <si>
    <t xml:space="preserve">  Завдання: 23.Заходи з будівництва, реставрації  та реконструкції  інших об'єктів комунальної власності </t>
  </si>
  <si>
    <t xml:space="preserve">  Завдання: 24.Заходи з будівництва, реставрації  та реконструкції пам'яток архітектури</t>
  </si>
  <si>
    <t>від 24 грудня 2020 року № 84 - МР (зі змінами)</t>
  </si>
  <si>
    <t xml:space="preserve">  Завдання: 11.19 Забезпечення технічного обслуговування  камер відеоспостереження </t>
  </si>
  <si>
    <t xml:space="preserve">  Завдання: 6.9. Забезпечення функціонування громадських вбиралень</t>
  </si>
  <si>
    <t>Завдання: 6.10. Забезпечення поточного ремонту малих архітектурних форм на території Сумської міської територіальної громади</t>
  </si>
  <si>
    <t>Завдання: 6.11. Створення електронної мапи благоустрою міста Суми</t>
  </si>
  <si>
    <t>Завдання: 16.9. Поточний ремонт, утримання та технічне обслуговування водонапірних башт та свердловин</t>
  </si>
  <si>
    <t xml:space="preserve">  Завдання: 16.1 Забезпечення охорони  обєктів водопостачання з резервуарами питної води , охорона каналізаційно-насосної станції за адресою м.Суми вул.Привокзальна 4/13</t>
  </si>
  <si>
    <t xml:space="preserve"> Завдання: 4.7. Поточний ремонт стаціонарних туалетів на Ново-Центральному Баранівському кладовищі м.Суми</t>
  </si>
  <si>
    <t xml:space="preserve"> Завдання: 4.8. Капітальний ремонт об'єкту благоустрою - встановлення стаціонарних туалетів на кладовищах </t>
  </si>
  <si>
    <t>Завдання: 17.2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</si>
  <si>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>Завдання: 17. 1 Відшкодування з бюджету Сумської міської територіальної громади відсотків за кредитами, залученими населенням (фізичними особами), на впровадження енергозберігаючих заходів</t>
  </si>
  <si>
    <t xml:space="preserve"> Завдання: 2. Забезпечення функціонування мереж зовнішнього освітлення, в тому числі в приватному секторі  </t>
  </si>
  <si>
    <t xml:space="preserve">  Завдання: 1. Забезпечення проведення ремонту та утримання об'єктів транспортної інфраструктури, в тому числі в приватному секторі</t>
  </si>
  <si>
    <t xml:space="preserve">  Завдання: 1.1. Забезпечення проведення капітального ремонту вулично-дорожньої мережі та штучних споруд, внутрішньоквартальних проїзних доріг, в тому числі в приватному секторі</t>
  </si>
  <si>
    <t xml:space="preserve">  Завдання: 1.2. Забезпечення проведення поточного ремонту вулично-дорожньої мережі та штучних споруд, в тому числі в приватному секторі</t>
  </si>
  <si>
    <t xml:space="preserve">  Завдання: 1.3.  Забезпечення проведення утримання вулично-дорожньої мережі та штучних споруд (чищення доріг, замітання вулиць, прибирання снігу, посипання піском тощо.), в тому числі в приватному секторі </t>
  </si>
  <si>
    <t xml:space="preserve">  Завдання: 3. Збереження та утримання на належному рівні зеленої зони Сумської міської територіальної громади  та поліпшення її екологічних умов, організація громадських робіт, в тому числі в приватному секторі</t>
  </si>
  <si>
    <t xml:space="preserve">  Завдання: 3.1. Збереження та утримання на належному рівні зеленої зони та поліпшення його екологічних умов , в тому числі в приватному секторі</t>
  </si>
  <si>
    <t xml:space="preserve">  Завдання: 5. Забезпечення санітарної очистки території Сумської міської територіальної громади, в тому числі в приватному секторі</t>
  </si>
  <si>
    <t xml:space="preserve">  Завдання: 5.4. Забезпечення збирання та вивезення сміття на території Сумської міської територіальної громади (після проведення місячника благоустрою), в тому числі в приватному секторі</t>
  </si>
  <si>
    <t xml:space="preserve">  Завдання: 5.5. Догляд за об'єктами благоустрою загального користування: ліквідація несанкціонованих і неконтрольованих звалищ відходів , в тому числі в приватному секторі</t>
  </si>
  <si>
    <t xml:space="preserve">  Завдання: 11. Інша діяльність у сфері житлово-комунального господарства, в тому числі в приватному секторі</t>
  </si>
  <si>
    <t xml:space="preserve"> Завдання: 11.5. Проведення санації шахтних колодязів, в тому числі в приватному секторі </t>
  </si>
  <si>
    <t xml:space="preserve"> Завдання: 11.6. Проведення поточного ремонту шахтних колодязів, в тому числі в приватному секторі</t>
  </si>
  <si>
    <t xml:space="preserve"> Завдання: 11.13. Надання послуг з виготовлення та встановлення покажчиків назв вулиць по місту, в тому числі в приватному секторі</t>
  </si>
  <si>
    <t xml:space="preserve">  Завдання: 16. Забезпечення функціонування водопровідно-каналізаційного господарства, в тому числі в приватному секторі                                                                                   </t>
  </si>
  <si>
    <t>Завдання: 16.12. Поточний ремонт інших об'єктів - заміна насосного обладнання</t>
  </si>
  <si>
    <t>КПКВК 7363</t>
  </si>
  <si>
    <t xml:space="preserve">    Показник:кількість обєктів, од.</t>
  </si>
  <si>
    <t xml:space="preserve">    Показник: середня вартість, грн.</t>
  </si>
  <si>
    <t xml:space="preserve">    Мета: Субвенція з державного бюджету на капітальний ремонт обєктів благоустрою</t>
  </si>
  <si>
    <t>1</t>
  </si>
  <si>
    <t xml:space="preserve">  Завдання: 27.1. Капітальний ремонт обєктів благоустрою</t>
  </si>
  <si>
    <t xml:space="preserve">  Завдання: 27. Субвенція з державного бюджету місцевим бюджетам на здійснення заходів щодо соціально-економічного розвитку окремих територій, в тому числі на капітальний ремонт обєктів благоустрою</t>
  </si>
  <si>
    <t xml:space="preserve">  Завдання: 26. Надання бюджетних позичок на поворотній основі</t>
  </si>
  <si>
    <t>КПКВК 8861</t>
  </si>
  <si>
    <t xml:space="preserve">    Показник: обсяг бюджетної позички, який надається, грн.</t>
  </si>
  <si>
    <t xml:space="preserve">    Показник: середня обсяг бюджетної позички, який надається, грн.</t>
  </si>
  <si>
    <t xml:space="preserve"> Завдання: 16.13 Фінансова підтримка КП «Міськводоканал» СМР (погашення податкового боргу з рентної плати)</t>
  </si>
  <si>
    <t xml:space="preserve"> Завдання: 16.14 Фінансова підтримка КП «Міськводоканал» СМР (погашення поточної заборгованості по електроенергії)</t>
  </si>
  <si>
    <t xml:space="preserve">  Завдання: 28. Субвенція з інших бюджетів </t>
  </si>
  <si>
    <t>КПКВК 7368, 7463</t>
  </si>
  <si>
    <t>Показник: кількість місяців передбачених для безперебійної роботи насосних станцій по вул. Тихорецька та вул. Кругова, міс.</t>
  </si>
  <si>
    <t>Показник: кількість місяців передбачених для безперебійної роботи  системи санкціонованого проїзду на перехресті провул. Терезова та вул. Воскресенської в м.Суми, міс.</t>
  </si>
  <si>
    <t>Показник: середні витрати на утримання 1 туалету на  місяць, грн.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</si>
  <si>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міс</t>
  </si>
  <si>
    <t xml:space="preserve">    Показник: обсяг видатків на поточний та капітальний ремонт, грн.</t>
  </si>
  <si>
    <t>Завдання: 17.3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 на впровадження заходів енергоефективності (програма "Енергодім")</t>
  </si>
  <si>
    <t>Показник: кількість місяців, що планується утримувати майданчик для складування відходів по вул. М.Лукаша, міс</t>
  </si>
  <si>
    <t>Показник: кількість місяців передбачених для технічного обслуговування камер відеоспостереження,міс</t>
  </si>
  <si>
    <t>Виконавець: Олександр Журба</t>
  </si>
  <si>
    <t>Олександр ЛИСЕНКО</t>
  </si>
  <si>
    <t>5</t>
  </si>
  <si>
    <t xml:space="preserve">    Показник: площа території дитячого парку "Казка", на якій планується косіння та прибирання трави, га</t>
  </si>
  <si>
    <t xml:space="preserve">    Показник: площа території дитячого парку "Казка", яка підлягає викашуванню та прибиранню трави, га</t>
  </si>
  <si>
    <t xml:space="preserve">    Показник: середні витрати на косіння та прибирання трави на  території дитячого парку "Казка",  грн.</t>
  </si>
  <si>
    <t>Завдання: 16.6. Проведення капітального та поточного ремонту колекторів та каналізаційних мереж (водопостачання), каналізаційних колодязів</t>
  </si>
  <si>
    <t xml:space="preserve"> Завдання: 13. Проведення ремонту та утримання об'єктів транспортної інфраструктури за рахунок субвенції з державного бюджету</t>
  </si>
  <si>
    <t xml:space="preserve">    Показник: площа вулично-дорожньої мережі, яка охоплена поточним ремонтом, кв.м</t>
  </si>
  <si>
    <t xml:space="preserve">    Показник: середня вартість поточного ремонту 1 кв. м вулично- дорожньої мережі, грн.</t>
  </si>
  <si>
    <t xml:space="preserve">    Показник: площа вулично-дорожньої мережі, яка охоплена утриманням, кв.м</t>
  </si>
  <si>
    <t xml:space="preserve">    Показник: середня вартість утримання 1 кв. м вулично- дорожньої мережі, грн.</t>
  </si>
  <si>
    <t xml:space="preserve">  Завдання: 13.1. Забезпечення проведення поточного ремонту  вулично-дорожньої мережі та штучних споруд  за рахунок субвенції з державного бюджету</t>
  </si>
  <si>
    <t xml:space="preserve">  Завдання: 13.1. Забезпечення проведення  утримання вулично-дорожньої мережі та штучних споруд  за рахунок субвенції з державного бюджету</t>
  </si>
  <si>
    <t>КПКВК 6072</t>
  </si>
  <si>
    <t xml:space="preserve">  Завдання: 29.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</t>
  </si>
  <si>
    <t>2</t>
  </si>
  <si>
    <t xml:space="preserve">    Показник:кількість суб'єктів господарювання, од.</t>
  </si>
  <si>
    <t xml:space="preserve">    Показник: середній обсяг заборгованості, який буде погашатися, грн.</t>
  </si>
  <si>
    <t>Додаток 5</t>
  </si>
  <si>
    <t xml:space="preserve">від 17  грудня  2021 року № 2555 - МР 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</si>
</sst>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70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7" fillId="0" borderId="0">
      <alignment/>
      <protection/>
    </xf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1" fontId="14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199" fontId="1" fillId="0" borderId="10" xfId="0" applyNumberFormat="1" applyFont="1" applyFill="1" applyBorder="1" applyAlignment="1">
      <alignment horizontal="center" vertical="center" wrapText="1"/>
    </xf>
    <xf numFmtId="0" fontId="8" fillId="34" borderId="0" xfId="53" applyFont="1" applyFill="1">
      <alignment/>
      <protection/>
    </xf>
    <xf numFmtId="0" fontId="8" fillId="34" borderId="0" xfId="53" applyFont="1" applyFill="1" applyAlignment="1">
      <alignment/>
      <protection/>
    </xf>
    <xf numFmtId="0" fontId="8" fillId="34" borderId="0" xfId="53" applyFont="1" applyFill="1" applyAlignment="1">
      <alignment horizontal="center"/>
      <protection/>
    </xf>
    <xf numFmtId="4" fontId="1" fillId="15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4" fontId="2" fillId="15" borderId="10" xfId="0" applyNumberFormat="1" applyFont="1" applyFill="1" applyBorder="1" applyAlignment="1">
      <alignment horizontal="center" vertical="center" wrapText="1"/>
    </xf>
    <xf numFmtId="4" fontId="2" fillId="15" borderId="12" xfId="0" applyNumberFormat="1" applyFont="1" applyFill="1" applyBorder="1" applyAlignment="1">
      <alignment horizontal="center" vertical="center" wrapText="1"/>
    </xf>
    <xf numFmtId="2" fontId="2" fillId="15" borderId="0" xfId="0" applyNumberFormat="1" applyFont="1" applyFill="1" applyBorder="1" applyAlignment="1">
      <alignment horizontal="center" vertical="center" wrapText="1"/>
    </xf>
    <xf numFmtId="0" fontId="16" fillId="15" borderId="0" xfId="0" applyFont="1" applyFill="1" applyAlignment="1">
      <alignment/>
    </xf>
    <xf numFmtId="0" fontId="1" fillId="15" borderId="10" xfId="0" applyFont="1" applyFill="1" applyBorder="1" applyAlignment="1">
      <alignment horizontal="left" vertical="center" wrapText="1"/>
    </xf>
    <xf numFmtId="0" fontId="1" fillId="15" borderId="10" xfId="0" applyFont="1" applyFill="1" applyBorder="1" applyAlignment="1">
      <alignment horizontal="center" vertical="center" wrapText="1"/>
    </xf>
    <xf numFmtId="4" fontId="1" fillId="15" borderId="12" xfId="0" applyNumberFormat="1" applyFont="1" applyFill="1" applyBorder="1" applyAlignment="1">
      <alignment horizontal="center" vertical="center" wrapText="1"/>
    </xf>
    <xf numFmtId="2" fontId="1" fillId="15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Alignment="1">
      <alignment/>
    </xf>
    <xf numFmtId="0" fontId="3" fillId="15" borderId="10" xfId="0" applyFont="1" applyFill="1" applyBorder="1" applyAlignment="1">
      <alignment horizontal="left" vertical="center" wrapText="1"/>
    </xf>
    <xf numFmtId="0" fontId="2" fillId="1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3" fillId="34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16" fillId="35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wrapText="1"/>
    </xf>
    <xf numFmtId="2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wrapText="1"/>
    </xf>
    <xf numFmtId="207" fontId="1" fillId="34" borderId="10" xfId="0" applyNumberFormat="1" applyFont="1" applyFill="1" applyBorder="1" applyAlignment="1">
      <alignment horizontal="center" vertical="center"/>
    </xf>
    <xf numFmtId="207" fontId="6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wrapText="1"/>
    </xf>
    <xf numFmtId="4" fontId="1" fillId="34" borderId="12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wrapText="1"/>
    </xf>
    <xf numFmtId="2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wrapText="1"/>
    </xf>
    <xf numFmtId="2" fontId="65" fillId="0" borderId="10" xfId="0" applyNumberFormat="1" applyFont="1" applyFill="1" applyBorder="1" applyAlignment="1">
      <alignment horizontal="center" vertical="center"/>
    </xf>
    <xf numFmtId="2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wrapText="1"/>
    </xf>
    <xf numFmtId="37" fontId="66" fillId="0" borderId="10" xfId="0" applyNumberFormat="1" applyFont="1" applyFill="1" applyBorder="1" applyAlignment="1">
      <alignment horizontal="center" vertical="center"/>
    </xf>
    <xf numFmtId="37" fontId="65" fillId="0" borderId="10" xfId="0" applyNumberFormat="1" applyFont="1" applyFill="1" applyBorder="1" applyAlignment="1">
      <alignment horizontal="center" vertical="center"/>
    </xf>
    <xf numFmtId="4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 wrapText="1"/>
    </xf>
    <xf numFmtId="37" fontId="3" fillId="34" borderId="10" xfId="0" applyNumberFormat="1" applyFont="1" applyFill="1" applyBorder="1" applyAlignment="1">
      <alignment horizontal="center" vertical="center"/>
    </xf>
    <xf numFmtId="37" fontId="6" fillId="34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" fillId="34" borderId="11" xfId="0" applyFont="1" applyFill="1" applyBorder="1" applyAlignment="1">
      <alignment horizontal="left" wrapText="1"/>
    </xf>
    <xf numFmtId="4" fontId="1" fillId="34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wrapText="1"/>
    </xf>
    <xf numFmtId="4" fontId="2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6" fillId="34" borderId="0" xfId="0" applyFont="1" applyFill="1" applyAlignment="1">
      <alignment/>
    </xf>
    <xf numFmtId="4" fontId="2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wrapText="1"/>
    </xf>
    <xf numFmtId="4" fontId="6" fillId="34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0" fontId="17" fillId="35" borderId="0" xfId="0" applyFont="1" applyFill="1" applyAlignment="1">
      <alignment/>
    </xf>
    <xf numFmtId="4" fontId="14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18" fillId="36" borderId="10" xfId="0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4" fontId="14" fillId="36" borderId="10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/>
    </xf>
    <xf numFmtId="0" fontId="17" fillId="36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5" xfId="0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9" fillId="36" borderId="10" xfId="0" applyFont="1" applyFill="1" applyBorder="1" applyAlignment="1">
      <alignment horizontal="left" wrapText="1"/>
    </xf>
    <xf numFmtId="0" fontId="14" fillId="36" borderId="0" xfId="0" applyFont="1" applyFill="1" applyAlignment="1">
      <alignment/>
    </xf>
    <xf numFmtId="0" fontId="19" fillId="36" borderId="0" xfId="0" applyFont="1" applyFill="1" applyAlignment="1">
      <alignment/>
    </xf>
    <xf numFmtId="4" fontId="20" fillId="36" borderId="10" xfId="0" applyNumberFormat="1" applyFont="1" applyFill="1" applyBorder="1" applyAlignment="1">
      <alignment horizontal="center" vertical="center"/>
    </xf>
    <xf numFmtId="4" fontId="14" fillId="36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4" fontId="9" fillId="35" borderId="10" xfId="0" applyNumberFormat="1" applyFont="1" applyFill="1" applyBorder="1" applyAlignment="1">
      <alignment horizontal="center" vertical="center"/>
    </xf>
    <xf numFmtId="4" fontId="14" fillId="35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4" fontId="9" fillId="34" borderId="10" xfId="0" applyNumberFormat="1" applyFont="1" applyFill="1" applyBorder="1" applyAlignment="1">
      <alignment horizontal="center" vertical="center"/>
    </xf>
    <xf numFmtId="4" fontId="14" fillId="34" borderId="10" xfId="0" applyNumberFormat="1" applyFont="1" applyFill="1" applyBorder="1" applyAlignment="1">
      <alignment horizontal="center" vertical="center"/>
    </xf>
    <xf numFmtId="0" fontId="14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2" fontId="9" fillId="36" borderId="0" xfId="0" applyNumberFormat="1" applyFont="1" applyFill="1" applyBorder="1" applyAlignment="1">
      <alignment horizontal="center" vertical="center" wrapText="1"/>
    </xf>
    <xf numFmtId="2" fontId="14" fillId="35" borderId="0" xfId="0" applyNumberFormat="1" applyFont="1" applyFill="1" applyBorder="1" applyAlignment="1">
      <alignment horizontal="center" vertical="center" wrapText="1"/>
    </xf>
    <xf numFmtId="0" fontId="19" fillId="35" borderId="0" xfId="0" applyFont="1" applyFill="1" applyAlignment="1">
      <alignment horizontal="center" vertical="center"/>
    </xf>
    <xf numFmtId="49" fontId="14" fillId="36" borderId="10" xfId="0" applyNumberFormat="1" applyFont="1" applyFill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" fontId="14" fillId="35" borderId="10" xfId="0" applyNumberFormat="1" applyFont="1" applyFill="1" applyBorder="1" applyAlignment="1">
      <alignment horizontal="center"/>
    </xf>
    <xf numFmtId="4" fontId="9" fillId="36" borderId="10" xfId="0" applyNumberFormat="1" applyFont="1" applyFill="1" applyBorder="1" applyAlignment="1">
      <alignment horizontal="center"/>
    </xf>
    <xf numFmtId="2" fontId="14" fillId="36" borderId="0" xfId="0" applyNumberFormat="1" applyFont="1" applyFill="1" applyBorder="1" applyAlignment="1">
      <alignment horizontal="center" vertical="center" wrapText="1"/>
    </xf>
    <xf numFmtId="2" fontId="9" fillId="35" borderId="0" xfId="0" applyNumberFormat="1" applyFont="1" applyFill="1" applyBorder="1" applyAlignment="1">
      <alignment horizontal="center" vertical="center" wrapText="1"/>
    </xf>
    <xf numFmtId="4" fontId="14" fillId="36" borderId="10" xfId="0" applyNumberFormat="1" applyFont="1" applyFill="1" applyBorder="1" applyAlignment="1">
      <alignment horizontal="center"/>
    </xf>
    <xf numFmtId="4" fontId="20" fillId="36" borderId="10" xfId="0" applyNumberFormat="1" applyFont="1" applyFill="1" applyBorder="1" applyAlignment="1">
      <alignment horizontal="center" vertical="center" wrapText="1"/>
    </xf>
    <xf numFmtId="3" fontId="14" fillId="36" borderId="10" xfId="0" applyNumberFormat="1" applyFont="1" applyFill="1" applyBorder="1" applyAlignment="1">
      <alignment horizontal="center" vertical="center" wrapText="1"/>
    </xf>
    <xf numFmtId="3" fontId="14" fillId="35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7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8" fillId="34" borderId="0" xfId="53" applyFont="1" applyFill="1" applyAlignment="1">
      <alignment horizontal="left" vertical="center" wrapText="1"/>
      <protection/>
    </xf>
    <xf numFmtId="0" fontId="3" fillId="7" borderId="10" xfId="53" applyFont="1" applyFill="1" applyBorder="1" applyAlignment="1">
      <alignment horizontal="left" vertical="center" wrapText="1"/>
      <protection/>
    </xf>
    <xf numFmtId="0" fontId="1" fillId="7" borderId="10" xfId="0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/>
    </xf>
    <xf numFmtId="4" fontId="3" fillId="7" borderId="10" xfId="0" applyNumberFormat="1" applyFont="1" applyFill="1" applyBorder="1" applyAlignment="1">
      <alignment horizontal="center" vertical="center" wrapText="1"/>
    </xf>
    <xf numFmtId="2" fontId="1" fillId="7" borderId="0" xfId="0" applyNumberFormat="1" applyFont="1" applyFill="1" applyBorder="1" applyAlignment="1">
      <alignment horizontal="center" vertical="center" wrapText="1"/>
    </xf>
    <xf numFmtId="0" fontId="0" fillId="7" borderId="0" xfId="0" applyFont="1" applyFill="1" applyAlignment="1">
      <alignment/>
    </xf>
    <xf numFmtId="0" fontId="1" fillId="7" borderId="10" xfId="0" applyFont="1" applyFill="1" applyBorder="1" applyAlignment="1">
      <alignment horizontal="left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/>
    </xf>
    <xf numFmtId="2" fontId="22" fillId="34" borderId="0" xfId="53" applyNumberFormat="1" applyFont="1" applyFill="1">
      <alignment/>
      <protection/>
    </xf>
    <xf numFmtId="0" fontId="21" fillId="34" borderId="0" xfId="53" applyFont="1" applyFill="1" applyAlignment="1">
      <alignment/>
      <protection/>
    </xf>
    <xf numFmtId="4" fontId="23" fillId="35" borderId="10" xfId="0" applyNumberFormat="1" applyFont="1" applyFill="1" applyBorder="1" applyAlignment="1">
      <alignment horizontal="center" vertical="center" wrapText="1"/>
    </xf>
    <xf numFmtId="3" fontId="23" fillId="35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0" fontId="8" fillId="34" borderId="0" xfId="53" applyFont="1" applyFill="1" applyAlignment="1">
      <alignment horizontal="left" vertical="center" wrapText="1"/>
      <protection/>
    </xf>
    <xf numFmtId="4" fontId="10" fillId="0" borderId="2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13002879"/>
        <c:axId val="49917048"/>
      </c:barChart>
      <c:catAx>
        <c:axId val="1300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17048"/>
        <c:crosses val="autoZero"/>
        <c:auto val="1"/>
        <c:lblOffset val="100"/>
        <c:tickLblSkip val="1"/>
        <c:noMultiLvlLbl val="0"/>
      </c:catAx>
      <c:valAx>
        <c:axId val="49917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02879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I1107"/>
  <sheetViews>
    <sheetView tabSelected="1" view="pageBreakPreview" zoomScale="106" zoomScaleNormal="85" zoomScaleSheetLayoutView="106" workbookViewId="0" topLeftCell="A1">
      <pane ySplit="17" topLeftCell="A18" activePane="bottomLeft" state="frozen"/>
      <selection pane="topLeft" activeCell="A2" sqref="A2"/>
      <selection pane="bottomLeft" activeCell="D16" sqref="D16"/>
    </sheetView>
  </sheetViews>
  <sheetFormatPr defaultColWidth="9.33203125" defaultRowHeight="11.25"/>
  <cols>
    <col min="1" max="1" width="49.83203125" style="15" customWidth="1"/>
    <col min="2" max="2" width="9.5" style="15" hidden="1" customWidth="1"/>
    <col min="3" max="3" width="0.4921875" style="15" hidden="1" customWidth="1"/>
    <col min="4" max="4" width="19.33203125" style="16" customWidth="1"/>
    <col min="5" max="6" width="18.5" style="16" customWidth="1"/>
    <col min="7" max="7" width="19.83203125" style="16" bestFit="1" customWidth="1"/>
    <col min="8" max="8" width="17.83203125" style="16" customWidth="1"/>
    <col min="9" max="9" width="16.16015625" style="16" hidden="1" customWidth="1"/>
    <col min="10" max="10" width="19.83203125" style="16" bestFit="1" customWidth="1"/>
    <col min="11" max="13" width="16" style="16" hidden="1" customWidth="1"/>
    <col min="14" max="14" width="17.16015625" style="16" customWidth="1"/>
    <col min="15" max="15" width="17.5" style="16" customWidth="1"/>
    <col min="16" max="16" width="20.16015625" style="16" customWidth="1"/>
    <col min="17" max="17" width="0.328125" style="15" customWidth="1"/>
    <col min="18" max="18" width="22" style="15" customWidth="1"/>
    <col min="19" max="131" width="10.33203125" style="15" customWidth="1"/>
    <col min="132" max="16384" width="9.33203125" style="34" customWidth="1"/>
  </cols>
  <sheetData>
    <row r="1" ht="3.75" customHeight="1"/>
    <row r="2" spans="1:19" ht="14.25" customHeight="1">
      <c r="A2" s="60"/>
      <c r="B2" s="60"/>
      <c r="C2" s="60"/>
      <c r="D2" s="91"/>
      <c r="E2" s="92"/>
      <c r="F2" s="93"/>
      <c r="G2" s="93"/>
      <c r="H2" s="65"/>
      <c r="I2" s="65"/>
      <c r="J2" s="291"/>
      <c r="K2" s="291"/>
      <c r="L2" s="291"/>
      <c r="M2" s="56"/>
      <c r="N2" s="291" t="s">
        <v>571</v>
      </c>
      <c r="O2" s="291"/>
      <c r="P2" s="291"/>
      <c r="Q2" s="56"/>
      <c r="R2" s="56"/>
      <c r="S2" s="56"/>
    </row>
    <row r="3" spans="1:19" ht="14.25" customHeight="1">
      <c r="A3" s="60"/>
      <c r="B3" s="60"/>
      <c r="C3" s="60"/>
      <c r="D3" s="292"/>
      <c r="E3" s="292"/>
      <c r="F3" s="292"/>
      <c r="G3" s="292"/>
      <c r="H3" s="65"/>
      <c r="I3" s="65"/>
      <c r="J3" s="56"/>
      <c r="K3" s="56"/>
      <c r="L3" s="56"/>
      <c r="M3" s="56"/>
      <c r="N3" s="56" t="s">
        <v>164</v>
      </c>
      <c r="O3" s="56"/>
      <c r="P3" s="56"/>
      <c r="Q3" s="56"/>
      <c r="R3" s="56"/>
      <c r="S3" s="56"/>
    </row>
    <row r="4" spans="1:19" ht="14.25" customHeight="1">
      <c r="A4" s="60"/>
      <c r="B4" s="60"/>
      <c r="C4" s="60"/>
      <c r="D4" s="292"/>
      <c r="E4" s="292"/>
      <c r="F4" s="292"/>
      <c r="G4" s="292"/>
      <c r="H4" s="65"/>
      <c r="I4" s="65"/>
      <c r="J4" s="56"/>
      <c r="K4" s="56"/>
      <c r="L4" s="56"/>
      <c r="M4" s="56"/>
      <c r="N4" s="56" t="s">
        <v>476</v>
      </c>
      <c r="O4" s="56"/>
      <c r="P4" s="56"/>
      <c r="Q4" s="56"/>
      <c r="R4" s="56"/>
      <c r="S4" s="56"/>
    </row>
    <row r="5" spans="1:19" ht="14.25" customHeight="1">
      <c r="A5" s="66"/>
      <c r="B5" s="66"/>
      <c r="C5" s="66"/>
      <c r="D5" s="292"/>
      <c r="E5" s="292"/>
      <c r="F5" s="292"/>
      <c r="G5" s="292"/>
      <c r="H5" s="67"/>
      <c r="I5" s="67"/>
      <c r="J5" s="56"/>
      <c r="K5" s="56"/>
      <c r="L5" s="56"/>
      <c r="M5" s="56"/>
      <c r="N5" s="56" t="s">
        <v>471</v>
      </c>
      <c r="O5" s="56"/>
      <c r="P5" s="56"/>
      <c r="Q5" s="56"/>
      <c r="R5" s="56"/>
      <c r="S5" s="56"/>
    </row>
    <row r="6" spans="1:19" ht="14.25" customHeight="1">
      <c r="A6" s="66"/>
      <c r="B6" s="66"/>
      <c r="C6" s="66"/>
      <c r="D6" s="292"/>
      <c r="E6" s="292"/>
      <c r="F6" s="292"/>
      <c r="G6" s="292"/>
      <c r="H6" s="67"/>
      <c r="I6" s="67"/>
      <c r="J6" s="56"/>
      <c r="K6" s="56"/>
      <c r="L6" s="56"/>
      <c r="M6" s="56"/>
      <c r="N6" s="56" t="s">
        <v>185</v>
      </c>
      <c r="O6" s="56"/>
      <c r="P6" s="56"/>
      <c r="Q6" s="56"/>
      <c r="R6" s="56"/>
      <c r="S6" s="56"/>
    </row>
    <row r="7" spans="1:19" ht="14.25" customHeight="1">
      <c r="A7" s="66"/>
      <c r="B7" s="66"/>
      <c r="C7" s="66"/>
      <c r="D7" s="292"/>
      <c r="E7" s="292"/>
      <c r="F7" s="292"/>
      <c r="G7" s="292"/>
      <c r="H7" s="67"/>
      <c r="I7" s="67"/>
      <c r="J7" s="56"/>
      <c r="K7" s="56"/>
      <c r="L7" s="56"/>
      <c r="M7" s="56"/>
      <c r="N7" s="56" t="s">
        <v>472</v>
      </c>
      <c r="O7" s="56"/>
      <c r="P7" s="56"/>
      <c r="Q7" s="56"/>
      <c r="R7" s="56"/>
      <c r="S7" s="56"/>
    </row>
    <row r="8" spans="1:19" ht="14.25" customHeight="1">
      <c r="A8" s="66"/>
      <c r="B8" s="66"/>
      <c r="C8" s="66"/>
      <c r="D8" s="292"/>
      <c r="E8" s="292"/>
      <c r="F8" s="292"/>
      <c r="G8" s="292"/>
      <c r="H8" s="67"/>
      <c r="I8" s="67"/>
      <c r="J8" s="56"/>
      <c r="K8" s="56"/>
      <c r="L8" s="56"/>
      <c r="M8" s="56"/>
      <c r="N8" s="56" t="s">
        <v>477</v>
      </c>
      <c r="O8" s="56"/>
      <c r="P8" s="56"/>
      <c r="Q8" s="56"/>
      <c r="R8" s="56"/>
      <c r="S8" s="56"/>
    </row>
    <row r="9" spans="1:19" ht="14.25" customHeight="1">
      <c r="A9" s="66"/>
      <c r="B9" s="66"/>
      <c r="C9" s="66"/>
      <c r="D9" s="292"/>
      <c r="E9" s="292"/>
      <c r="F9" s="292"/>
      <c r="G9" s="292"/>
      <c r="H9" s="67"/>
      <c r="I9" s="67"/>
      <c r="J9" s="56"/>
      <c r="K9" s="56"/>
      <c r="L9" s="56"/>
      <c r="M9" s="56"/>
      <c r="N9" s="56" t="s">
        <v>502</v>
      </c>
      <c r="O9" s="56"/>
      <c r="P9" s="56"/>
      <c r="Q9" s="56"/>
      <c r="R9" s="56"/>
      <c r="S9" s="56"/>
    </row>
    <row r="10" spans="1:19" ht="14.25" customHeight="1">
      <c r="A10" s="66"/>
      <c r="B10" s="66"/>
      <c r="C10" s="66"/>
      <c r="D10" s="262"/>
      <c r="E10" s="262"/>
      <c r="F10" s="262"/>
      <c r="G10" s="262"/>
      <c r="H10" s="67"/>
      <c r="I10" s="67"/>
      <c r="J10" s="56"/>
      <c r="K10" s="56"/>
      <c r="L10" s="56"/>
      <c r="M10" s="56"/>
      <c r="N10" s="56" t="s">
        <v>572</v>
      </c>
      <c r="O10" s="56"/>
      <c r="P10" s="56"/>
      <c r="Q10" s="56"/>
      <c r="R10" s="56"/>
      <c r="S10" s="56"/>
    </row>
    <row r="11" spans="1:16" ht="9.75" customHeight="1">
      <c r="A11" s="66"/>
      <c r="B11" s="66"/>
      <c r="C11" s="66"/>
      <c r="D11" s="67"/>
      <c r="E11" s="67"/>
      <c r="F11" s="67"/>
      <c r="G11" s="67"/>
      <c r="H11" s="67"/>
      <c r="I11" s="67"/>
      <c r="J11" s="56"/>
      <c r="K11" s="56"/>
      <c r="L11" s="56"/>
      <c r="M11" s="56"/>
      <c r="N11" s="56"/>
      <c r="O11" s="56"/>
      <c r="P11" s="56"/>
    </row>
    <row r="12" spans="1:16" ht="33.75" customHeight="1">
      <c r="A12" s="294" t="s">
        <v>473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</row>
    <row r="13" spans="1:16" ht="16.5" customHeight="1">
      <c r="A13" s="68"/>
      <c r="B13" s="68"/>
      <c r="C13" s="68"/>
      <c r="D13" s="69"/>
      <c r="E13" s="69"/>
      <c r="F13" s="293" t="s">
        <v>186</v>
      </c>
      <c r="G13" s="293"/>
      <c r="H13" s="69"/>
      <c r="I13" s="69"/>
      <c r="J13" s="65"/>
      <c r="K13" s="69"/>
      <c r="L13" s="65"/>
      <c r="M13" s="65"/>
      <c r="N13" s="65"/>
      <c r="O13" s="65"/>
      <c r="P13" s="88" t="s">
        <v>21</v>
      </c>
    </row>
    <row r="14" spans="1:137" ht="20.25" customHeight="1">
      <c r="A14" s="299"/>
      <c r="B14" s="302" t="s">
        <v>17</v>
      </c>
      <c r="C14" s="302" t="s">
        <v>18</v>
      </c>
      <c r="D14" s="281">
        <v>2021</v>
      </c>
      <c r="E14" s="282"/>
      <c r="F14" s="283"/>
      <c r="G14" s="296">
        <v>2022</v>
      </c>
      <c r="H14" s="296"/>
      <c r="I14" s="296"/>
      <c r="J14" s="296"/>
      <c r="K14" s="21"/>
      <c r="L14" s="21"/>
      <c r="M14" s="21"/>
      <c r="N14" s="281">
        <v>2023</v>
      </c>
      <c r="O14" s="282"/>
      <c r="P14" s="283"/>
      <c r="EB14" s="15"/>
      <c r="EC14" s="15"/>
      <c r="ED14" s="15"/>
      <c r="EE14" s="15"/>
      <c r="EF14" s="15"/>
      <c r="EG14" s="15"/>
    </row>
    <row r="15" spans="1:137" ht="15.75" customHeight="1">
      <c r="A15" s="300"/>
      <c r="B15" s="300"/>
      <c r="C15" s="300"/>
      <c r="D15" s="284" t="s">
        <v>19</v>
      </c>
      <c r="E15" s="285"/>
      <c r="F15" s="286" t="s">
        <v>16</v>
      </c>
      <c r="G15" s="298" t="s">
        <v>19</v>
      </c>
      <c r="H15" s="298"/>
      <c r="I15" s="298"/>
      <c r="J15" s="295" t="s">
        <v>16</v>
      </c>
      <c r="K15" s="288" t="s">
        <v>15</v>
      </c>
      <c r="L15" s="289"/>
      <c r="M15" s="290"/>
      <c r="N15" s="284" t="s">
        <v>19</v>
      </c>
      <c r="O15" s="285"/>
      <c r="P15" s="286" t="s">
        <v>16</v>
      </c>
      <c r="EB15" s="15"/>
      <c r="EC15" s="15"/>
      <c r="ED15" s="15"/>
      <c r="EE15" s="15"/>
      <c r="EF15" s="15"/>
      <c r="EG15" s="15"/>
    </row>
    <row r="16" spans="1:137" ht="24.75" customHeight="1">
      <c r="A16" s="301"/>
      <c r="B16" s="301"/>
      <c r="C16" s="301"/>
      <c r="D16" s="21" t="s">
        <v>0</v>
      </c>
      <c r="E16" s="21" t="s">
        <v>1</v>
      </c>
      <c r="F16" s="287"/>
      <c r="G16" s="21" t="s">
        <v>0</v>
      </c>
      <c r="H16" s="21" t="s">
        <v>1</v>
      </c>
      <c r="I16" s="21" t="s">
        <v>103</v>
      </c>
      <c r="J16" s="295"/>
      <c r="K16" s="21" t="s">
        <v>0</v>
      </c>
      <c r="L16" s="21" t="s">
        <v>1</v>
      </c>
      <c r="M16" s="21" t="s">
        <v>16</v>
      </c>
      <c r="N16" s="21" t="s">
        <v>0</v>
      </c>
      <c r="O16" s="21" t="s">
        <v>1</v>
      </c>
      <c r="P16" s="287"/>
      <c r="EB16" s="15"/>
      <c r="EC16" s="15"/>
      <c r="ED16" s="15"/>
      <c r="EE16" s="15"/>
      <c r="EF16" s="15"/>
      <c r="EG16" s="15"/>
    </row>
    <row r="17" spans="1:137" s="64" customFormat="1" ht="12.75">
      <c r="A17" s="70">
        <v>1</v>
      </c>
      <c r="B17" s="70"/>
      <c r="C17" s="70"/>
      <c r="D17" s="70">
        <v>2</v>
      </c>
      <c r="E17" s="70">
        <v>3</v>
      </c>
      <c r="F17" s="70">
        <v>4</v>
      </c>
      <c r="G17" s="70">
        <v>5</v>
      </c>
      <c r="H17" s="70">
        <v>6</v>
      </c>
      <c r="I17" s="70">
        <v>10</v>
      </c>
      <c r="J17" s="70">
        <v>7</v>
      </c>
      <c r="K17" s="70">
        <v>12</v>
      </c>
      <c r="L17" s="70">
        <v>13</v>
      </c>
      <c r="M17" s="70">
        <v>14</v>
      </c>
      <c r="N17" s="70">
        <v>8</v>
      </c>
      <c r="O17" s="70">
        <v>9</v>
      </c>
      <c r="P17" s="70">
        <v>10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</row>
    <row r="18" spans="1:18" s="15" customFormat="1" ht="28.5" customHeight="1">
      <c r="A18" s="20" t="s">
        <v>24</v>
      </c>
      <c r="B18" s="20"/>
      <c r="C18" s="20"/>
      <c r="D18" s="21">
        <f>D23+D458+D478+D696+D713+D722+D860+D885+D894+D912+D922+D930+D939+D948+D957+D966+D683+D975+D991</f>
        <v>325468910.12588084</v>
      </c>
      <c r="E18" s="21">
        <f>E23+E458+E478+E696+E713+E722+E860+E885+E894+E912+E922+E930+E939+E948+E957+E966+E683+E975+E991+E999</f>
        <v>312712299.0057732</v>
      </c>
      <c r="F18" s="21">
        <f>F23+F458+F478+F696+F713+F722+F860+F885+F894+F912+F922+F930+F939+F948+F957+F966+F683+F975+F991+F999</f>
        <v>638181209.141654</v>
      </c>
      <c r="G18" s="21">
        <f>G23+G458+G478+G696+G713+G722+G860+G885+G894+G912+G922+G930+G939+G948+G957+G966</f>
        <v>438019494.0068245</v>
      </c>
      <c r="H18" s="21">
        <f>H23+H458+H478+H696+H713+H722+H860+H885+H894+H912+H922+H930+H939+H948+H957+H966</f>
        <v>219714200.0013</v>
      </c>
      <c r="I18" s="21" t="e">
        <f>I23+I458+I478+I696+I713+I722+I860+I885+I894+I912+I922+I930+I939+I948+I957+I966</f>
        <v>#REF!</v>
      </c>
      <c r="J18" s="21">
        <f>G18+H18</f>
        <v>657733694.0081245</v>
      </c>
      <c r="K18" s="21" t="e">
        <f>K23+K458+K478+K696+K713+K722+K860+K885+K894+K912+K922+K930+K939+K948+K957+K966</f>
        <v>#REF!</v>
      </c>
      <c r="L18" s="21" t="e">
        <f>L23+L458+L478+L696+L713+L722+L860+L885+L894+L912+L922+L930+L939+L948+L957+L966</f>
        <v>#REF!</v>
      </c>
      <c r="M18" s="21" t="e">
        <f>M23+M458+M478+M696+M713+M722+M860+M885+M894+M912+M922+M930+M939+M948+M957+M966</f>
        <v>#REF!</v>
      </c>
      <c r="N18" s="21">
        <f>N23+N458+N478+N696+N713+N722+N860+N885+N894+N912+N922+N930+N939+N948+N957+N966</f>
        <v>475117608.0026548</v>
      </c>
      <c r="O18" s="21">
        <f>O23+O458+O478+O696+O713+O722+O860+O885+O894+O912+O922+O930+O939+O948+O957+O966</f>
        <v>254108499.9968</v>
      </c>
      <c r="P18" s="21">
        <f>N18+O18</f>
        <v>729226107.9994547</v>
      </c>
      <c r="R18" s="16"/>
    </row>
    <row r="19" spans="1:18" s="15" customFormat="1" ht="41.25" customHeight="1">
      <c r="A19" s="20" t="s">
        <v>22</v>
      </c>
      <c r="B19" s="20"/>
      <c r="C19" s="20"/>
      <c r="D19" s="21">
        <f>D24</f>
        <v>0</v>
      </c>
      <c r="E19" s="21">
        <f>E24</f>
        <v>61000000</v>
      </c>
      <c r="F19" s="21">
        <f>F24</f>
        <v>61000000</v>
      </c>
      <c r="G19" s="21">
        <f>G24</f>
        <v>0</v>
      </c>
      <c r="H19" s="21">
        <f>H24</f>
        <v>96030000</v>
      </c>
      <c r="I19" s="21" t="e">
        <f aca="true" t="shared" si="0" ref="I19:O19">I24</f>
        <v>#REF!</v>
      </c>
      <c r="J19" s="21">
        <f>SUM(G19)+H19</f>
        <v>96030000</v>
      </c>
      <c r="K19" s="21" t="e">
        <f t="shared" si="0"/>
        <v>#REF!</v>
      </c>
      <c r="L19" s="21" t="e">
        <f t="shared" si="0"/>
        <v>#REF!</v>
      </c>
      <c r="M19" s="21" t="e">
        <f t="shared" si="0"/>
        <v>#REF!</v>
      </c>
      <c r="N19" s="21">
        <f>N24</f>
        <v>0</v>
      </c>
      <c r="O19" s="21">
        <f t="shared" si="0"/>
        <v>101791800</v>
      </c>
      <c r="P19" s="21">
        <f>P24</f>
        <v>101791800</v>
      </c>
      <c r="R19" s="16"/>
    </row>
    <row r="20" spans="1:18" ht="40.5" customHeight="1">
      <c r="A20" s="20" t="s">
        <v>105</v>
      </c>
      <c r="B20" s="20"/>
      <c r="C20" s="20"/>
      <c r="D20" s="21">
        <f>D479</f>
        <v>177740</v>
      </c>
      <c r="E20" s="21">
        <f aca="true" t="shared" si="1" ref="E20:Q20">E479</f>
        <v>223400</v>
      </c>
      <c r="F20" s="21">
        <f>F479</f>
        <v>401140</v>
      </c>
      <c r="G20" s="21">
        <f t="shared" si="1"/>
        <v>313730</v>
      </c>
      <c r="H20" s="21">
        <f t="shared" si="1"/>
        <v>630370</v>
      </c>
      <c r="I20" s="21">
        <f t="shared" si="1"/>
        <v>0</v>
      </c>
      <c r="J20" s="21">
        <f t="shared" si="1"/>
        <v>944100</v>
      </c>
      <c r="K20" s="21" t="e">
        <f t="shared" si="1"/>
        <v>#REF!</v>
      </c>
      <c r="L20" s="21" t="e">
        <f t="shared" si="1"/>
        <v>#REF!</v>
      </c>
      <c r="M20" s="21" t="e">
        <f t="shared" si="1"/>
        <v>#REF!</v>
      </c>
      <c r="N20" s="21">
        <f t="shared" si="1"/>
        <v>322010</v>
      </c>
      <c r="O20" s="21">
        <f t="shared" si="1"/>
        <v>664380</v>
      </c>
      <c r="P20" s="21">
        <f t="shared" si="1"/>
        <v>986390</v>
      </c>
      <c r="Q20" s="21">
        <f t="shared" si="1"/>
        <v>0</v>
      </c>
      <c r="R20" s="16"/>
    </row>
    <row r="21" spans="1:131" s="250" customFormat="1" ht="20.25" customHeight="1">
      <c r="A21" s="247" t="s">
        <v>69</v>
      </c>
      <c r="B21" s="247"/>
      <c r="C21" s="247"/>
      <c r="D21" s="248">
        <f>D18+D19+D20</f>
        <v>325646650.12588084</v>
      </c>
      <c r="E21" s="248">
        <f>E18+E19+E20</f>
        <v>373935699.0057732</v>
      </c>
      <c r="F21" s="248">
        <f>F18+F19+F20</f>
        <v>699582349.141654</v>
      </c>
      <c r="G21" s="248">
        <f>G18+G19+G20</f>
        <v>438333224.0068245</v>
      </c>
      <c r="H21" s="248">
        <f>H18+H19+H20</f>
        <v>316374570.0013</v>
      </c>
      <c r="I21" s="248" t="e">
        <f aca="true" t="shared" si="2" ref="I21:Q21">I18+I19+I20</f>
        <v>#REF!</v>
      </c>
      <c r="J21" s="248">
        <f>J18+J19+J20</f>
        <v>754707794.0081245</v>
      </c>
      <c r="K21" s="248" t="e">
        <f t="shared" si="2"/>
        <v>#REF!</v>
      </c>
      <c r="L21" s="248" t="e">
        <f t="shared" si="2"/>
        <v>#REF!</v>
      </c>
      <c r="M21" s="248" t="e">
        <f t="shared" si="2"/>
        <v>#REF!</v>
      </c>
      <c r="N21" s="248">
        <f>N18+N19+N20</f>
        <v>475439618.0026548</v>
      </c>
      <c r="O21" s="248">
        <f t="shared" si="2"/>
        <v>356564679.9968</v>
      </c>
      <c r="P21" s="248">
        <f>P18+P19+P20</f>
        <v>832004297.9994547</v>
      </c>
      <c r="Q21" s="248">
        <f t="shared" si="2"/>
        <v>0</v>
      </c>
      <c r="R21" s="16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49"/>
      <c r="DR21" s="249"/>
      <c r="DS21" s="249"/>
      <c r="DT21" s="249"/>
      <c r="DU21" s="249"/>
      <c r="DV21" s="249"/>
      <c r="DW21" s="249"/>
      <c r="DX21" s="249"/>
      <c r="DY21" s="249"/>
      <c r="DZ21" s="249"/>
      <c r="EA21" s="249"/>
    </row>
    <row r="22" spans="1:131" s="76" customFormat="1" ht="30.75" customHeight="1">
      <c r="A22" s="198" t="s">
        <v>422</v>
      </c>
      <c r="B22" s="187"/>
      <c r="C22" s="187"/>
      <c r="D22" s="199">
        <f>D25+D156+D180+D253+D310+D353+D443+D451</f>
        <v>260620005.13018087</v>
      </c>
      <c r="E22" s="199">
        <f>E25+E156+E180+E253+E310+E353+E443+E451</f>
        <v>105837000.00793</v>
      </c>
      <c r="F22" s="199">
        <f>D22+E22</f>
        <v>366457005.1381109</v>
      </c>
      <c r="G22" s="199">
        <f>G25+G156+G180+G253+G310+G353+G443+G451</f>
        <v>422737565.0068245</v>
      </c>
      <c r="H22" s="199">
        <f>H25+H156+H180+H253+H310+H353+H443+H451</f>
        <v>192440000.0013</v>
      </c>
      <c r="I22" s="199">
        <f>I25+I156+I180+I253+I310+I353+I443+I451</f>
        <v>0</v>
      </c>
      <c r="J22" s="199">
        <f>G22+H22</f>
        <v>615177565.0081245</v>
      </c>
      <c r="K22" s="199" t="e">
        <f>K25+K156+K180+K253+K310+K353+K443+K451</f>
        <v>#REF!</v>
      </c>
      <c r="L22" s="199" t="e">
        <f>L25+L156+L180+L253+L310+L353+L443+L451</f>
        <v>#REF!</v>
      </c>
      <c r="M22" s="199" t="e">
        <f>M25+M156+M180+M253+M310+M353+M443+M451</f>
        <v>#REF!</v>
      </c>
      <c r="N22" s="199">
        <f>N25+N156+N180+N253+N310+N353+N443+N451</f>
        <v>459088100.0026548</v>
      </c>
      <c r="O22" s="199">
        <f>O25+O156+O180+O253+O310+O353+O443+O451</f>
        <v>203385899.9968</v>
      </c>
      <c r="P22" s="199">
        <f>N22+O22</f>
        <v>662473999.9994547</v>
      </c>
      <c r="Q22" s="79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</row>
    <row r="23" spans="1:131" s="76" customFormat="1" ht="15" customHeight="1">
      <c r="A23" s="80" t="s">
        <v>32</v>
      </c>
      <c r="B23" s="80"/>
      <c r="C23" s="80"/>
      <c r="D23" s="78">
        <f>D22-D24</f>
        <v>260620005.13018087</v>
      </c>
      <c r="E23" s="78">
        <f>E22-E24</f>
        <v>44837000.007929996</v>
      </c>
      <c r="F23" s="78">
        <f>D23+E23</f>
        <v>305457005.1381109</v>
      </c>
      <c r="G23" s="78">
        <f>G22-G24</f>
        <v>422737565.0068245</v>
      </c>
      <c r="H23" s="78">
        <f>H22-H24</f>
        <v>96410000.0013</v>
      </c>
      <c r="I23" s="78" t="e">
        <f>I92+#REF!+I108+#REF!+I156+I181+#REF!+#REF!+#REF!+I443+I451</f>
        <v>#REF!</v>
      </c>
      <c r="J23" s="78">
        <f>G23+H23</f>
        <v>519147565.0081245</v>
      </c>
      <c r="K23" s="78" t="e">
        <f>K92+#REF!+K108+#REF!+K156+K181+#REF!+#REF!+#REF!+K443+K451</f>
        <v>#REF!</v>
      </c>
      <c r="L23" s="78" t="e">
        <f>L92+#REF!+L108+#REF!+L156+L181+#REF!+#REF!+#REF!+L443+L451</f>
        <v>#REF!</v>
      </c>
      <c r="M23" s="78" t="e">
        <f>M92+#REF!+M108+#REF!+M156+M181+#REF!+#REF!+#REF!+M443+M451</f>
        <v>#REF!</v>
      </c>
      <c r="N23" s="78">
        <f>N22-N24</f>
        <v>459088100.0026548</v>
      </c>
      <c r="O23" s="78">
        <f>O22-O24</f>
        <v>101594099.9968</v>
      </c>
      <c r="P23" s="78">
        <f>N23+O23</f>
        <v>560682199.9994547</v>
      </c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</row>
    <row r="24" spans="1:131" s="76" customFormat="1" ht="28.5" customHeight="1">
      <c r="A24" s="80" t="s">
        <v>33</v>
      </c>
      <c r="B24" s="80"/>
      <c r="C24" s="80"/>
      <c r="D24" s="78">
        <f>D26</f>
        <v>0</v>
      </c>
      <c r="E24" s="78">
        <f>E26-7000000</f>
        <v>61000000</v>
      </c>
      <c r="F24" s="78">
        <f>SUM(D24)+E24</f>
        <v>61000000</v>
      </c>
      <c r="G24" s="78">
        <f>G26</f>
        <v>0</v>
      </c>
      <c r="H24" s="78">
        <f>H26</f>
        <v>96030000</v>
      </c>
      <c r="I24" s="78" t="e">
        <f>I26+I35+#REF!+#REF!+#REF!-2000000</f>
        <v>#REF!</v>
      </c>
      <c r="J24" s="78">
        <f>G24+H24</f>
        <v>96030000</v>
      </c>
      <c r="K24" s="78" t="e">
        <f>K26+K35+#REF!+#REF!+#REF!-2000000</f>
        <v>#REF!</v>
      </c>
      <c r="L24" s="78" t="e">
        <f>L26+L35+#REF!+#REF!+#REF!-2000000</f>
        <v>#REF!</v>
      </c>
      <c r="M24" s="78" t="e">
        <f>M26+M35+#REF!+#REF!+#REF!-2000000</f>
        <v>#REF!</v>
      </c>
      <c r="N24" s="78">
        <f>N26</f>
        <v>0</v>
      </c>
      <c r="O24" s="78">
        <f>O26</f>
        <v>101791800</v>
      </c>
      <c r="P24" s="78">
        <f>N24+O24</f>
        <v>101791800</v>
      </c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</row>
    <row r="25" spans="1:131" s="76" customFormat="1" ht="36" hidden="1">
      <c r="A25" s="188" t="s">
        <v>514</v>
      </c>
      <c r="B25" s="80"/>
      <c r="C25" s="80"/>
      <c r="D25" s="189">
        <f>D26+D35+D45+D62+D69+D76+D85+D92+D101+D108+D121+D128+D135+D142+D149</f>
        <v>148599100.0048</v>
      </c>
      <c r="E25" s="189">
        <f>E26+E35+E45+E62+E69+E76+E85+E92+E101+E108+E121+E128+E135+E142+E149</f>
        <v>81137000.00453</v>
      </c>
      <c r="F25" s="189">
        <f>F26+F35+F45+F62+F69+F76+F85+F92+F101+F108+F121+F128+F135+F142+F149-0.01</f>
        <v>229736099.99933</v>
      </c>
      <c r="G25" s="189">
        <f aca="true" t="shared" si="3" ref="G25:P25">G26+G35+G45+G62+G69+G76+G85+G92+G101+G108+G121+G128+G135+G142+G149</f>
        <v>270401099.999815</v>
      </c>
      <c r="H25" s="189">
        <f t="shared" si="3"/>
        <v>143060600.0013</v>
      </c>
      <c r="I25" s="189">
        <f t="shared" si="3"/>
        <v>0</v>
      </c>
      <c r="J25" s="189">
        <f t="shared" si="3"/>
        <v>413461700.00111496</v>
      </c>
      <c r="K25" s="189">
        <f t="shared" si="3"/>
        <v>0</v>
      </c>
      <c r="L25" s="189">
        <f t="shared" si="3"/>
        <v>0</v>
      </c>
      <c r="M25" s="189">
        <f t="shared" si="3"/>
        <v>0</v>
      </c>
      <c r="N25" s="189">
        <f t="shared" si="3"/>
        <v>296913000.00081503</v>
      </c>
      <c r="O25" s="189">
        <f t="shared" si="3"/>
        <v>151643800.0008</v>
      </c>
      <c r="P25" s="189">
        <f t="shared" si="3"/>
        <v>448556800.00161505</v>
      </c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</row>
    <row r="26" spans="1:131" s="117" customFormat="1" ht="45" hidden="1">
      <c r="A26" s="85" t="s">
        <v>515</v>
      </c>
      <c r="B26" s="77"/>
      <c r="C26" s="77"/>
      <c r="D26" s="81"/>
      <c r="E26" s="81">
        <f>90000000-29000000+7000000</f>
        <v>68000000</v>
      </c>
      <c r="F26" s="81">
        <f>SUM(D26)+E26</f>
        <v>68000000</v>
      </c>
      <c r="G26" s="81"/>
      <c r="H26" s="81">
        <v>96030000</v>
      </c>
      <c r="I26" s="81"/>
      <c r="J26" s="81">
        <f>H26</f>
        <v>96030000</v>
      </c>
      <c r="K26" s="81"/>
      <c r="L26" s="81"/>
      <c r="M26" s="81"/>
      <c r="N26" s="81"/>
      <c r="O26" s="81">
        <v>101791800</v>
      </c>
      <c r="P26" s="81">
        <f>(P32*P30)</f>
        <v>101791800</v>
      </c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</row>
    <row r="27" spans="1:16" ht="11.25" hidden="1">
      <c r="A27" s="165" t="s">
        <v>2</v>
      </c>
      <c r="B27" s="83"/>
      <c r="C27" s="83"/>
      <c r="D27" s="81"/>
      <c r="E27" s="81"/>
      <c r="F27" s="81"/>
      <c r="G27" s="81"/>
      <c r="H27" s="81"/>
      <c r="I27" s="81"/>
      <c r="J27" s="81"/>
      <c r="K27" s="74"/>
      <c r="L27" s="74"/>
      <c r="M27" s="74"/>
      <c r="N27" s="81"/>
      <c r="O27" s="81"/>
      <c r="P27" s="81"/>
    </row>
    <row r="28" spans="1:16" ht="27" customHeight="1" hidden="1">
      <c r="A28" s="72" t="s">
        <v>6</v>
      </c>
      <c r="B28" s="73"/>
      <c r="C28" s="73"/>
      <c r="D28" s="74"/>
      <c r="E28" s="74">
        <v>270000</v>
      </c>
      <c r="F28" s="74">
        <f>E28</f>
        <v>270000</v>
      </c>
      <c r="G28" s="74"/>
      <c r="H28" s="74">
        <v>270000</v>
      </c>
      <c r="I28" s="74"/>
      <c r="J28" s="74">
        <f>H28</f>
        <v>270000</v>
      </c>
      <c r="K28" s="74"/>
      <c r="L28" s="74"/>
      <c r="M28" s="74"/>
      <c r="N28" s="74"/>
      <c r="O28" s="74">
        <v>270000</v>
      </c>
      <c r="P28" s="74">
        <f>O28</f>
        <v>270000</v>
      </c>
    </row>
    <row r="29" spans="1:16" ht="11.25" hidden="1">
      <c r="A29" s="165" t="s">
        <v>3</v>
      </c>
      <c r="B29" s="83"/>
      <c r="C29" s="83"/>
      <c r="D29" s="74"/>
      <c r="E29" s="81"/>
      <c r="F29" s="81"/>
      <c r="G29" s="74"/>
      <c r="H29" s="81"/>
      <c r="I29" s="81"/>
      <c r="J29" s="81"/>
      <c r="K29" s="74"/>
      <c r="L29" s="74"/>
      <c r="M29" s="74"/>
      <c r="N29" s="74"/>
      <c r="O29" s="81"/>
      <c r="P29" s="81"/>
    </row>
    <row r="30" spans="1:16" ht="22.5" hidden="1">
      <c r="A30" s="72" t="s">
        <v>9</v>
      </c>
      <c r="B30" s="73"/>
      <c r="C30" s="73"/>
      <c r="D30" s="74"/>
      <c r="E30" s="74">
        <f>E26/E32</f>
        <v>55915.07486864068</v>
      </c>
      <c r="F30" s="74">
        <f>E30</f>
        <v>55915.07486864068</v>
      </c>
      <c r="G30" s="74"/>
      <c r="H30" s="74">
        <f>H26/H32</f>
        <v>74005.28664236558</v>
      </c>
      <c r="I30" s="74"/>
      <c r="J30" s="74">
        <f>H30</f>
        <v>74005.28664236558</v>
      </c>
      <c r="K30" s="74"/>
      <c r="L30" s="74"/>
      <c r="M30" s="74"/>
      <c r="N30" s="74"/>
      <c r="O30" s="74">
        <f>O26/O32</f>
        <v>74005.10371000458</v>
      </c>
      <c r="P30" s="74">
        <f>O30</f>
        <v>74005.10371000458</v>
      </c>
    </row>
    <row r="31" spans="1:16" ht="11.25" hidden="1">
      <c r="A31" s="165" t="s">
        <v>5</v>
      </c>
      <c r="B31" s="83"/>
      <c r="C31" s="83"/>
      <c r="D31" s="74"/>
      <c r="E31" s="81"/>
      <c r="F31" s="81"/>
      <c r="G31" s="74"/>
      <c r="H31" s="81"/>
      <c r="I31" s="81"/>
      <c r="J31" s="81"/>
      <c r="K31" s="74"/>
      <c r="L31" s="74"/>
      <c r="M31" s="74"/>
      <c r="N31" s="74"/>
      <c r="O31" s="81"/>
      <c r="P31" s="81"/>
    </row>
    <row r="32" spans="1:16" ht="22.5" hidden="1">
      <c r="A32" s="72" t="s">
        <v>10</v>
      </c>
      <c r="B32" s="73"/>
      <c r="C32" s="73"/>
      <c r="D32" s="74"/>
      <c r="E32" s="74">
        <v>1216.13</v>
      </c>
      <c r="F32" s="74">
        <f>E32</f>
        <v>1216.13</v>
      </c>
      <c r="G32" s="74"/>
      <c r="H32" s="74">
        <v>1297.61</v>
      </c>
      <c r="I32" s="74"/>
      <c r="J32" s="74">
        <f>H32</f>
        <v>1297.61</v>
      </c>
      <c r="K32" s="74"/>
      <c r="L32" s="74"/>
      <c r="M32" s="74"/>
      <c r="N32" s="74"/>
      <c r="O32" s="74">
        <v>1375.47</v>
      </c>
      <c r="P32" s="74">
        <f>O32</f>
        <v>1375.47</v>
      </c>
    </row>
    <row r="33" spans="1:16" ht="11.25" hidden="1">
      <c r="A33" s="3" t="s">
        <v>4</v>
      </c>
      <c r="B33" s="25"/>
      <c r="C33" s="25"/>
      <c r="D33" s="5"/>
      <c r="E33" s="24"/>
      <c r="F33" s="24"/>
      <c r="G33" s="5"/>
      <c r="H33" s="24"/>
      <c r="I33" s="24"/>
      <c r="J33" s="24"/>
      <c r="K33" s="5"/>
      <c r="L33" s="5"/>
      <c r="M33" s="5"/>
      <c r="N33" s="5"/>
      <c r="O33" s="24"/>
      <c r="P33" s="24"/>
    </row>
    <row r="34" spans="1:16" ht="22.5" hidden="1">
      <c r="A34" s="6" t="s">
        <v>14</v>
      </c>
      <c r="B34" s="4"/>
      <c r="C34" s="4"/>
      <c r="D34" s="5"/>
      <c r="E34" s="5">
        <f>E30/E28*100</f>
        <v>20.709286988385436</v>
      </c>
      <c r="F34" s="5">
        <f>F30/F28*100</f>
        <v>20.709286988385436</v>
      </c>
      <c r="G34" s="5"/>
      <c r="H34" s="5">
        <f>H30/H28*100</f>
        <v>27.409365423098365</v>
      </c>
      <c r="I34" s="5" t="e">
        <f>I30/I28*100</f>
        <v>#DIV/0!</v>
      </c>
      <c r="J34" s="5">
        <f>J30/J28*100</f>
        <v>27.409365423098365</v>
      </c>
      <c r="K34" s="5"/>
      <c r="L34" s="5"/>
      <c r="M34" s="5"/>
      <c r="N34" s="5"/>
      <c r="O34" s="5">
        <f>O30/O28*100</f>
        <v>27.40929767037207</v>
      </c>
      <c r="P34" s="5">
        <f>P30/P28*100</f>
        <v>27.40929767037207</v>
      </c>
    </row>
    <row r="35" spans="1:131" s="117" customFormat="1" ht="35.25" customHeight="1" hidden="1">
      <c r="A35" s="85" t="s">
        <v>516</v>
      </c>
      <c r="B35" s="77"/>
      <c r="C35" s="77"/>
      <c r="D35" s="81">
        <f>156000000+25000000-63000000-25000000</f>
        <v>93000000</v>
      </c>
      <c r="E35" s="81"/>
      <c r="F35" s="81">
        <f>F41*F39</f>
        <v>93000000</v>
      </c>
      <c r="G35" s="81">
        <v>165000000</v>
      </c>
      <c r="H35" s="81"/>
      <c r="I35" s="81"/>
      <c r="J35" s="81">
        <f>G35</f>
        <v>165000000</v>
      </c>
      <c r="K35" s="81"/>
      <c r="L35" s="81"/>
      <c r="M35" s="81"/>
      <c r="N35" s="81">
        <v>181500000</v>
      </c>
      <c r="O35" s="81"/>
      <c r="P35" s="81">
        <f>N35</f>
        <v>181500000</v>
      </c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</row>
    <row r="36" spans="1:16" ht="11.25" hidden="1">
      <c r="A36" s="165" t="s">
        <v>2</v>
      </c>
      <c r="B36" s="83"/>
      <c r="C36" s="83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1:16" ht="22.5" hidden="1">
      <c r="A37" s="72" t="s">
        <v>7</v>
      </c>
      <c r="B37" s="73"/>
      <c r="C37" s="73"/>
      <c r="D37" s="74">
        <v>292000</v>
      </c>
      <c r="E37" s="74"/>
      <c r="F37" s="74">
        <f>D37</f>
        <v>292000</v>
      </c>
      <c r="G37" s="74">
        <v>292000</v>
      </c>
      <c r="H37" s="74"/>
      <c r="I37" s="74"/>
      <c r="J37" s="74">
        <f>G37</f>
        <v>292000</v>
      </c>
      <c r="K37" s="74"/>
      <c r="L37" s="74"/>
      <c r="M37" s="74"/>
      <c r="N37" s="74">
        <v>300000</v>
      </c>
      <c r="O37" s="74"/>
      <c r="P37" s="74">
        <f>N37</f>
        <v>300000</v>
      </c>
    </row>
    <row r="38" spans="1:16" ht="11.25" hidden="1">
      <c r="A38" s="165" t="s">
        <v>3</v>
      </c>
      <c r="B38" s="83"/>
      <c r="C38" s="83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ht="22.5" hidden="1">
      <c r="A39" s="72" t="s">
        <v>8</v>
      </c>
      <c r="B39" s="73"/>
      <c r="C39" s="73"/>
      <c r="D39" s="74">
        <f>D35/D41</f>
        <v>57343.692193858675</v>
      </c>
      <c r="E39" s="74"/>
      <c r="F39" s="74">
        <f>D39</f>
        <v>57343.692193858675</v>
      </c>
      <c r="G39" s="74">
        <f>G35/G41</f>
        <v>95350.36926597552</v>
      </c>
      <c r="H39" s="74"/>
      <c r="I39" s="74"/>
      <c r="J39" s="74">
        <f>G39</f>
        <v>95350.36926597552</v>
      </c>
      <c r="K39" s="74"/>
      <c r="L39" s="74"/>
      <c r="M39" s="74"/>
      <c r="N39" s="74">
        <f>N35/N41</f>
        <v>98948.36694306789</v>
      </c>
      <c r="O39" s="74"/>
      <c r="P39" s="74">
        <f>N39</f>
        <v>98948.36694306789</v>
      </c>
    </row>
    <row r="40" spans="1:16" ht="11.25" hidden="1">
      <c r="A40" s="165" t="s">
        <v>5</v>
      </c>
      <c r="B40" s="83"/>
      <c r="C40" s="8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ht="24" customHeight="1" hidden="1">
      <c r="A41" s="72" t="s">
        <v>12</v>
      </c>
      <c r="B41" s="73"/>
      <c r="C41" s="73"/>
      <c r="D41" s="74">
        <v>1621.8</v>
      </c>
      <c r="E41" s="74"/>
      <c r="F41" s="74">
        <f>D41</f>
        <v>1621.8</v>
      </c>
      <c r="G41" s="74">
        <v>1730.46</v>
      </c>
      <c r="H41" s="74"/>
      <c r="I41" s="74"/>
      <c r="J41" s="74">
        <f>G41</f>
        <v>1730.46</v>
      </c>
      <c r="K41" s="74"/>
      <c r="L41" s="74"/>
      <c r="M41" s="74"/>
      <c r="N41" s="74">
        <v>1834.29</v>
      </c>
      <c r="O41" s="74"/>
      <c r="P41" s="74">
        <f>N41</f>
        <v>1834.29</v>
      </c>
    </row>
    <row r="42" spans="1:16" ht="11.25" hidden="1">
      <c r="A42" s="3" t="s">
        <v>4</v>
      </c>
      <c r="B42" s="25"/>
      <c r="C42" s="2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21.75" customHeight="1" hidden="1">
      <c r="A43" s="6" t="s">
        <v>13</v>
      </c>
      <c r="B43" s="4"/>
      <c r="C43" s="4"/>
      <c r="D43" s="5">
        <f>D39/D37*100</f>
        <v>19.638250751321465</v>
      </c>
      <c r="E43" s="5"/>
      <c r="F43" s="5">
        <f>F39/F37*100</f>
        <v>19.638250751321465</v>
      </c>
      <c r="G43" s="5">
        <f>G39/G37*100</f>
        <v>32.65423604999162</v>
      </c>
      <c r="H43" s="5"/>
      <c r="I43" s="5"/>
      <c r="J43" s="5">
        <f>J39/J37*100</f>
        <v>32.65423604999162</v>
      </c>
      <c r="K43" s="5"/>
      <c r="L43" s="5"/>
      <c r="M43" s="5"/>
      <c r="N43" s="5">
        <f>N39/N37*100</f>
        <v>32.98278898102262</v>
      </c>
      <c r="O43" s="5"/>
      <c r="P43" s="5">
        <f>P39/P37*100</f>
        <v>32.98278898102262</v>
      </c>
    </row>
    <row r="44" spans="1:132" ht="21.75" customHeight="1" hidden="1">
      <c r="A44" s="6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EB44" s="15"/>
    </row>
    <row r="45" spans="1:132" s="117" customFormat="1" ht="48" customHeight="1" hidden="1">
      <c r="A45" s="85" t="s">
        <v>517</v>
      </c>
      <c r="B45" s="77"/>
      <c r="C45" s="77"/>
      <c r="D45" s="81">
        <f>(D49*D51)+(D59*D57)+5.05</f>
        <v>51000000.0048</v>
      </c>
      <c r="E45" s="81"/>
      <c r="F45" s="81">
        <f>D45</f>
        <v>51000000.0048</v>
      </c>
      <c r="G45" s="81">
        <f>G49*G51+G57*G59-0.01</f>
        <v>90950599.999815</v>
      </c>
      <c r="H45" s="81"/>
      <c r="I45" s="81"/>
      <c r="J45" s="81">
        <f>G45</f>
        <v>90950599.999815</v>
      </c>
      <c r="K45" s="81"/>
      <c r="L45" s="81"/>
      <c r="M45" s="81"/>
      <c r="N45" s="81">
        <f>N49*N51+N57*N59</f>
        <v>100045700.000815</v>
      </c>
      <c r="O45" s="81"/>
      <c r="P45" s="81">
        <f>N45</f>
        <v>100045700.000815</v>
      </c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</row>
    <row r="46" spans="1:132" ht="11.25" hidden="1">
      <c r="A46" s="3" t="s">
        <v>2</v>
      </c>
      <c r="B46" s="25"/>
      <c r="C46" s="2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EB46" s="15"/>
    </row>
    <row r="47" spans="1:132" ht="22.5" hidden="1">
      <c r="A47" s="6" t="s">
        <v>28</v>
      </c>
      <c r="B47" s="4"/>
      <c r="C47" s="4"/>
      <c r="D47" s="5">
        <v>3372600</v>
      </c>
      <c r="E47" s="5"/>
      <c r="F47" s="5">
        <f>D47</f>
        <v>3372600</v>
      </c>
      <c r="G47" s="5">
        <v>3372600</v>
      </c>
      <c r="H47" s="5"/>
      <c r="I47" s="5"/>
      <c r="J47" s="5">
        <f>G47</f>
        <v>3372600</v>
      </c>
      <c r="K47" s="5"/>
      <c r="L47" s="5"/>
      <c r="M47" s="5"/>
      <c r="N47" s="5">
        <v>3372600</v>
      </c>
      <c r="O47" s="5"/>
      <c r="P47" s="5">
        <f>N47</f>
        <v>3372600</v>
      </c>
      <c r="EB47" s="15"/>
    </row>
    <row r="48" spans="1:132" ht="11.25" hidden="1">
      <c r="A48" s="3" t="s">
        <v>3</v>
      </c>
      <c r="B48" s="25"/>
      <c r="C48" s="2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EB48" s="15"/>
    </row>
    <row r="49" spans="1:132" ht="21.75" customHeight="1" hidden="1">
      <c r="A49" s="6" t="s">
        <v>29</v>
      </c>
      <c r="B49" s="4"/>
      <c r="C49" s="4"/>
      <c r="D49" s="5">
        <v>2134700</v>
      </c>
      <c r="E49" s="5"/>
      <c r="F49" s="5">
        <f>D49</f>
        <v>2134700</v>
      </c>
      <c r="G49" s="5">
        <v>2202395</v>
      </c>
      <c r="H49" s="5"/>
      <c r="I49" s="5"/>
      <c r="J49" s="5">
        <f>G49</f>
        <v>2202395</v>
      </c>
      <c r="K49" s="5">
        <f>H49</f>
        <v>0</v>
      </c>
      <c r="L49" s="5">
        <f>I49</f>
        <v>0</v>
      </c>
      <c r="M49" s="5">
        <f>J49</f>
        <v>2202395</v>
      </c>
      <c r="N49" s="5">
        <v>2287393</v>
      </c>
      <c r="O49" s="5"/>
      <c r="P49" s="5">
        <f>N49</f>
        <v>2287393</v>
      </c>
      <c r="EB49" s="15"/>
    </row>
    <row r="50" spans="1:132" ht="11.25" hidden="1">
      <c r="A50" s="3" t="s">
        <v>5</v>
      </c>
      <c r="B50" s="25"/>
      <c r="C50" s="2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EB50" s="15"/>
    </row>
    <row r="51" spans="1:132" ht="21.75" customHeight="1" hidden="1">
      <c r="A51" s="6" t="s">
        <v>11</v>
      </c>
      <c r="B51" s="4"/>
      <c r="C51" s="4"/>
      <c r="D51" s="5">
        <v>22.87849</v>
      </c>
      <c r="E51" s="5"/>
      <c r="F51" s="5">
        <f>D51</f>
        <v>22.87849</v>
      </c>
      <c r="G51" s="5">
        <v>40.25</v>
      </c>
      <c r="H51" s="5"/>
      <c r="I51" s="5"/>
      <c r="J51" s="5">
        <f>G51</f>
        <v>40.25</v>
      </c>
      <c r="K51" s="5"/>
      <c r="L51" s="5"/>
      <c r="M51" s="5"/>
      <c r="N51" s="5">
        <v>42.67</v>
      </c>
      <c r="O51" s="5"/>
      <c r="P51" s="5">
        <f>N51</f>
        <v>42.67</v>
      </c>
      <c r="EB51" s="15"/>
    </row>
    <row r="52" spans="1:132" ht="11.25" hidden="1">
      <c r="A52" s="3" t="s">
        <v>4</v>
      </c>
      <c r="B52" s="25"/>
      <c r="C52" s="2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EB52" s="15"/>
    </row>
    <row r="53" spans="1:16" ht="34.5" customHeight="1" hidden="1">
      <c r="A53" s="6" t="s">
        <v>30</v>
      </c>
      <c r="B53" s="4"/>
      <c r="C53" s="4"/>
      <c r="D53" s="5">
        <f>D49/D47*100</f>
        <v>63.29538041866809</v>
      </c>
      <c r="E53" s="5"/>
      <c r="F53" s="5">
        <f>F49/F47*100</f>
        <v>63.29538041866809</v>
      </c>
      <c r="G53" s="5">
        <f>G49/G47*100</f>
        <v>65.30258554231156</v>
      </c>
      <c r="H53" s="5"/>
      <c r="I53" s="5"/>
      <c r="J53" s="5">
        <f>J49/J47*100</f>
        <v>65.30258554231156</v>
      </c>
      <c r="K53" s="5"/>
      <c r="L53" s="5"/>
      <c r="M53" s="5"/>
      <c r="N53" s="5">
        <f>N49/N47*100</f>
        <v>67.82283698037122</v>
      </c>
      <c r="O53" s="5"/>
      <c r="P53" s="5">
        <f>P49/P47*100</f>
        <v>67.82283698037122</v>
      </c>
    </row>
    <row r="54" spans="1:16" ht="11.25" hidden="1">
      <c r="A54" s="3" t="s">
        <v>2</v>
      </c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33.75" hidden="1">
      <c r="A55" s="6" t="s">
        <v>143</v>
      </c>
      <c r="B55" s="4"/>
      <c r="C55" s="4"/>
      <c r="D55" s="5">
        <v>446550</v>
      </c>
      <c r="E55" s="5"/>
      <c r="F55" s="5">
        <v>446550</v>
      </c>
      <c r="G55" s="5">
        <v>446550</v>
      </c>
      <c r="H55" s="5"/>
      <c r="I55" s="5"/>
      <c r="J55" s="5">
        <v>446550</v>
      </c>
      <c r="K55" s="5"/>
      <c r="L55" s="5"/>
      <c r="M55" s="5"/>
      <c r="N55" s="5">
        <v>446550</v>
      </c>
      <c r="O55" s="5"/>
      <c r="P55" s="5">
        <v>446550</v>
      </c>
    </row>
    <row r="56" spans="1:16" ht="11.25" hidden="1">
      <c r="A56" s="3" t="s">
        <v>3</v>
      </c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33.75" hidden="1">
      <c r="A57" s="6" t="s">
        <v>142</v>
      </c>
      <c r="B57" s="4"/>
      <c r="C57" s="4"/>
      <c r="D57" s="5">
        <v>446550</v>
      </c>
      <c r="E57" s="5"/>
      <c r="F57" s="5">
        <v>446550</v>
      </c>
      <c r="G57" s="5">
        <v>446550</v>
      </c>
      <c r="H57" s="5"/>
      <c r="I57" s="5"/>
      <c r="J57" s="5">
        <v>446550</v>
      </c>
      <c r="K57" s="5">
        <v>446550</v>
      </c>
      <c r="L57" s="5">
        <v>446550</v>
      </c>
      <c r="M57" s="5">
        <v>446550</v>
      </c>
      <c r="N57" s="5">
        <v>446550</v>
      </c>
      <c r="O57" s="5"/>
      <c r="P57" s="5">
        <f>N57</f>
        <v>446550</v>
      </c>
    </row>
    <row r="58" spans="1:16" ht="11.25" hidden="1">
      <c r="A58" s="3" t="s">
        <v>5</v>
      </c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22.5" hidden="1">
      <c r="A59" s="6" t="s">
        <v>11</v>
      </c>
      <c r="B59" s="4"/>
      <c r="C59" s="4"/>
      <c r="D59" s="5">
        <v>4.839956</v>
      </c>
      <c r="E59" s="5"/>
      <c r="F59" s="5">
        <f>D59</f>
        <v>4.839956</v>
      </c>
      <c r="G59" s="5">
        <v>5.1600073</v>
      </c>
      <c r="H59" s="5"/>
      <c r="I59" s="5"/>
      <c r="J59" s="5">
        <f>G59</f>
        <v>5.1600073</v>
      </c>
      <c r="K59" s="5"/>
      <c r="L59" s="5"/>
      <c r="M59" s="5"/>
      <c r="N59" s="5">
        <v>5.4700273</v>
      </c>
      <c r="O59" s="5"/>
      <c r="P59" s="5">
        <f>N59</f>
        <v>5.4700273</v>
      </c>
    </row>
    <row r="60" spans="1:16" ht="11.25" hidden="1">
      <c r="A60" s="3" t="s">
        <v>4</v>
      </c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31.5" customHeight="1" hidden="1">
      <c r="A61" s="6" t="s">
        <v>30</v>
      </c>
      <c r="B61" s="4"/>
      <c r="C61" s="4"/>
      <c r="D61" s="5">
        <v>100</v>
      </c>
      <c r="E61" s="5"/>
      <c r="F61" s="5">
        <v>100</v>
      </c>
      <c r="G61" s="5">
        <v>100</v>
      </c>
      <c r="H61" s="5"/>
      <c r="I61" s="5"/>
      <c r="J61" s="5">
        <v>100</v>
      </c>
      <c r="K61" s="5"/>
      <c r="L61" s="5"/>
      <c r="M61" s="5"/>
      <c r="N61" s="5">
        <v>100</v>
      </c>
      <c r="O61" s="5"/>
      <c r="P61" s="5">
        <v>100</v>
      </c>
    </row>
    <row r="62" spans="1:137" s="118" customFormat="1" ht="30" customHeight="1" hidden="1">
      <c r="A62" s="85" t="s">
        <v>441</v>
      </c>
      <c r="B62" s="77"/>
      <c r="C62" s="77"/>
      <c r="D62" s="81">
        <f>1000000-600000</f>
        <v>400000</v>
      </c>
      <c r="E62" s="81"/>
      <c r="F62" s="81">
        <f>D62</f>
        <v>400000</v>
      </c>
      <c r="G62" s="81">
        <v>1200000</v>
      </c>
      <c r="H62" s="81"/>
      <c r="I62" s="81"/>
      <c r="J62" s="81">
        <f>G62</f>
        <v>1200000</v>
      </c>
      <c r="K62" s="81"/>
      <c r="L62" s="81"/>
      <c r="M62" s="81"/>
      <c r="N62" s="81">
        <v>1300000</v>
      </c>
      <c r="O62" s="81"/>
      <c r="P62" s="81">
        <f>N62</f>
        <v>1300000</v>
      </c>
      <c r="EB62" s="87"/>
      <c r="EC62" s="87"/>
      <c r="ED62" s="87"/>
      <c r="EE62" s="87"/>
      <c r="EF62" s="87"/>
      <c r="EG62" s="87"/>
    </row>
    <row r="63" spans="1:137" s="15" customFormat="1" ht="18.75" customHeight="1" hidden="1">
      <c r="A63" s="3" t="s">
        <v>77</v>
      </c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EB63" s="34"/>
      <c r="EC63" s="34"/>
      <c r="ED63" s="34"/>
      <c r="EE63" s="34"/>
      <c r="EF63" s="34"/>
      <c r="EG63" s="34"/>
    </row>
    <row r="64" spans="1:137" s="15" customFormat="1" ht="24" customHeight="1" hidden="1">
      <c r="A64" s="6" t="s">
        <v>289</v>
      </c>
      <c r="B64" s="4"/>
      <c r="C64" s="4"/>
      <c r="D64" s="5">
        <f>D62</f>
        <v>400000</v>
      </c>
      <c r="E64" s="5"/>
      <c r="F64" s="5">
        <f>D64</f>
        <v>400000</v>
      </c>
      <c r="G64" s="5">
        <f>G62</f>
        <v>1200000</v>
      </c>
      <c r="H64" s="5"/>
      <c r="I64" s="5"/>
      <c r="J64" s="5">
        <f>G64</f>
        <v>1200000</v>
      </c>
      <c r="K64" s="5"/>
      <c r="L64" s="5"/>
      <c r="M64" s="5"/>
      <c r="N64" s="5">
        <f>N62</f>
        <v>1300000</v>
      </c>
      <c r="O64" s="5"/>
      <c r="P64" s="5">
        <f>N64</f>
        <v>1300000</v>
      </c>
      <c r="EB64" s="34"/>
      <c r="EC64" s="34"/>
      <c r="ED64" s="34"/>
      <c r="EE64" s="34"/>
      <c r="EF64" s="34"/>
      <c r="EG64" s="34"/>
    </row>
    <row r="65" spans="1:137" s="15" customFormat="1" ht="18.75" customHeight="1" hidden="1">
      <c r="A65" s="3" t="s">
        <v>231</v>
      </c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EB65" s="34"/>
      <c r="EC65" s="34"/>
      <c r="ED65" s="34"/>
      <c r="EE65" s="34"/>
      <c r="EF65" s="34"/>
      <c r="EG65" s="34"/>
    </row>
    <row r="66" spans="1:137" s="15" customFormat="1" ht="18" customHeight="1" hidden="1">
      <c r="A66" s="50" t="s">
        <v>290</v>
      </c>
      <c r="B66" s="4"/>
      <c r="C66" s="4"/>
      <c r="D66" s="5">
        <f>D64/D68</f>
        <v>2</v>
      </c>
      <c r="E66" s="5"/>
      <c r="F66" s="5">
        <f>D66</f>
        <v>2</v>
      </c>
      <c r="G66" s="89">
        <v>5</v>
      </c>
      <c r="H66" s="5"/>
      <c r="I66" s="5"/>
      <c r="J66" s="89">
        <f>G66</f>
        <v>5</v>
      </c>
      <c r="K66" s="5"/>
      <c r="L66" s="5"/>
      <c r="M66" s="5"/>
      <c r="N66" s="5">
        <v>5</v>
      </c>
      <c r="O66" s="5"/>
      <c r="P66" s="5">
        <f>N66</f>
        <v>5</v>
      </c>
      <c r="EB66" s="34"/>
      <c r="EC66" s="34"/>
      <c r="ED66" s="34"/>
      <c r="EE66" s="34"/>
      <c r="EF66" s="34"/>
      <c r="EG66" s="34"/>
    </row>
    <row r="67" spans="1:137" s="15" customFormat="1" ht="16.5" customHeight="1" hidden="1">
      <c r="A67" s="3" t="s">
        <v>226</v>
      </c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EB67" s="34"/>
      <c r="EC67" s="34"/>
      <c r="ED67" s="34"/>
      <c r="EE67" s="34"/>
      <c r="EF67" s="34"/>
      <c r="EG67" s="34"/>
    </row>
    <row r="68" spans="1:137" s="15" customFormat="1" ht="27" customHeight="1" hidden="1">
      <c r="A68" s="6" t="s">
        <v>291</v>
      </c>
      <c r="B68" s="4"/>
      <c r="C68" s="4"/>
      <c r="D68" s="5">
        <v>200000</v>
      </c>
      <c r="E68" s="5"/>
      <c r="F68" s="5">
        <f>D68</f>
        <v>200000</v>
      </c>
      <c r="G68" s="5">
        <f>G64/G66</f>
        <v>240000</v>
      </c>
      <c r="H68" s="5"/>
      <c r="I68" s="5"/>
      <c r="J68" s="5">
        <f>G68</f>
        <v>240000</v>
      </c>
      <c r="K68" s="5"/>
      <c r="L68" s="5"/>
      <c r="M68" s="5"/>
      <c r="N68" s="5">
        <f>N64/N66</f>
        <v>260000</v>
      </c>
      <c r="O68" s="5"/>
      <c r="P68" s="5">
        <f>N68</f>
        <v>260000</v>
      </c>
      <c r="EB68" s="34"/>
      <c r="EC68" s="34"/>
      <c r="ED68" s="34"/>
      <c r="EE68" s="34"/>
      <c r="EF68" s="34"/>
      <c r="EG68" s="34"/>
    </row>
    <row r="69" spans="1:137" s="118" customFormat="1" ht="27" customHeight="1" hidden="1">
      <c r="A69" s="85" t="s">
        <v>442</v>
      </c>
      <c r="B69" s="77"/>
      <c r="C69" s="77"/>
      <c r="D69" s="81">
        <f>D71</f>
        <v>395000</v>
      </c>
      <c r="E69" s="81">
        <f aca="true" t="shared" si="4" ref="E69:O69">E71</f>
        <v>2327000</v>
      </c>
      <c r="F69" s="81">
        <f t="shared" si="4"/>
        <v>2722000</v>
      </c>
      <c r="G69" s="81">
        <f t="shared" si="4"/>
        <v>1595200</v>
      </c>
      <c r="H69" s="81">
        <f t="shared" si="4"/>
        <v>7818300</v>
      </c>
      <c r="I69" s="81">
        <f t="shared" si="4"/>
        <v>0</v>
      </c>
      <c r="J69" s="81">
        <f t="shared" si="4"/>
        <v>9413500</v>
      </c>
      <c r="K69" s="81">
        <f t="shared" si="4"/>
        <v>0</v>
      </c>
      <c r="L69" s="81">
        <f t="shared" si="4"/>
        <v>0</v>
      </c>
      <c r="M69" s="81">
        <f t="shared" si="4"/>
        <v>0</v>
      </c>
      <c r="N69" s="81">
        <f t="shared" si="4"/>
        <v>1690900</v>
      </c>
      <c r="O69" s="81">
        <f t="shared" si="4"/>
        <v>8287400</v>
      </c>
      <c r="P69" s="81">
        <f>P71</f>
        <v>9978300</v>
      </c>
      <c r="EB69" s="87"/>
      <c r="EC69" s="87"/>
      <c r="ED69" s="87"/>
      <c r="EE69" s="87"/>
      <c r="EF69" s="87"/>
      <c r="EG69" s="87"/>
    </row>
    <row r="70" spans="1:137" s="15" customFormat="1" ht="19.5" customHeight="1" hidden="1">
      <c r="A70" s="3" t="s">
        <v>77</v>
      </c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EB70" s="34"/>
      <c r="EC70" s="34"/>
      <c r="ED70" s="34"/>
      <c r="EE70" s="34"/>
      <c r="EF70" s="34"/>
      <c r="EG70" s="34"/>
    </row>
    <row r="71" spans="1:137" s="15" customFormat="1" ht="27" customHeight="1" hidden="1">
      <c r="A71" s="6" t="s">
        <v>292</v>
      </c>
      <c r="B71" s="4"/>
      <c r="C71" s="4"/>
      <c r="D71" s="5">
        <f>1495000-1100000</f>
        <v>395000</v>
      </c>
      <c r="E71" s="5">
        <f>7327400-5000400</f>
        <v>2327000</v>
      </c>
      <c r="F71" s="5">
        <f>D71+E71</f>
        <v>2722000</v>
      </c>
      <c r="G71" s="5">
        <v>1595200</v>
      </c>
      <c r="H71" s="5">
        <v>7818300</v>
      </c>
      <c r="I71" s="5"/>
      <c r="J71" s="5">
        <f>G71+H71</f>
        <v>9413500</v>
      </c>
      <c r="K71" s="5"/>
      <c r="L71" s="5"/>
      <c r="M71" s="5"/>
      <c r="N71" s="5">
        <v>1690900</v>
      </c>
      <c r="O71" s="5">
        <v>8287400</v>
      </c>
      <c r="P71" s="5">
        <f>N71+O71</f>
        <v>9978300</v>
      </c>
      <c r="EB71" s="34"/>
      <c r="EC71" s="34"/>
      <c r="ED71" s="34"/>
      <c r="EE71" s="34"/>
      <c r="EF71" s="34"/>
      <c r="EG71" s="34"/>
    </row>
    <row r="72" spans="1:137" s="15" customFormat="1" ht="11.25" hidden="1">
      <c r="A72" s="3" t="s">
        <v>231</v>
      </c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EB72" s="34"/>
      <c r="EC72" s="34"/>
      <c r="ED72" s="34"/>
      <c r="EE72" s="34"/>
      <c r="EF72" s="34"/>
      <c r="EG72" s="34"/>
    </row>
    <row r="73" spans="1:137" s="15" customFormat="1" ht="11.25" hidden="1">
      <c r="A73" s="50" t="s">
        <v>293</v>
      </c>
      <c r="B73" s="4"/>
      <c r="C73" s="4"/>
      <c r="D73" s="89">
        <f>D71/D75</f>
        <v>2.6333333333333333</v>
      </c>
      <c r="E73" s="89">
        <v>4</v>
      </c>
      <c r="F73" s="89">
        <f>D73+E73</f>
        <v>6.633333333333333</v>
      </c>
      <c r="G73" s="89">
        <f>G71/G75</f>
        <v>9.97</v>
      </c>
      <c r="H73" s="89">
        <f>H71/H75</f>
        <v>14.654732895970008</v>
      </c>
      <c r="I73" s="5"/>
      <c r="J73" s="89">
        <f>G73+H73</f>
        <v>24.62473289597001</v>
      </c>
      <c r="K73" s="5"/>
      <c r="L73" s="5"/>
      <c r="M73" s="5"/>
      <c r="N73" s="89">
        <f>N71/N75</f>
        <v>9.952324896998235</v>
      </c>
      <c r="O73" s="89">
        <f>O71/O75</f>
        <v>14.65473643260066</v>
      </c>
      <c r="P73" s="89">
        <f>N73+O73</f>
        <v>24.607061329598896</v>
      </c>
      <c r="EB73" s="34"/>
      <c r="EC73" s="34"/>
      <c r="ED73" s="34"/>
      <c r="EE73" s="34"/>
      <c r="EF73" s="34"/>
      <c r="EG73" s="34"/>
    </row>
    <row r="74" spans="1:137" s="15" customFormat="1" ht="11.25" hidden="1">
      <c r="A74" s="3" t="s">
        <v>226</v>
      </c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EB74" s="34"/>
      <c r="EC74" s="34"/>
      <c r="ED74" s="34"/>
      <c r="EE74" s="34"/>
      <c r="EF74" s="34"/>
      <c r="EG74" s="34"/>
    </row>
    <row r="75" spans="1:137" s="15" customFormat="1" ht="30" customHeight="1" hidden="1">
      <c r="A75" s="6" t="s">
        <v>294</v>
      </c>
      <c r="B75" s="4"/>
      <c r="C75" s="4"/>
      <c r="D75" s="5">
        <v>150000</v>
      </c>
      <c r="E75" s="5">
        <v>500000</v>
      </c>
      <c r="F75" s="5">
        <f>D75+E75</f>
        <v>650000</v>
      </c>
      <c r="G75" s="5">
        <v>160000</v>
      </c>
      <c r="H75" s="5">
        <v>533500</v>
      </c>
      <c r="I75" s="5"/>
      <c r="J75" s="5">
        <f>G75+H75</f>
        <v>693500</v>
      </c>
      <c r="K75" s="5"/>
      <c r="L75" s="5"/>
      <c r="M75" s="5"/>
      <c r="N75" s="5">
        <v>169900</v>
      </c>
      <c r="O75" s="5">
        <v>565510</v>
      </c>
      <c r="P75" s="5">
        <f>N75+O75</f>
        <v>735410</v>
      </c>
      <c r="EB75" s="34"/>
      <c r="EC75" s="34"/>
      <c r="ED75" s="34"/>
      <c r="EE75" s="34"/>
      <c r="EF75" s="34"/>
      <c r="EG75" s="34"/>
    </row>
    <row r="76" spans="1:131" s="117" customFormat="1" ht="24.75" customHeight="1" hidden="1">
      <c r="A76" s="85" t="s">
        <v>443</v>
      </c>
      <c r="B76" s="77"/>
      <c r="C76" s="77"/>
      <c r="D76" s="81">
        <f>D78</f>
        <v>3000000</v>
      </c>
      <c r="E76" s="81"/>
      <c r="F76" s="81">
        <f>D76</f>
        <v>3000000</v>
      </c>
      <c r="G76" s="81">
        <f>G78</f>
        <v>7469000</v>
      </c>
      <c r="H76" s="81"/>
      <c r="I76" s="81"/>
      <c r="J76" s="81">
        <f>G76+H76</f>
        <v>7469000</v>
      </c>
      <c r="K76" s="81"/>
      <c r="L76" s="81"/>
      <c r="M76" s="81"/>
      <c r="N76" s="81">
        <f>N78</f>
        <v>7917000</v>
      </c>
      <c r="O76" s="81"/>
      <c r="P76" s="81">
        <f>N76</f>
        <v>7917000</v>
      </c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6"/>
      <c r="DR76" s="116"/>
      <c r="DS76" s="116"/>
      <c r="DT76" s="116"/>
      <c r="DU76" s="116"/>
      <c r="DV76" s="116"/>
      <c r="DW76" s="116"/>
      <c r="DX76" s="116"/>
      <c r="DY76" s="116"/>
      <c r="DZ76" s="116"/>
      <c r="EA76" s="116"/>
    </row>
    <row r="77" spans="1:16" ht="11.25" hidden="1">
      <c r="A77" s="3" t="s">
        <v>2</v>
      </c>
      <c r="B77" s="25"/>
      <c r="C77" s="2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22.5" hidden="1">
      <c r="A78" s="6" t="s">
        <v>433</v>
      </c>
      <c r="B78" s="4"/>
      <c r="C78" s="4"/>
      <c r="D78" s="5">
        <f>9000000+6000000-12000000</f>
        <v>3000000</v>
      </c>
      <c r="E78" s="5"/>
      <c r="F78" s="5">
        <f>D78</f>
        <v>3000000</v>
      </c>
      <c r="G78" s="5">
        <v>7469000</v>
      </c>
      <c r="H78" s="5"/>
      <c r="I78" s="5"/>
      <c r="J78" s="5">
        <f>G78</f>
        <v>7469000</v>
      </c>
      <c r="K78" s="5"/>
      <c r="L78" s="5"/>
      <c r="M78" s="5"/>
      <c r="N78" s="5">
        <v>7917000</v>
      </c>
      <c r="O78" s="5"/>
      <c r="P78" s="5">
        <f>N78</f>
        <v>7917000</v>
      </c>
    </row>
    <row r="79" spans="1:16" ht="11.25" hidden="1">
      <c r="A79" s="3" t="s">
        <v>3</v>
      </c>
      <c r="B79" s="25"/>
      <c r="C79" s="2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34.5" customHeight="1" hidden="1">
      <c r="A80" s="6" t="s">
        <v>434</v>
      </c>
      <c r="B80" s="4"/>
      <c r="C80" s="4"/>
      <c r="D80" s="5">
        <f>D78/D82</f>
        <v>3703.703703703704</v>
      </c>
      <c r="E80" s="5"/>
      <c r="F80" s="5">
        <f>D80</f>
        <v>3703.703703703704</v>
      </c>
      <c r="G80" s="5">
        <f>G78/G82</f>
        <v>8644.675925925925</v>
      </c>
      <c r="H80" s="5"/>
      <c r="I80" s="5"/>
      <c r="J80" s="5">
        <f>G80</f>
        <v>8644.675925925925</v>
      </c>
      <c r="K80" s="5"/>
      <c r="L80" s="5"/>
      <c r="M80" s="5"/>
      <c r="N80" s="5">
        <f>N78/N82</f>
        <v>8643.013100436681</v>
      </c>
      <c r="O80" s="5"/>
      <c r="P80" s="5">
        <f>N80</f>
        <v>8643.013100436681</v>
      </c>
    </row>
    <row r="81" spans="1:16" ht="11.25" hidden="1">
      <c r="A81" s="3" t="s">
        <v>5</v>
      </c>
      <c r="B81" s="25"/>
      <c r="C81" s="2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22.5" hidden="1">
      <c r="A82" s="6" t="s">
        <v>435</v>
      </c>
      <c r="B82" s="4"/>
      <c r="C82" s="4"/>
      <c r="D82" s="74">
        <v>810</v>
      </c>
      <c r="E82" s="74"/>
      <c r="F82" s="74">
        <f>D82</f>
        <v>810</v>
      </c>
      <c r="G82" s="74">
        <v>864</v>
      </c>
      <c r="H82" s="74"/>
      <c r="I82" s="74"/>
      <c r="J82" s="74">
        <f>G82</f>
        <v>864</v>
      </c>
      <c r="K82" s="74"/>
      <c r="L82" s="74"/>
      <c r="M82" s="74"/>
      <c r="N82" s="74">
        <v>916</v>
      </c>
      <c r="O82" s="74"/>
      <c r="P82" s="74">
        <f>N82</f>
        <v>916</v>
      </c>
    </row>
    <row r="83" spans="1:16" ht="11.25" hidden="1">
      <c r="A83" s="3" t="s">
        <v>4</v>
      </c>
      <c r="B83" s="25"/>
      <c r="C83" s="2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33.75" hidden="1">
      <c r="A84" s="6" t="s">
        <v>436</v>
      </c>
      <c r="B84" s="4"/>
      <c r="C84" s="4"/>
      <c r="D84" s="5">
        <f>D80/D78*100</f>
        <v>0.12345679012345678</v>
      </c>
      <c r="E84" s="5"/>
      <c r="F84" s="5">
        <f>F80/F78*100</f>
        <v>0.12345679012345678</v>
      </c>
      <c r="G84" s="5">
        <f>G80/G78*100</f>
        <v>0.11574074074074073</v>
      </c>
      <c r="H84" s="5"/>
      <c r="I84" s="5"/>
      <c r="J84" s="5">
        <f>J80/J78*100</f>
        <v>0.11574074074074073</v>
      </c>
      <c r="K84" s="5"/>
      <c r="L84" s="5"/>
      <c r="M84" s="5"/>
      <c r="N84" s="5">
        <f>N80/N78*100</f>
        <v>0.10917030567685589</v>
      </c>
      <c r="O84" s="5"/>
      <c r="P84" s="5">
        <f>P80/P78*100</f>
        <v>0.10917030567685589</v>
      </c>
    </row>
    <row r="85" spans="1:137" s="75" customFormat="1" ht="37.5" customHeight="1" hidden="1">
      <c r="A85" s="85" t="s">
        <v>444</v>
      </c>
      <c r="B85" s="73"/>
      <c r="C85" s="73"/>
      <c r="D85" s="81">
        <f>D87</f>
        <v>0</v>
      </c>
      <c r="E85" s="81"/>
      <c r="F85" s="81">
        <f>D85</f>
        <v>0</v>
      </c>
      <c r="G85" s="81">
        <f>G87</f>
        <v>894600</v>
      </c>
      <c r="H85" s="81"/>
      <c r="I85" s="81"/>
      <c r="J85" s="81">
        <f>G85</f>
        <v>894600</v>
      </c>
      <c r="K85" s="81"/>
      <c r="L85" s="81"/>
      <c r="M85" s="81"/>
      <c r="N85" s="81">
        <f>N87</f>
        <v>936300</v>
      </c>
      <c r="O85" s="81"/>
      <c r="P85" s="81">
        <f>N85</f>
        <v>936300</v>
      </c>
      <c r="EB85" s="76"/>
      <c r="EC85" s="76"/>
      <c r="ED85" s="76"/>
      <c r="EE85" s="76"/>
      <c r="EF85" s="76"/>
      <c r="EG85" s="76"/>
    </row>
    <row r="86" spans="1:137" s="15" customFormat="1" ht="11.25" hidden="1">
      <c r="A86" s="3" t="s">
        <v>77</v>
      </c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EB86" s="34"/>
      <c r="EC86" s="34"/>
      <c r="ED86" s="34"/>
      <c r="EE86" s="34"/>
      <c r="EF86" s="34"/>
      <c r="EG86" s="34"/>
    </row>
    <row r="87" spans="1:137" s="15" customFormat="1" ht="37.5" customHeight="1" hidden="1">
      <c r="A87" s="6" t="s">
        <v>310</v>
      </c>
      <c r="B87" s="4"/>
      <c r="C87" s="4"/>
      <c r="D87" s="5">
        <f>851000-851000</f>
        <v>0</v>
      </c>
      <c r="E87" s="5"/>
      <c r="F87" s="5">
        <f>D87</f>
        <v>0</v>
      </c>
      <c r="G87" s="5">
        <v>894600</v>
      </c>
      <c r="H87" s="5"/>
      <c r="I87" s="5"/>
      <c r="J87" s="5">
        <f>G87</f>
        <v>894600</v>
      </c>
      <c r="K87" s="5"/>
      <c r="L87" s="5"/>
      <c r="M87" s="5"/>
      <c r="N87" s="5">
        <v>936300</v>
      </c>
      <c r="O87" s="5"/>
      <c r="P87" s="5">
        <f>N87</f>
        <v>936300</v>
      </c>
      <c r="EB87" s="34"/>
      <c r="EC87" s="34"/>
      <c r="ED87" s="34"/>
      <c r="EE87" s="34"/>
      <c r="EF87" s="34"/>
      <c r="EG87" s="34"/>
    </row>
    <row r="88" spans="1:137" s="15" customFormat="1" ht="11.25" hidden="1">
      <c r="A88" s="3" t="s">
        <v>231</v>
      </c>
      <c r="B88" s="4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EB88" s="34"/>
      <c r="EC88" s="34"/>
      <c r="ED88" s="34"/>
      <c r="EE88" s="34"/>
      <c r="EF88" s="34"/>
      <c r="EG88" s="34"/>
    </row>
    <row r="89" spans="1:137" s="15" customFormat="1" ht="11.25" hidden="1">
      <c r="A89" s="50" t="s">
        <v>312</v>
      </c>
      <c r="B89" s="4"/>
      <c r="C89" s="4"/>
      <c r="D89" s="89"/>
      <c r="E89" s="89"/>
      <c r="F89" s="89">
        <f>D89</f>
        <v>0</v>
      </c>
      <c r="G89" s="89">
        <f>G87/G91</f>
        <v>15.76358221326615</v>
      </c>
      <c r="H89" s="89"/>
      <c r="I89" s="89"/>
      <c r="J89" s="89">
        <f>G89</f>
        <v>15.76358221326615</v>
      </c>
      <c r="K89" s="89"/>
      <c r="L89" s="89"/>
      <c r="M89" s="89"/>
      <c r="N89" s="89">
        <f>N87/N91</f>
        <v>15.564498580610156</v>
      </c>
      <c r="O89" s="89"/>
      <c r="P89" s="89">
        <f>N89</f>
        <v>15.564498580610156</v>
      </c>
      <c r="EB89" s="34"/>
      <c r="EC89" s="34"/>
      <c r="ED89" s="34"/>
      <c r="EE89" s="34"/>
      <c r="EF89" s="34"/>
      <c r="EG89" s="34"/>
    </row>
    <row r="90" spans="1:137" s="15" customFormat="1" ht="11.25" hidden="1">
      <c r="A90" s="3" t="s">
        <v>226</v>
      </c>
      <c r="B90" s="4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EB90" s="34"/>
      <c r="EC90" s="34"/>
      <c r="ED90" s="34"/>
      <c r="EE90" s="34"/>
      <c r="EF90" s="34"/>
      <c r="EG90" s="34"/>
    </row>
    <row r="91" spans="1:137" s="15" customFormat="1" ht="33" customHeight="1" hidden="1">
      <c r="A91" s="6" t="s">
        <v>311</v>
      </c>
      <c r="B91" s="4"/>
      <c r="C91" s="4"/>
      <c r="D91" s="5"/>
      <c r="E91" s="5"/>
      <c r="F91" s="5">
        <f>D91</f>
        <v>0</v>
      </c>
      <c r="G91" s="5">
        <v>56751.06</v>
      </c>
      <c r="H91" s="5"/>
      <c r="I91" s="5"/>
      <c r="J91" s="5">
        <f>G91</f>
        <v>56751.06</v>
      </c>
      <c r="K91" s="5"/>
      <c r="L91" s="5"/>
      <c r="M91" s="5"/>
      <c r="N91" s="5">
        <v>60156.13</v>
      </c>
      <c r="O91" s="5"/>
      <c r="P91" s="5">
        <f>N91</f>
        <v>60156.13</v>
      </c>
      <c r="EB91" s="34"/>
      <c r="EC91" s="34"/>
      <c r="ED91" s="34"/>
      <c r="EE91" s="34"/>
      <c r="EF91" s="34"/>
      <c r="EG91" s="34"/>
    </row>
    <row r="92" spans="1:131" s="27" customFormat="1" ht="27" customHeight="1" hidden="1">
      <c r="A92" s="85" t="s">
        <v>445</v>
      </c>
      <c r="B92" s="77"/>
      <c r="C92" s="77"/>
      <c r="D92" s="81">
        <f>2754100-2200000</f>
        <v>554100</v>
      </c>
      <c r="E92" s="81">
        <f>20000000-20000000</f>
        <v>0</v>
      </c>
      <c r="F92" s="81">
        <f>E92+D92</f>
        <v>554100</v>
      </c>
      <c r="G92" s="81">
        <v>2191700</v>
      </c>
      <c r="H92" s="81">
        <v>21340000</v>
      </c>
      <c r="I92" s="81"/>
      <c r="J92" s="81">
        <f>G92+H92</f>
        <v>23531700</v>
      </c>
      <c r="K92" s="81"/>
      <c r="L92" s="81"/>
      <c r="M92" s="81"/>
      <c r="N92" s="81">
        <v>2323100</v>
      </c>
      <c r="O92" s="81">
        <v>22620000</v>
      </c>
      <c r="P92" s="81">
        <f>O92+N92</f>
        <v>24943100</v>
      </c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</row>
    <row r="93" spans="1:16" ht="11.25" hidden="1">
      <c r="A93" s="3" t="s">
        <v>2</v>
      </c>
      <c r="B93" s="25"/>
      <c r="C93" s="2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22.5" hidden="1">
      <c r="A94" s="6" t="s">
        <v>116</v>
      </c>
      <c r="B94" s="4"/>
      <c r="C94" s="4"/>
      <c r="D94" s="5">
        <v>5</v>
      </c>
      <c r="E94" s="5">
        <v>2</v>
      </c>
      <c r="F94" s="5">
        <f>E94+D94</f>
        <v>7</v>
      </c>
      <c r="G94" s="5">
        <v>4</v>
      </c>
      <c r="H94" s="5">
        <v>2</v>
      </c>
      <c r="I94" s="5"/>
      <c r="J94" s="5">
        <f>G94+H94</f>
        <v>6</v>
      </c>
      <c r="K94" s="5"/>
      <c r="L94" s="5"/>
      <c r="M94" s="5"/>
      <c r="N94" s="89">
        <f>N96</f>
        <v>3.728958296213898</v>
      </c>
      <c r="O94" s="5">
        <v>2</v>
      </c>
      <c r="P94" s="89">
        <f>O94+N94</f>
        <v>5.728958296213898</v>
      </c>
    </row>
    <row r="95" spans="1:16" ht="11.25" hidden="1">
      <c r="A95" s="3" t="s">
        <v>3</v>
      </c>
      <c r="B95" s="25"/>
      <c r="C95" s="2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22.5" hidden="1">
      <c r="A96" s="6" t="s">
        <v>288</v>
      </c>
      <c r="B96" s="4"/>
      <c r="C96" s="4"/>
      <c r="D96" s="5">
        <v>3</v>
      </c>
      <c r="E96" s="5"/>
      <c r="F96" s="5">
        <f>E96+D96</f>
        <v>3</v>
      </c>
      <c r="G96" s="89">
        <f>G92/G98</f>
        <v>3.729125015951338</v>
      </c>
      <c r="H96" s="5">
        <v>2</v>
      </c>
      <c r="I96" s="5"/>
      <c r="J96" s="89">
        <f>G96+H96</f>
        <v>5.729125015951338</v>
      </c>
      <c r="K96" s="5"/>
      <c r="L96" s="5"/>
      <c r="M96" s="5"/>
      <c r="N96" s="89">
        <f>N92/N98</f>
        <v>3.728958296213898</v>
      </c>
      <c r="O96" s="5">
        <v>2</v>
      </c>
      <c r="P96" s="89">
        <f>O96+N96</f>
        <v>5.728958296213898</v>
      </c>
    </row>
    <row r="97" spans="1:16" ht="11.25" hidden="1">
      <c r="A97" s="3" t="s">
        <v>5</v>
      </c>
      <c r="B97" s="25"/>
      <c r="C97" s="2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1.25" hidden="1">
      <c r="A98" s="72" t="s">
        <v>107</v>
      </c>
      <c r="B98" s="73"/>
      <c r="C98" s="73"/>
      <c r="D98" s="74">
        <f>D92/D96</f>
        <v>184700</v>
      </c>
      <c r="E98" s="74" t="e">
        <f>E92/E96</f>
        <v>#DIV/0!</v>
      </c>
      <c r="F98" s="74" t="e">
        <f>E98+D98</f>
        <v>#DIV/0!</v>
      </c>
      <c r="G98" s="74">
        <v>587725</v>
      </c>
      <c r="H98" s="74">
        <f>H92/H96</f>
        <v>10670000</v>
      </c>
      <c r="I98" s="74"/>
      <c r="J98" s="74">
        <f>G98+H98</f>
        <v>11257725</v>
      </c>
      <c r="K98" s="74"/>
      <c r="L98" s="74"/>
      <c r="M98" s="74"/>
      <c r="N98" s="74">
        <v>622989</v>
      </c>
      <c r="O98" s="74">
        <v>14550000</v>
      </c>
      <c r="P98" s="74">
        <f>N98+O98</f>
        <v>15172989</v>
      </c>
    </row>
    <row r="99" spans="1:16" ht="11.25" hidden="1">
      <c r="A99" s="165" t="s">
        <v>4</v>
      </c>
      <c r="B99" s="83"/>
      <c r="C99" s="83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1:16" ht="21.75" customHeight="1" hidden="1">
      <c r="A100" s="72" t="s">
        <v>117</v>
      </c>
      <c r="B100" s="73"/>
      <c r="C100" s="73"/>
      <c r="D100" s="74">
        <f>D96/D94*100</f>
        <v>60</v>
      </c>
      <c r="E100" s="74">
        <f>E96/E94*100</f>
        <v>0</v>
      </c>
      <c r="F100" s="74">
        <f>F96/F94*100</f>
        <v>42.857142857142854</v>
      </c>
      <c r="G100" s="74">
        <v>100</v>
      </c>
      <c r="H100" s="74">
        <f>H96/H94*100</f>
        <v>100</v>
      </c>
      <c r="I100" s="74"/>
      <c r="J100" s="74">
        <v>100</v>
      </c>
      <c r="K100" s="74"/>
      <c r="L100" s="74"/>
      <c r="M100" s="74"/>
      <c r="N100" s="74">
        <f>N96/N94*100</f>
        <v>100</v>
      </c>
      <c r="O100" s="74">
        <f>O96/O94*100</f>
        <v>100</v>
      </c>
      <c r="P100" s="74">
        <f>P96/P94*100</f>
        <v>100</v>
      </c>
    </row>
    <row r="101" spans="1:137" s="75" customFormat="1" ht="38.25" customHeight="1" hidden="1">
      <c r="A101" s="85" t="s">
        <v>446</v>
      </c>
      <c r="B101" s="73"/>
      <c r="C101" s="73"/>
      <c r="D101" s="81">
        <f>D103</f>
        <v>250000</v>
      </c>
      <c r="E101" s="81">
        <f aca="true" t="shared" si="5" ref="E101:P101">E103</f>
        <v>0</v>
      </c>
      <c r="F101" s="81">
        <f t="shared" si="5"/>
        <v>250000</v>
      </c>
      <c r="G101" s="81">
        <f t="shared" si="5"/>
        <v>1100000</v>
      </c>
      <c r="H101" s="81">
        <f t="shared" si="5"/>
        <v>2667500</v>
      </c>
      <c r="I101" s="81">
        <f t="shared" si="5"/>
        <v>0</v>
      </c>
      <c r="J101" s="81">
        <f t="shared" si="5"/>
        <v>3767500</v>
      </c>
      <c r="K101" s="81">
        <f t="shared" si="5"/>
        <v>0</v>
      </c>
      <c r="L101" s="81">
        <f t="shared" si="5"/>
        <v>0</v>
      </c>
      <c r="M101" s="81">
        <f t="shared" si="5"/>
        <v>0</v>
      </c>
      <c r="N101" s="81">
        <f t="shared" si="5"/>
        <v>1200000</v>
      </c>
      <c r="O101" s="81">
        <f t="shared" si="5"/>
        <v>2827600</v>
      </c>
      <c r="P101" s="81">
        <f t="shared" si="5"/>
        <v>4027600</v>
      </c>
      <c r="EB101" s="76"/>
      <c r="EC101" s="76"/>
      <c r="ED101" s="76"/>
      <c r="EE101" s="76"/>
      <c r="EF101" s="76"/>
      <c r="EG101" s="76"/>
    </row>
    <row r="102" spans="1:137" s="15" customFormat="1" ht="17.25" customHeight="1" hidden="1">
      <c r="A102" s="3" t="s">
        <v>77</v>
      </c>
      <c r="B102" s="4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EB102" s="34"/>
      <c r="EC102" s="34"/>
      <c r="ED102" s="34"/>
      <c r="EE102" s="34"/>
      <c r="EF102" s="34"/>
      <c r="EG102" s="34"/>
    </row>
    <row r="103" spans="1:137" s="15" customFormat="1" ht="39.75" customHeight="1" hidden="1">
      <c r="A103" s="6" t="s">
        <v>307</v>
      </c>
      <c r="B103" s="4"/>
      <c r="C103" s="4"/>
      <c r="D103" s="5">
        <f>1000000-750000</f>
        <v>250000</v>
      </c>
      <c r="E103" s="5">
        <f>2500000-2500000</f>
        <v>0</v>
      </c>
      <c r="F103" s="5">
        <f>D103+E103</f>
        <v>250000</v>
      </c>
      <c r="G103" s="5">
        <v>1100000</v>
      </c>
      <c r="H103" s="5">
        <v>2667500</v>
      </c>
      <c r="I103" s="5"/>
      <c r="J103" s="5">
        <f>G103+H103</f>
        <v>3767500</v>
      </c>
      <c r="K103" s="5"/>
      <c r="L103" s="5"/>
      <c r="M103" s="5"/>
      <c r="N103" s="5">
        <v>1200000</v>
      </c>
      <c r="O103" s="5">
        <v>2827600</v>
      </c>
      <c r="P103" s="5">
        <f>N103+O103</f>
        <v>4027600</v>
      </c>
      <c r="EB103" s="34"/>
      <c r="EC103" s="34"/>
      <c r="ED103" s="34"/>
      <c r="EE103" s="34"/>
      <c r="EF103" s="34"/>
      <c r="EG103" s="34"/>
    </row>
    <row r="104" spans="1:137" s="15" customFormat="1" ht="24" customHeight="1" hidden="1">
      <c r="A104" s="3" t="s">
        <v>231</v>
      </c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EB104" s="34"/>
      <c r="EC104" s="34"/>
      <c r="ED104" s="34"/>
      <c r="EE104" s="34"/>
      <c r="EF104" s="34"/>
      <c r="EG104" s="34"/>
    </row>
    <row r="105" spans="1:137" s="15" customFormat="1" ht="24" customHeight="1" hidden="1">
      <c r="A105" s="50" t="s">
        <v>308</v>
      </c>
      <c r="B105" s="4"/>
      <c r="C105" s="4"/>
      <c r="D105" s="5">
        <f>D103/D107</f>
        <v>8</v>
      </c>
      <c r="E105" s="5"/>
      <c r="F105" s="5">
        <f>D105+E105</f>
        <v>8</v>
      </c>
      <c r="G105" s="5">
        <f>G103/G107</f>
        <v>10</v>
      </c>
      <c r="H105" s="5">
        <f>H103/H107</f>
        <v>5</v>
      </c>
      <c r="I105" s="5"/>
      <c r="J105" s="5">
        <f>G105+H105</f>
        <v>15</v>
      </c>
      <c r="K105" s="5"/>
      <c r="L105" s="5"/>
      <c r="M105" s="5"/>
      <c r="N105" s="5">
        <f>N103/N107</f>
        <v>10</v>
      </c>
      <c r="O105" s="5">
        <f>O103/O107</f>
        <v>5.0000884157662995</v>
      </c>
      <c r="P105" s="5">
        <f>N105+O105</f>
        <v>15.0000884157663</v>
      </c>
      <c r="EB105" s="34"/>
      <c r="EC105" s="34"/>
      <c r="ED105" s="34"/>
      <c r="EE105" s="34"/>
      <c r="EF105" s="34"/>
      <c r="EG105" s="34"/>
    </row>
    <row r="106" spans="1:137" s="15" customFormat="1" ht="19.5" customHeight="1" hidden="1">
      <c r="A106" s="3" t="s">
        <v>226</v>
      </c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EB106" s="34"/>
      <c r="EC106" s="34"/>
      <c r="ED106" s="34"/>
      <c r="EE106" s="34"/>
      <c r="EF106" s="34"/>
      <c r="EG106" s="34"/>
    </row>
    <row r="107" spans="1:137" s="15" customFormat="1" ht="37.5" customHeight="1" hidden="1">
      <c r="A107" s="6" t="s">
        <v>309</v>
      </c>
      <c r="B107" s="4"/>
      <c r="C107" s="4"/>
      <c r="D107" s="5">
        <v>31250</v>
      </c>
      <c r="E107" s="5"/>
      <c r="F107" s="5">
        <f>D107</f>
        <v>31250</v>
      </c>
      <c r="G107" s="5">
        <v>110000</v>
      </c>
      <c r="H107" s="5">
        <v>533500</v>
      </c>
      <c r="I107" s="5"/>
      <c r="J107" s="5">
        <f>G107+H107</f>
        <v>643500</v>
      </c>
      <c r="K107" s="5"/>
      <c r="L107" s="5"/>
      <c r="M107" s="5"/>
      <c r="N107" s="5">
        <v>120000</v>
      </c>
      <c r="O107" s="5">
        <v>565510</v>
      </c>
      <c r="P107" s="5">
        <f>N107+O107</f>
        <v>685510</v>
      </c>
      <c r="EB107" s="34"/>
      <c r="EC107" s="34"/>
      <c r="ED107" s="34"/>
      <c r="EE107" s="34"/>
      <c r="EF107" s="34"/>
      <c r="EG107" s="34"/>
    </row>
    <row r="108" spans="1:131" s="117" customFormat="1" ht="36" customHeight="1" hidden="1">
      <c r="A108" s="85" t="s">
        <v>447</v>
      </c>
      <c r="B108" s="77"/>
      <c r="C108" s="77"/>
      <c r="D108" s="81"/>
      <c r="E108" s="81">
        <f>(E113*E116)+(E114*E117)-0.27</f>
        <v>10050000.004530001</v>
      </c>
      <c r="F108" s="81">
        <f>E108</f>
        <v>10050000.004530001</v>
      </c>
      <c r="G108" s="81"/>
      <c r="H108" s="81">
        <f>(H113*H116)+(H114*H117)</f>
        <v>15204800.001300002</v>
      </c>
      <c r="I108" s="81"/>
      <c r="J108" s="81">
        <f>H108</f>
        <v>15204800.001300002</v>
      </c>
      <c r="K108" s="81">
        <f aca="true" t="shared" si="6" ref="K108:P108">(K113*K116)+(K114*K117)</f>
        <v>0</v>
      </c>
      <c r="L108" s="81">
        <f t="shared" si="6"/>
        <v>0</v>
      </c>
      <c r="M108" s="81">
        <f t="shared" si="6"/>
        <v>0</v>
      </c>
      <c r="N108" s="81"/>
      <c r="O108" s="81">
        <f>(O113*O116)+(O114*O117)</f>
        <v>16117000.0008</v>
      </c>
      <c r="P108" s="81">
        <f t="shared" si="6"/>
        <v>16117000.0008</v>
      </c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  <c r="DK108" s="116"/>
      <c r="DL108" s="116"/>
      <c r="DM108" s="116"/>
      <c r="DN108" s="116"/>
      <c r="DO108" s="116"/>
      <c r="DP108" s="116"/>
      <c r="DQ108" s="116"/>
      <c r="DR108" s="116"/>
      <c r="DS108" s="116"/>
      <c r="DT108" s="116"/>
      <c r="DU108" s="116"/>
      <c r="DV108" s="116"/>
      <c r="DW108" s="116"/>
      <c r="DX108" s="116"/>
      <c r="DY108" s="116"/>
      <c r="DZ108" s="116"/>
      <c r="EA108" s="116"/>
    </row>
    <row r="109" spans="1:16" ht="11.25" hidden="1">
      <c r="A109" s="3" t="s">
        <v>2</v>
      </c>
      <c r="B109" s="4"/>
      <c r="C109" s="4"/>
      <c r="D109" s="5"/>
      <c r="E109" s="5"/>
      <c r="F109" s="5"/>
      <c r="G109" s="5"/>
      <c r="H109" s="5"/>
      <c r="I109" s="5"/>
      <c r="J109" s="24"/>
      <c r="K109" s="5"/>
      <c r="L109" s="5"/>
      <c r="M109" s="5"/>
      <c r="N109" s="5"/>
      <c r="O109" s="5"/>
      <c r="P109" s="5"/>
    </row>
    <row r="110" spans="1:16" ht="22.5" hidden="1">
      <c r="A110" s="6" t="s">
        <v>437</v>
      </c>
      <c r="B110" s="4"/>
      <c r="C110" s="4"/>
      <c r="D110" s="5"/>
      <c r="E110" s="5">
        <v>380000</v>
      </c>
      <c r="F110" s="5">
        <f>E110</f>
        <v>380000</v>
      </c>
      <c r="G110" s="5"/>
      <c r="H110" s="5">
        <f>E110</f>
        <v>380000</v>
      </c>
      <c r="I110" s="5"/>
      <c r="J110" s="5">
        <f aca="true" t="shared" si="7" ref="J110:J116">H110</f>
        <v>380000</v>
      </c>
      <c r="K110" s="5"/>
      <c r="L110" s="5"/>
      <c r="M110" s="5"/>
      <c r="N110" s="5"/>
      <c r="O110" s="5">
        <f>H110</f>
        <v>380000</v>
      </c>
      <c r="P110" s="5">
        <f>O110</f>
        <v>380000</v>
      </c>
    </row>
    <row r="111" spans="1:16" ht="29.25" customHeight="1" hidden="1">
      <c r="A111" s="6" t="s">
        <v>70</v>
      </c>
      <c r="B111" s="4"/>
      <c r="C111" s="4"/>
      <c r="D111" s="5"/>
      <c r="E111" s="5">
        <v>76000</v>
      </c>
      <c r="F111" s="5">
        <f>E111</f>
        <v>76000</v>
      </c>
      <c r="G111" s="5"/>
      <c r="H111" s="5">
        <f>E111</f>
        <v>76000</v>
      </c>
      <c r="I111" s="5"/>
      <c r="J111" s="5">
        <f>H111</f>
        <v>76000</v>
      </c>
      <c r="K111" s="5"/>
      <c r="L111" s="5"/>
      <c r="M111" s="5"/>
      <c r="N111" s="5"/>
      <c r="O111" s="5">
        <f>H111</f>
        <v>76000</v>
      </c>
      <c r="P111" s="5">
        <f>O111</f>
        <v>76000</v>
      </c>
    </row>
    <row r="112" spans="1:16" ht="11.25" hidden="1">
      <c r="A112" s="3" t="s">
        <v>3</v>
      </c>
      <c r="B112" s="4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22.5" hidden="1">
      <c r="A113" s="6" t="s">
        <v>438</v>
      </c>
      <c r="B113" s="4"/>
      <c r="C113" s="4"/>
      <c r="D113" s="5"/>
      <c r="E113" s="5">
        <v>2664</v>
      </c>
      <c r="F113" s="5">
        <f>E113</f>
        <v>2664</v>
      </c>
      <c r="G113" s="5"/>
      <c r="H113" s="5">
        <v>2065.7</v>
      </c>
      <c r="I113" s="5"/>
      <c r="J113" s="5">
        <f t="shared" si="7"/>
        <v>2065.7</v>
      </c>
      <c r="K113" s="5"/>
      <c r="L113" s="5"/>
      <c r="M113" s="5"/>
      <c r="N113" s="5"/>
      <c r="O113" s="5">
        <v>1483.7</v>
      </c>
      <c r="P113" s="5">
        <f>O113</f>
        <v>1483.7</v>
      </c>
    </row>
    <row r="114" spans="1:16" ht="26.25" customHeight="1" hidden="1">
      <c r="A114" s="6" t="s">
        <v>71</v>
      </c>
      <c r="B114" s="4"/>
      <c r="C114" s="4"/>
      <c r="D114" s="5"/>
      <c r="E114" s="5">
        <v>11867.22561</v>
      </c>
      <c r="F114" s="5">
        <f>E114</f>
        <v>11867.22561</v>
      </c>
      <c r="G114" s="5"/>
      <c r="H114" s="5">
        <v>20483.2383</v>
      </c>
      <c r="I114" s="5"/>
      <c r="J114" s="5">
        <f>H114</f>
        <v>20483.2383</v>
      </c>
      <c r="K114" s="5"/>
      <c r="L114" s="5"/>
      <c r="M114" s="5"/>
      <c r="N114" s="5"/>
      <c r="O114" s="5">
        <v>21712.1821</v>
      </c>
      <c r="P114" s="5">
        <f>O114</f>
        <v>21712.1821</v>
      </c>
    </row>
    <row r="115" spans="1:16" ht="11.25" hidden="1">
      <c r="A115" s="3" t="s">
        <v>5</v>
      </c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22.5" customHeight="1" hidden="1">
      <c r="A116" s="6" t="s">
        <v>439</v>
      </c>
      <c r="B116" s="4"/>
      <c r="C116" s="4"/>
      <c r="D116" s="5"/>
      <c r="E116" s="5">
        <v>1220</v>
      </c>
      <c r="F116" s="5">
        <f>E116</f>
        <v>1220</v>
      </c>
      <c r="G116" s="5"/>
      <c r="H116" s="5">
        <v>1302</v>
      </c>
      <c r="I116" s="5"/>
      <c r="J116" s="5">
        <f t="shared" si="7"/>
        <v>1302</v>
      </c>
      <c r="K116" s="5"/>
      <c r="L116" s="5"/>
      <c r="M116" s="5"/>
      <c r="N116" s="5"/>
      <c r="O116" s="5">
        <v>1380</v>
      </c>
      <c r="P116" s="5">
        <f>O116</f>
        <v>1380</v>
      </c>
    </row>
    <row r="117" spans="1:16" ht="22.5" customHeight="1" hidden="1">
      <c r="A117" s="6" t="s">
        <v>73</v>
      </c>
      <c r="B117" s="4"/>
      <c r="C117" s="4"/>
      <c r="D117" s="5"/>
      <c r="E117" s="5">
        <v>573</v>
      </c>
      <c r="F117" s="5">
        <f>E117</f>
        <v>573</v>
      </c>
      <c r="G117" s="5"/>
      <c r="H117" s="5">
        <v>611</v>
      </c>
      <c r="I117" s="5"/>
      <c r="J117" s="5">
        <f>H117</f>
        <v>611</v>
      </c>
      <c r="K117" s="5"/>
      <c r="L117" s="5"/>
      <c r="M117" s="5"/>
      <c r="N117" s="5"/>
      <c r="O117" s="5">
        <v>648</v>
      </c>
      <c r="P117" s="5">
        <f>O117</f>
        <v>648</v>
      </c>
    </row>
    <row r="118" spans="1:16" ht="11.25" hidden="1">
      <c r="A118" s="3" t="s">
        <v>4</v>
      </c>
      <c r="B118" s="4"/>
      <c r="C118" s="4"/>
      <c r="D118" s="5"/>
      <c r="E118" s="5"/>
      <c r="F118" s="5"/>
      <c r="G118" s="5"/>
      <c r="H118" s="5"/>
      <c r="I118" s="5"/>
      <c r="J118" s="24"/>
      <c r="K118" s="5"/>
      <c r="L118" s="5"/>
      <c r="M118" s="5"/>
      <c r="N118" s="5"/>
      <c r="O118" s="5"/>
      <c r="P118" s="5"/>
    </row>
    <row r="119" spans="1:16" ht="38.25" customHeight="1" hidden="1">
      <c r="A119" s="6" t="s">
        <v>440</v>
      </c>
      <c r="B119" s="4"/>
      <c r="C119" s="4"/>
      <c r="D119" s="5"/>
      <c r="E119" s="5">
        <f>E113/E110*100</f>
        <v>0.7010526315789474</v>
      </c>
      <c r="F119" s="5">
        <f aca="true" t="shared" si="8" ref="F119:P119">F113/F110*100</f>
        <v>0.7010526315789474</v>
      </c>
      <c r="G119" s="5"/>
      <c r="H119" s="5">
        <f t="shared" si="8"/>
        <v>0.5436052631578947</v>
      </c>
      <c r="I119" s="5"/>
      <c r="J119" s="5">
        <f t="shared" si="8"/>
        <v>0.5436052631578947</v>
      </c>
      <c r="K119" s="5" t="e">
        <f t="shared" si="8"/>
        <v>#DIV/0!</v>
      </c>
      <c r="L119" s="5" t="e">
        <f t="shared" si="8"/>
        <v>#DIV/0!</v>
      </c>
      <c r="M119" s="5" t="e">
        <f t="shared" si="8"/>
        <v>#DIV/0!</v>
      </c>
      <c r="N119" s="5"/>
      <c r="O119" s="5">
        <f t="shared" si="8"/>
        <v>0.3904473684210526</v>
      </c>
      <c r="P119" s="5">
        <f t="shared" si="8"/>
        <v>0.3904473684210526</v>
      </c>
    </row>
    <row r="120" spans="1:16" ht="33.75" hidden="1">
      <c r="A120" s="6" t="s">
        <v>72</v>
      </c>
      <c r="B120" s="4"/>
      <c r="C120" s="4"/>
      <c r="D120" s="5"/>
      <c r="E120" s="5">
        <f>E114/E111*100</f>
        <v>15.614770539473682</v>
      </c>
      <c r="F120" s="5">
        <f aca="true" t="shared" si="9" ref="F120:P120">F114/F111*100</f>
        <v>15.614770539473682</v>
      </c>
      <c r="G120" s="5"/>
      <c r="H120" s="5">
        <f>H114/H111*100</f>
        <v>26.951629342105264</v>
      </c>
      <c r="I120" s="5"/>
      <c r="J120" s="5">
        <f t="shared" si="9"/>
        <v>26.951629342105264</v>
      </c>
      <c r="K120" s="5" t="e">
        <f t="shared" si="9"/>
        <v>#DIV/0!</v>
      </c>
      <c r="L120" s="5" t="e">
        <f t="shared" si="9"/>
        <v>#DIV/0!</v>
      </c>
      <c r="M120" s="5" t="e">
        <f t="shared" si="9"/>
        <v>#DIV/0!</v>
      </c>
      <c r="N120" s="5"/>
      <c r="O120" s="5">
        <f t="shared" si="9"/>
        <v>28.56866065789474</v>
      </c>
      <c r="P120" s="5">
        <f t="shared" si="9"/>
        <v>28.56866065789474</v>
      </c>
    </row>
    <row r="121" spans="1:137" s="75" customFormat="1" ht="30" customHeight="1" hidden="1">
      <c r="A121" s="85" t="s">
        <v>448</v>
      </c>
      <c r="B121" s="73"/>
      <c r="C121" s="73"/>
      <c r="D121" s="81">
        <f>D123</f>
        <v>0</v>
      </c>
      <c r="E121" s="81"/>
      <c r="F121" s="81">
        <f>D121</f>
        <v>0</v>
      </c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EB121" s="76"/>
      <c r="EC121" s="76"/>
      <c r="ED121" s="76"/>
      <c r="EE121" s="76"/>
      <c r="EF121" s="76"/>
      <c r="EG121" s="76"/>
    </row>
    <row r="122" spans="1:137" s="15" customFormat="1" ht="18.75" customHeight="1" hidden="1">
      <c r="A122" s="3" t="s">
        <v>77</v>
      </c>
      <c r="B122" s="4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EB122" s="34"/>
      <c r="EC122" s="34"/>
      <c r="ED122" s="34"/>
      <c r="EE122" s="34"/>
      <c r="EF122" s="34"/>
      <c r="EG122" s="34"/>
    </row>
    <row r="123" spans="1:137" s="15" customFormat="1" ht="30" customHeight="1" hidden="1">
      <c r="A123" s="6" t="s">
        <v>295</v>
      </c>
      <c r="B123" s="4"/>
      <c r="C123" s="4"/>
      <c r="D123" s="5">
        <f>2000000-2000000</f>
        <v>0</v>
      </c>
      <c r="E123" s="5"/>
      <c r="F123" s="5">
        <f>D123</f>
        <v>0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EB123" s="34"/>
      <c r="EC123" s="34"/>
      <c r="ED123" s="34"/>
      <c r="EE123" s="34"/>
      <c r="EF123" s="34"/>
      <c r="EG123" s="34"/>
    </row>
    <row r="124" spans="1:137" s="15" customFormat="1" ht="18.75" customHeight="1" hidden="1">
      <c r="A124" s="3" t="s">
        <v>231</v>
      </c>
      <c r="B124" s="4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EB124" s="34"/>
      <c r="EC124" s="34"/>
      <c r="ED124" s="34"/>
      <c r="EE124" s="34"/>
      <c r="EF124" s="34"/>
      <c r="EG124" s="34"/>
    </row>
    <row r="125" spans="1:137" s="15" customFormat="1" ht="30" customHeight="1" hidden="1">
      <c r="A125" s="50" t="s">
        <v>296</v>
      </c>
      <c r="B125" s="4"/>
      <c r="C125" s="4"/>
      <c r="D125" s="5" t="e">
        <f>D123/D127</f>
        <v>#DIV/0!</v>
      </c>
      <c r="E125" s="5"/>
      <c r="F125" s="5" t="e">
        <f>D125</f>
        <v>#DIV/0!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EB125" s="34"/>
      <c r="EC125" s="34"/>
      <c r="ED125" s="34"/>
      <c r="EE125" s="34"/>
      <c r="EF125" s="34"/>
      <c r="EG125" s="34"/>
    </row>
    <row r="126" spans="1:137" s="15" customFormat="1" ht="11.25" hidden="1">
      <c r="A126" s="3" t="s">
        <v>226</v>
      </c>
      <c r="B126" s="4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EB126" s="34"/>
      <c r="EC126" s="34"/>
      <c r="ED126" s="34"/>
      <c r="EE126" s="34"/>
      <c r="EF126" s="34"/>
      <c r="EG126" s="34"/>
    </row>
    <row r="127" spans="1:137" s="15" customFormat="1" ht="22.5" hidden="1">
      <c r="A127" s="6" t="s">
        <v>297</v>
      </c>
      <c r="B127" s="4"/>
      <c r="C127" s="4"/>
      <c r="D127" s="5"/>
      <c r="E127" s="5"/>
      <c r="F127" s="5">
        <f>D127</f>
        <v>0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EB127" s="34"/>
      <c r="EC127" s="34"/>
      <c r="ED127" s="34"/>
      <c r="EE127" s="34"/>
      <c r="EF127" s="34"/>
      <c r="EG127" s="34"/>
    </row>
    <row r="128" spans="1:137" s="75" customFormat="1" ht="30" customHeight="1" hidden="1">
      <c r="A128" s="85" t="s">
        <v>449</v>
      </c>
      <c r="B128" s="73"/>
      <c r="C128" s="73"/>
      <c r="D128" s="81">
        <f>D130</f>
        <v>0</v>
      </c>
      <c r="E128" s="81"/>
      <c r="F128" s="81">
        <f>D128</f>
        <v>0</v>
      </c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EB128" s="76"/>
      <c r="EC128" s="76"/>
      <c r="ED128" s="76"/>
      <c r="EE128" s="76"/>
      <c r="EF128" s="76"/>
      <c r="EG128" s="76"/>
    </row>
    <row r="129" spans="1:137" s="15" customFormat="1" ht="11.25" hidden="1">
      <c r="A129" s="3" t="s">
        <v>77</v>
      </c>
      <c r="B129" s="4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EB129" s="34"/>
      <c r="EC129" s="34"/>
      <c r="ED129" s="34"/>
      <c r="EE129" s="34"/>
      <c r="EF129" s="34"/>
      <c r="EG129" s="34"/>
    </row>
    <row r="130" spans="1:137" s="15" customFormat="1" ht="33.75" hidden="1">
      <c r="A130" s="6" t="s">
        <v>298</v>
      </c>
      <c r="B130" s="4"/>
      <c r="C130" s="4"/>
      <c r="D130" s="5">
        <f>5000000-5000000</f>
        <v>0</v>
      </c>
      <c r="E130" s="5"/>
      <c r="F130" s="5">
        <f>D130</f>
        <v>0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EB130" s="34"/>
      <c r="EC130" s="34"/>
      <c r="ED130" s="34"/>
      <c r="EE130" s="34"/>
      <c r="EF130" s="34"/>
      <c r="EG130" s="34"/>
    </row>
    <row r="131" spans="1:137" s="15" customFormat="1" ht="11.25" hidden="1">
      <c r="A131" s="3" t="s">
        <v>231</v>
      </c>
      <c r="B131" s="4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EB131" s="34"/>
      <c r="EC131" s="34"/>
      <c r="ED131" s="34"/>
      <c r="EE131" s="34"/>
      <c r="EF131" s="34"/>
      <c r="EG131" s="34"/>
    </row>
    <row r="132" spans="1:137" s="15" customFormat="1" ht="16.5" customHeight="1" hidden="1">
      <c r="A132" s="50" t="s">
        <v>299</v>
      </c>
      <c r="B132" s="4"/>
      <c r="C132" s="4"/>
      <c r="D132" s="5"/>
      <c r="E132" s="5"/>
      <c r="F132" s="5">
        <v>1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EB132" s="34"/>
      <c r="EC132" s="34"/>
      <c r="ED132" s="34"/>
      <c r="EE132" s="34"/>
      <c r="EF132" s="34"/>
      <c r="EG132" s="34"/>
    </row>
    <row r="133" spans="1:137" s="15" customFormat="1" ht="11.25" hidden="1">
      <c r="A133" s="3" t="s">
        <v>226</v>
      </c>
      <c r="B133" s="4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EB133" s="34"/>
      <c r="EC133" s="34"/>
      <c r="ED133" s="34"/>
      <c r="EE133" s="34"/>
      <c r="EF133" s="34"/>
      <c r="EG133" s="34"/>
    </row>
    <row r="134" spans="1:137" s="15" customFormat="1" ht="11.25" hidden="1">
      <c r="A134" s="6" t="s">
        <v>300</v>
      </c>
      <c r="B134" s="4"/>
      <c r="C134" s="4"/>
      <c r="D134" s="5" t="e">
        <f>D130/D132</f>
        <v>#DIV/0!</v>
      </c>
      <c r="E134" s="5"/>
      <c r="F134" s="5" t="e">
        <f>D134</f>
        <v>#DIV/0!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EB134" s="34"/>
      <c r="EC134" s="34"/>
      <c r="ED134" s="34"/>
      <c r="EE134" s="34"/>
      <c r="EF134" s="34"/>
      <c r="EG134" s="34"/>
    </row>
    <row r="135" spans="1:137" s="75" customFormat="1" ht="22.5" hidden="1">
      <c r="A135" s="85" t="s">
        <v>450</v>
      </c>
      <c r="B135" s="73"/>
      <c r="C135" s="73"/>
      <c r="D135" s="81">
        <f>D137</f>
        <v>0</v>
      </c>
      <c r="E135" s="81"/>
      <c r="F135" s="81">
        <f>D135</f>
        <v>0</v>
      </c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EB135" s="76"/>
      <c r="EC135" s="76"/>
      <c r="ED135" s="76"/>
      <c r="EE135" s="76"/>
      <c r="EF135" s="76"/>
      <c r="EG135" s="76"/>
    </row>
    <row r="136" spans="1:137" s="15" customFormat="1" ht="11.25" hidden="1">
      <c r="A136" s="3" t="s">
        <v>77</v>
      </c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EB136" s="34"/>
      <c r="EC136" s="34"/>
      <c r="ED136" s="34"/>
      <c r="EE136" s="34"/>
      <c r="EF136" s="34"/>
      <c r="EG136" s="34"/>
    </row>
    <row r="137" spans="1:137" s="15" customFormat="1" ht="30" customHeight="1" hidden="1">
      <c r="A137" s="6" t="s">
        <v>301</v>
      </c>
      <c r="B137" s="4"/>
      <c r="C137" s="4"/>
      <c r="D137" s="5">
        <f>5000000-5000000</f>
        <v>0</v>
      </c>
      <c r="E137" s="5"/>
      <c r="F137" s="5">
        <f>D137</f>
        <v>0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EB137" s="34"/>
      <c r="EC137" s="34"/>
      <c r="ED137" s="34"/>
      <c r="EE137" s="34"/>
      <c r="EF137" s="34"/>
      <c r="EG137" s="34"/>
    </row>
    <row r="138" spans="1:137" s="15" customFormat="1" ht="11.25" hidden="1">
      <c r="A138" s="3" t="s">
        <v>231</v>
      </c>
      <c r="B138" s="4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EB138" s="34"/>
      <c r="EC138" s="34"/>
      <c r="ED138" s="34"/>
      <c r="EE138" s="34"/>
      <c r="EF138" s="34"/>
      <c r="EG138" s="34"/>
    </row>
    <row r="139" spans="1:137" s="15" customFormat="1" ht="11.25" hidden="1">
      <c r="A139" s="50" t="s">
        <v>299</v>
      </c>
      <c r="B139" s="4"/>
      <c r="C139" s="4"/>
      <c r="D139" s="5" t="e">
        <f>D137/D141</f>
        <v>#DIV/0!</v>
      </c>
      <c r="E139" s="5"/>
      <c r="F139" s="5" t="e">
        <f>D139</f>
        <v>#DIV/0!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EB139" s="34"/>
      <c r="EC139" s="34"/>
      <c r="ED139" s="34"/>
      <c r="EE139" s="34"/>
      <c r="EF139" s="34"/>
      <c r="EG139" s="34"/>
    </row>
    <row r="140" spans="1:137" s="15" customFormat="1" ht="11.25" hidden="1">
      <c r="A140" s="3" t="s">
        <v>226</v>
      </c>
      <c r="B140" s="4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EB140" s="34"/>
      <c r="EC140" s="34"/>
      <c r="ED140" s="34"/>
      <c r="EE140" s="34"/>
      <c r="EF140" s="34"/>
      <c r="EG140" s="34"/>
    </row>
    <row r="141" spans="1:137" s="15" customFormat="1" ht="24" customHeight="1" hidden="1">
      <c r="A141" s="6" t="s">
        <v>302</v>
      </c>
      <c r="B141" s="4"/>
      <c r="C141" s="4"/>
      <c r="D141" s="5"/>
      <c r="E141" s="5"/>
      <c r="F141" s="5">
        <f>D141</f>
        <v>0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EB141" s="34"/>
      <c r="EC141" s="34"/>
      <c r="ED141" s="34"/>
      <c r="EE141" s="34"/>
      <c r="EF141" s="34"/>
      <c r="EG141" s="34"/>
    </row>
    <row r="142" spans="1:137" s="75" customFormat="1" ht="24" customHeight="1" hidden="1">
      <c r="A142" s="85" t="s">
        <v>451</v>
      </c>
      <c r="B142" s="73"/>
      <c r="C142" s="73"/>
      <c r="D142" s="81">
        <f>D144</f>
        <v>0</v>
      </c>
      <c r="E142" s="81"/>
      <c r="F142" s="81">
        <f>D142</f>
        <v>0</v>
      </c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EB142" s="76"/>
      <c r="EC142" s="76"/>
      <c r="ED142" s="76"/>
      <c r="EE142" s="76"/>
      <c r="EF142" s="76"/>
      <c r="EG142" s="76"/>
    </row>
    <row r="143" spans="1:137" s="15" customFormat="1" ht="11.25" hidden="1">
      <c r="A143" s="3" t="s">
        <v>77</v>
      </c>
      <c r="B143" s="4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EB143" s="34"/>
      <c r="EC143" s="34"/>
      <c r="ED143" s="34"/>
      <c r="EE143" s="34"/>
      <c r="EF143" s="34"/>
      <c r="EG143" s="34"/>
    </row>
    <row r="144" spans="1:137" s="15" customFormat="1" ht="24" customHeight="1" hidden="1">
      <c r="A144" s="6" t="s">
        <v>303</v>
      </c>
      <c r="B144" s="4"/>
      <c r="C144" s="4"/>
      <c r="D144" s="5">
        <f>1000000-1000000</f>
        <v>0</v>
      </c>
      <c r="E144" s="5"/>
      <c r="F144" s="5">
        <f>D144</f>
        <v>0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EB144" s="34"/>
      <c r="EC144" s="34"/>
      <c r="ED144" s="34"/>
      <c r="EE144" s="34"/>
      <c r="EF144" s="34"/>
      <c r="EG144" s="34"/>
    </row>
    <row r="145" spans="1:137" s="15" customFormat="1" ht="11.25" hidden="1">
      <c r="A145" s="3" t="s">
        <v>231</v>
      </c>
      <c r="B145" s="4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EB145" s="34"/>
      <c r="EC145" s="34"/>
      <c r="ED145" s="34"/>
      <c r="EE145" s="34"/>
      <c r="EF145" s="34"/>
      <c r="EG145" s="34"/>
    </row>
    <row r="146" spans="1:137" s="15" customFormat="1" ht="11.25" hidden="1">
      <c r="A146" s="50" t="s">
        <v>299</v>
      </c>
      <c r="B146" s="4"/>
      <c r="C146" s="4"/>
      <c r="D146" s="5"/>
      <c r="E146" s="5"/>
      <c r="F146" s="5">
        <f>D146</f>
        <v>0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EB146" s="34"/>
      <c r="EC146" s="34"/>
      <c r="ED146" s="34"/>
      <c r="EE146" s="34"/>
      <c r="EF146" s="34"/>
      <c r="EG146" s="34"/>
    </row>
    <row r="147" spans="1:137" s="15" customFormat="1" ht="11.25" hidden="1">
      <c r="A147" s="3" t="s">
        <v>226</v>
      </c>
      <c r="B147" s="4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EB147" s="34"/>
      <c r="EC147" s="34"/>
      <c r="ED147" s="34"/>
      <c r="EE147" s="34"/>
      <c r="EF147" s="34"/>
      <c r="EG147" s="34"/>
    </row>
    <row r="148" spans="1:137" s="15" customFormat="1" ht="24" customHeight="1" hidden="1">
      <c r="A148" s="6" t="s">
        <v>304</v>
      </c>
      <c r="B148" s="4"/>
      <c r="C148" s="4"/>
      <c r="D148" s="5" t="e">
        <f>D144/D146</f>
        <v>#DIV/0!</v>
      </c>
      <c r="E148" s="5"/>
      <c r="F148" s="5" t="e">
        <f>D148</f>
        <v>#DIV/0!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EB148" s="34"/>
      <c r="EC148" s="34"/>
      <c r="ED148" s="34"/>
      <c r="EE148" s="34"/>
      <c r="EF148" s="34"/>
      <c r="EG148" s="34"/>
    </row>
    <row r="149" spans="1:137" s="75" customFormat="1" ht="24" customHeight="1" hidden="1">
      <c r="A149" s="85" t="s">
        <v>399</v>
      </c>
      <c r="B149" s="73"/>
      <c r="C149" s="73"/>
      <c r="D149" s="74"/>
      <c r="E149" s="81">
        <f>600000+1200000+3500000-2800000-600000-1200000-700000+760000</f>
        <v>760000</v>
      </c>
      <c r="F149" s="81">
        <f>E149</f>
        <v>760000</v>
      </c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EB149" s="76"/>
      <c r="EC149" s="76"/>
      <c r="ED149" s="76"/>
      <c r="EE149" s="76"/>
      <c r="EF149" s="76"/>
      <c r="EG149" s="76"/>
    </row>
    <row r="150" spans="1:137" s="15" customFormat="1" ht="11.25" hidden="1">
      <c r="A150" s="3" t="s">
        <v>77</v>
      </c>
      <c r="B150" s="4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EB150" s="34"/>
      <c r="EC150" s="34"/>
      <c r="ED150" s="34"/>
      <c r="EE150" s="34"/>
      <c r="EF150" s="34"/>
      <c r="EG150" s="34"/>
    </row>
    <row r="151" spans="1:137" s="15" customFormat="1" ht="24" customHeight="1" hidden="1">
      <c r="A151" s="6" t="s">
        <v>305</v>
      </c>
      <c r="B151" s="4"/>
      <c r="C151" s="4"/>
      <c r="D151" s="5"/>
      <c r="E151" s="5">
        <f>E149</f>
        <v>760000</v>
      </c>
      <c r="F151" s="5">
        <f>E151</f>
        <v>760000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EB151" s="34"/>
      <c r="EC151" s="34"/>
      <c r="ED151" s="34"/>
      <c r="EE151" s="34"/>
      <c r="EF151" s="34"/>
      <c r="EG151" s="34"/>
    </row>
    <row r="152" spans="1:137" s="15" customFormat="1" ht="11.25" hidden="1">
      <c r="A152" s="3" t="s">
        <v>231</v>
      </c>
      <c r="B152" s="4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EB152" s="34"/>
      <c r="EC152" s="34"/>
      <c r="ED152" s="34"/>
      <c r="EE152" s="34"/>
      <c r="EF152" s="34"/>
      <c r="EG152" s="34"/>
    </row>
    <row r="153" spans="1:137" s="15" customFormat="1" ht="29.25" customHeight="1" hidden="1">
      <c r="A153" s="50" t="s">
        <v>306</v>
      </c>
      <c r="B153" s="4"/>
      <c r="C153" s="4"/>
      <c r="D153" s="5"/>
      <c r="E153" s="5">
        <v>3</v>
      </c>
      <c r="F153" s="5">
        <f>E153</f>
        <v>3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EB153" s="34"/>
      <c r="EC153" s="34"/>
      <c r="ED153" s="34"/>
      <c r="EE153" s="34"/>
      <c r="EF153" s="34"/>
      <c r="EG153" s="34"/>
    </row>
    <row r="154" spans="1:137" s="15" customFormat="1" ht="11.25" hidden="1">
      <c r="A154" s="3" t="s">
        <v>226</v>
      </c>
      <c r="B154" s="4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EB154" s="34"/>
      <c r="EC154" s="34"/>
      <c r="ED154" s="34"/>
      <c r="EE154" s="34"/>
      <c r="EF154" s="34"/>
      <c r="EG154" s="34"/>
    </row>
    <row r="155" spans="1:137" s="15" customFormat="1" ht="26.25" customHeight="1" hidden="1">
      <c r="A155" s="6" t="s">
        <v>313</v>
      </c>
      <c r="B155" s="4"/>
      <c r="C155" s="4"/>
      <c r="D155" s="5"/>
      <c r="E155" s="5">
        <f>E151/E153</f>
        <v>253333.33333333334</v>
      </c>
      <c r="F155" s="5">
        <f>F151/F153</f>
        <v>253333.33333333334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EB155" s="34"/>
      <c r="EC155" s="34"/>
      <c r="ED155" s="34"/>
      <c r="EE155" s="34"/>
      <c r="EF155" s="34"/>
      <c r="EG155" s="34"/>
    </row>
    <row r="156" spans="1:137" s="196" customFormat="1" ht="36" customHeight="1" hidden="1">
      <c r="A156" s="194" t="s">
        <v>513</v>
      </c>
      <c r="B156" s="195"/>
      <c r="C156" s="195"/>
      <c r="D156" s="193">
        <f>(D162*D175)+(D165*D171)+(D167*D173)+(D168*D174)-49.93</f>
        <v>52668200.00376924</v>
      </c>
      <c r="E156" s="193">
        <f>E166*E172-2.77</f>
        <v>3700000.0034</v>
      </c>
      <c r="F156" s="193">
        <f>D156+E156-0.01</f>
        <v>56368199.99716924</v>
      </c>
      <c r="G156" s="193">
        <f>(G175*G169)+0.15+(G165*G171)+(G167*G173)+(G168*G174)-0.03</f>
        <v>69476000.00386953</v>
      </c>
      <c r="H156" s="193">
        <f>H166*H172</f>
        <v>18267000</v>
      </c>
      <c r="I156" s="193"/>
      <c r="J156" s="193">
        <f>G156+H156</f>
        <v>87743000.00386953</v>
      </c>
      <c r="K156" s="193">
        <f>(K165*K171)+(K166*K172)+(K168*K174)+(K167*K173)+(K169*K175)+100</f>
        <v>100</v>
      </c>
      <c r="L156" s="193">
        <f>(L165*L171)+(L166*L172)+(L168*L174)+(L167*L173)+(L169*L175)+100</f>
        <v>100</v>
      </c>
      <c r="M156" s="193">
        <f>(M165*M171)+(M166*M172)+(M168*M174)+(M167*M173)+(M169*M175)+100</f>
        <v>100</v>
      </c>
      <c r="N156" s="193">
        <f>(N175*N169)+(N165*N171)+(N167*N173)+(N168*N174)-0.01</f>
        <v>73644300.00451978</v>
      </c>
      <c r="O156" s="193">
        <f>O172*O166-0.02</f>
        <v>19362999.996</v>
      </c>
      <c r="P156" s="193">
        <f>N156+O156</f>
        <v>93007300.00051978</v>
      </c>
      <c r="EB156" s="197"/>
      <c r="EC156" s="197"/>
      <c r="ED156" s="197"/>
      <c r="EE156" s="197"/>
      <c r="EF156" s="197"/>
      <c r="EG156" s="197"/>
    </row>
    <row r="157" spans="1:137" s="271" customFormat="1" ht="21" customHeight="1" hidden="1">
      <c r="A157" s="269" t="s">
        <v>34</v>
      </c>
      <c r="B157" s="264"/>
      <c r="C157" s="264"/>
      <c r="D157" s="270">
        <v>664.71</v>
      </c>
      <c r="E157" s="270"/>
      <c r="F157" s="270">
        <f>D157</f>
        <v>664.71</v>
      </c>
      <c r="G157" s="270">
        <v>664.71</v>
      </c>
      <c r="H157" s="270"/>
      <c r="I157" s="270"/>
      <c r="J157" s="270">
        <f>G157</f>
        <v>664.71</v>
      </c>
      <c r="K157" s="270"/>
      <c r="L157" s="270"/>
      <c r="M157" s="270"/>
      <c r="N157" s="270">
        <v>664.71</v>
      </c>
      <c r="O157" s="270"/>
      <c r="P157" s="270">
        <f>N157</f>
        <v>664.71</v>
      </c>
      <c r="EB157" s="268"/>
      <c r="EC157" s="268"/>
      <c r="ED157" s="268"/>
      <c r="EE157" s="268"/>
      <c r="EF157" s="268"/>
      <c r="EG157" s="268"/>
    </row>
    <row r="158" spans="1:137" s="15" customFormat="1" ht="27" customHeight="1" hidden="1">
      <c r="A158" s="6" t="s">
        <v>35</v>
      </c>
      <c r="B158" s="4"/>
      <c r="C158" s="4"/>
      <c r="D158" s="74"/>
      <c r="E158" s="74">
        <v>462.13</v>
      </c>
      <c r="F158" s="74">
        <f>E158</f>
        <v>462.13</v>
      </c>
      <c r="G158" s="74"/>
      <c r="H158" s="74">
        <v>462.13</v>
      </c>
      <c r="I158" s="74"/>
      <c r="J158" s="74">
        <f>H158</f>
        <v>462.13</v>
      </c>
      <c r="K158" s="74"/>
      <c r="L158" s="74"/>
      <c r="M158" s="74"/>
      <c r="N158" s="74"/>
      <c r="O158" s="74">
        <v>462.13</v>
      </c>
      <c r="P158" s="74">
        <f>O158</f>
        <v>462.13</v>
      </c>
      <c r="EB158" s="34"/>
      <c r="EC158" s="34"/>
      <c r="ED158" s="34"/>
      <c r="EE158" s="34"/>
      <c r="EF158" s="34"/>
      <c r="EG158" s="34"/>
    </row>
    <row r="159" spans="1:137" s="15" customFormat="1" ht="30.75" customHeight="1" hidden="1">
      <c r="A159" s="6" t="s">
        <v>36</v>
      </c>
      <c r="B159" s="4"/>
      <c r="C159" s="4"/>
      <c r="D159" s="74">
        <v>105.83</v>
      </c>
      <c r="E159" s="74"/>
      <c r="F159" s="74">
        <f>D159</f>
        <v>105.83</v>
      </c>
      <c r="G159" s="74">
        <v>105.83</v>
      </c>
      <c r="H159" s="74"/>
      <c r="I159" s="74"/>
      <c r="J159" s="74">
        <f>G159</f>
        <v>105.83</v>
      </c>
      <c r="K159" s="74"/>
      <c r="L159" s="74"/>
      <c r="M159" s="74"/>
      <c r="N159" s="74">
        <v>105.83</v>
      </c>
      <c r="O159" s="74"/>
      <c r="P159" s="74">
        <f>N159</f>
        <v>105.83</v>
      </c>
      <c r="EB159" s="34"/>
      <c r="EC159" s="34"/>
      <c r="ED159" s="34"/>
      <c r="EE159" s="34"/>
      <c r="EF159" s="34"/>
      <c r="EG159" s="34"/>
    </row>
    <row r="160" spans="1:137" s="15" customFormat="1" ht="25.5" customHeight="1" hidden="1">
      <c r="A160" s="6" t="s">
        <v>37</v>
      </c>
      <c r="B160" s="4"/>
      <c r="C160" s="4"/>
      <c r="D160" s="74">
        <v>18995</v>
      </c>
      <c r="E160" s="74"/>
      <c r="F160" s="74">
        <f>D160</f>
        <v>18995</v>
      </c>
      <c r="G160" s="74">
        <v>18995</v>
      </c>
      <c r="H160" s="74"/>
      <c r="I160" s="74"/>
      <c r="J160" s="74">
        <f>G160</f>
        <v>18995</v>
      </c>
      <c r="K160" s="74"/>
      <c r="L160" s="74"/>
      <c r="M160" s="74"/>
      <c r="N160" s="74">
        <v>18995</v>
      </c>
      <c r="O160" s="74"/>
      <c r="P160" s="74">
        <f>N160</f>
        <v>18995</v>
      </c>
      <c r="EB160" s="34"/>
      <c r="EC160" s="34"/>
      <c r="ED160" s="34"/>
      <c r="EE160" s="34"/>
      <c r="EF160" s="34"/>
      <c r="EG160" s="34"/>
    </row>
    <row r="161" spans="1:137" s="15" customFormat="1" ht="11.25" hidden="1">
      <c r="A161" s="6" t="s">
        <v>38</v>
      </c>
      <c r="B161" s="4"/>
      <c r="C161" s="4"/>
      <c r="D161" s="74">
        <v>8000</v>
      </c>
      <c r="E161" s="74"/>
      <c r="F161" s="74">
        <f>D161</f>
        <v>8000</v>
      </c>
      <c r="G161" s="74">
        <f>F161</f>
        <v>8000</v>
      </c>
      <c r="H161" s="74"/>
      <c r="I161" s="74"/>
      <c r="J161" s="74">
        <f>G161</f>
        <v>8000</v>
      </c>
      <c r="K161" s="74"/>
      <c r="L161" s="74"/>
      <c r="M161" s="74"/>
      <c r="N161" s="74">
        <f>G161</f>
        <v>8000</v>
      </c>
      <c r="O161" s="74"/>
      <c r="P161" s="74">
        <f>N161</f>
        <v>8000</v>
      </c>
      <c r="EB161" s="34"/>
      <c r="EC161" s="34"/>
      <c r="ED161" s="34"/>
      <c r="EE161" s="34"/>
      <c r="EF161" s="34"/>
      <c r="EG161" s="34"/>
    </row>
    <row r="162" spans="1:137" s="15" customFormat="1" ht="29.25" customHeight="1" hidden="1">
      <c r="A162" s="6" t="s">
        <v>39</v>
      </c>
      <c r="B162" s="4"/>
      <c r="C162" s="4"/>
      <c r="D162" s="74">
        <f>8922454.63+1851851.8518-10987.6543209-2106.70878787</f>
        <v>10761212.118691232</v>
      </c>
      <c r="E162" s="74"/>
      <c r="F162" s="74">
        <f>D162</f>
        <v>10761212.118691232</v>
      </c>
      <c r="G162" s="74">
        <v>8922454.63</v>
      </c>
      <c r="H162" s="74"/>
      <c r="I162" s="74"/>
      <c r="J162" s="74">
        <f>G162</f>
        <v>8922454.63</v>
      </c>
      <c r="K162" s="74"/>
      <c r="L162" s="74"/>
      <c r="M162" s="74"/>
      <c r="N162" s="74">
        <v>8922454.63</v>
      </c>
      <c r="O162" s="74"/>
      <c r="P162" s="74">
        <f>N162</f>
        <v>8922454.63</v>
      </c>
      <c r="EB162" s="34"/>
      <c r="EC162" s="34"/>
      <c r="ED162" s="34"/>
      <c r="EE162" s="34"/>
      <c r="EF162" s="34"/>
      <c r="EG162" s="34"/>
    </row>
    <row r="163" spans="1:137" s="15" customFormat="1" ht="11.25" hidden="1">
      <c r="A163" s="3" t="s">
        <v>3</v>
      </c>
      <c r="B163" s="25"/>
      <c r="C163" s="25"/>
      <c r="D163" s="84"/>
      <c r="E163" s="84"/>
      <c r="F163" s="74"/>
      <c r="G163" s="84"/>
      <c r="H163" s="84"/>
      <c r="I163" s="84"/>
      <c r="J163" s="74"/>
      <c r="K163" s="74"/>
      <c r="L163" s="74"/>
      <c r="M163" s="74"/>
      <c r="N163" s="84"/>
      <c r="O163" s="84"/>
      <c r="P163" s="74"/>
      <c r="EB163" s="34"/>
      <c r="EC163" s="34"/>
      <c r="ED163" s="34"/>
      <c r="EE163" s="34"/>
      <c r="EF163" s="34"/>
      <c r="EG163" s="34"/>
    </row>
    <row r="164" spans="1:137" s="15" customFormat="1" ht="24" customHeight="1" hidden="1">
      <c r="A164" s="6" t="s">
        <v>260</v>
      </c>
      <c r="B164" s="4"/>
      <c r="C164" s="4"/>
      <c r="D164" s="74"/>
      <c r="E164" s="74"/>
      <c r="F164" s="74"/>
      <c r="G164" s="74"/>
      <c r="H164" s="74"/>
      <c r="I164" s="74"/>
      <c r="J164" s="74">
        <f>G164</f>
        <v>0</v>
      </c>
      <c r="K164" s="74"/>
      <c r="L164" s="74"/>
      <c r="M164" s="74"/>
      <c r="N164" s="74"/>
      <c r="O164" s="74"/>
      <c r="P164" s="74">
        <f>N164</f>
        <v>0</v>
      </c>
      <c r="EB164" s="34"/>
      <c r="EC164" s="34"/>
      <c r="ED164" s="34"/>
      <c r="EE164" s="34"/>
      <c r="EF164" s="34"/>
      <c r="EG164" s="34"/>
    </row>
    <row r="165" spans="1:137" s="15" customFormat="1" ht="29.25" customHeight="1" hidden="1">
      <c r="A165" s="6" t="s">
        <v>40</v>
      </c>
      <c r="B165" s="4"/>
      <c r="C165" s="4"/>
      <c r="D165" s="74">
        <v>33.701</v>
      </c>
      <c r="E165" s="74"/>
      <c r="F165" s="74">
        <f>D165</f>
        <v>33.701</v>
      </c>
      <c r="G165" s="74">
        <v>46</v>
      </c>
      <c r="H165" s="74"/>
      <c r="I165" s="74"/>
      <c r="J165" s="74">
        <f>G165</f>
        <v>46</v>
      </c>
      <c r="K165" s="74"/>
      <c r="L165" s="74"/>
      <c r="M165" s="74"/>
      <c r="N165" s="74">
        <v>46</v>
      </c>
      <c r="O165" s="74"/>
      <c r="P165" s="74">
        <f>N165</f>
        <v>46</v>
      </c>
      <c r="EB165" s="34"/>
      <c r="EC165" s="34"/>
      <c r="ED165" s="34"/>
      <c r="EE165" s="34"/>
      <c r="EF165" s="34"/>
      <c r="EG165" s="34"/>
    </row>
    <row r="166" spans="1:137" s="15" customFormat="1" ht="30" customHeight="1" hidden="1">
      <c r="A166" s="6" t="s">
        <v>41</v>
      </c>
      <c r="B166" s="4"/>
      <c r="C166" s="4"/>
      <c r="D166" s="74"/>
      <c r="E166" s="74">
        <v>10.41</v>
      </c>
      <c r="F166" s="74">
        <f>E166</f>
        <v>10.41</v>
      </c>
      <c r="G166" s="74"/>
      <c r="H166" s="176">
        <v>30</v>
      </c>
      <c r="I166" s="74"/>
      <c r="J166" s="74">
        <f>H166</f>
        <v>30</v>
      </c>
      <c r="K166" s="74"/>
      <c r="L166" s="74"/>
      <c r="M166" s="74"/>
      <c r="N166" s="74"/>
      <c r="O166" s="74">
        <v>30.4</v>
      </c>
      <c r="P166" s="74">
        <f>O166</f>
        <v>30.4</v>
      </c>
      <c r="EB166" s="34"/>
      <c r="EC166" s="34"/>
      <c r="ED166" s="34"/>
      <c r="EE166" s="34"/>
      <c r="EF166" s="34"/>
      <c r="EG166" s="34"/>
    </row>
    <row r="167" spans="1:137" s="15" customFormat="1" ht="26.25" customHeight="1" hidden="1">
      <c r="A167" s="6" t="s">
        <v>54</v>
      </c>
      <c r="B167" s="4"/>
      <c r="C167" s="4"/>
      <c r="D167" s="74">
        <f>D160</f>
        <v>18995</v>
      </c>
      <c r="E167" s="74"/>
      <c r="F167" s="74">
        <f>D167</f>
        <v>18995</v>
      </c>
      <c r="G167" s="74">
        <f>G160</f>
        <v>18995</v>
      </c>
      <c r="H167" s="74"/>
      <c r="I167" s="74"/>
      <c r="J167" s="74">
        <f>G167</f>
        <v>18995</v>
      </c>
      <c r="K167" s="74"/>
      <c r="L167" s="74"/>
      <c r="M167" s="74"/>
      <c r="N167" s="74">
        <f>N160</f>
        <v>18995</v>
      </c>
      <c r="O167" s="74"/>
      <c r="P167" s="74">
        <f>N167</f>
        <v>18995</v>
      </c>
      <c r="EB167" s="34"/>
      <c r="EC167" s="34"/>
      <c r="ED167" s="34"/>
      <c r="EE167" s="34"/>
      <c r="EF167" s="34"/>
      <c r="EG167" s="34"/>
    </row>
    <row r="168" spans="1:137" s="15" customFormat="1" ht="24.75" customHeight="1" hidden="1">
      <c r="A168" s="6" t="s">
        <v>42</v>
      </c>
      <c r="B168" s="4"/>
      <c r="C168" s="4"/>
      <c r="D168" s="74">
        <v>1000</v>
      </c>
      <c r="E168" s="74"/>
      <c r="F168" s="74">
        <f>D168</f>
        <v>1000</v>
      </c>
      <c r="G168" s="74">
        <v>2482</v>
      </c>
      <c r="H168" s="74"/>
      <c r="I168" s="74"/>
      <c r="J168" s="74">
        <f>G168</f>
        <v>2482</v>
      </c>
      <c r="K168" s="74"/>
      <c r="L168" s="74"/>
      <c r="M168" s="74"/>
      <c r="N168" s="74">
        <v>2482</v>
      </c>
      <c r="O168" s="74"/>
      <c r="P168" s="74">
        <f>N168</f>
        <v>2482</v>
      </c>
      <c r="EB168" s="34"/>
      <c r="EC168" s="34"/>
      <c r="ED168" s="34"/>
      <c r="EE168" s="34"/>
      <c r="EF168" s="34"/>
      <c r="EG168" s="34"/>
    </row>
    <row r="169" spans="1:137" s="15" customFormat="1" ht="24.75" customHeight="1" hidden="1">
      <c r="A169" s="6" t="s">
        <v>43</v>
      </c>
      <c r="B169" s="4"/>
      <c r="C169" s="4"/>
      <c r="D169" s="74">
        <f>8922454.63+1851851.8518+10987.6543209</f>
        <v>10785294.1361209</v>
      </c>
      <c r="E169" s="74"/>
      <c r="F169" s="74">
        <f>D169</f>
        <v>10785294.1361209</v>
      </c>
      <c r="G169" s="74">
        <v>8922454.63</v>
      </c>
      <c r="H169" s="74"/>
      <c r="I169" s="74"/>
      <c r="J169" s="74">
        <f>G169</f>
        <v>8922454.63</v>
      </c>
      <c r="K169" s="74"/>
      <c r="L169" s="74"/>
      <c r="M169" s="74"/>
      <c r="N169" s="74">
        <v>8922454.63</v>
      </c>
      <c r="O169" s="74"/>
      <c r="P169" s="74">
        <f>N169</f>
        <v>8922454.63</v>
      </c>
      <c r="EB169" s="34"/>
      <c r="EC169" s="34"/>
      <c r="ED169" s="34"/>
      <c r="EE169" s="34"/>
      <c r="EF169" s="34"/>
      <c r="EG169" s="34"/>
    </row>
    <row r="170" spans="1:137" s="15" customFormat="1" ht="11.25" hidden="1">
      <c r="A170" s="3" t="s">
        <v>5</v>
      </c>
      <c r="B170" s="25"/>
      <c r="C170" s="25"/>
      <c r="D170" s="84"/>
      <c r="E170" s="84"/>
      <c r="F170" s="74"/>
      <c r="G170" s="84"/>
      <c r="H170" s="84"/>
      <c r="I170" s="84"/>
      <c r="J170" s="74"/>
      <c r="K170" s="74"/>
      <c r="L170" s="74"/>
      <c r="M170" s="74"/>
      <c r="N170" s="84"/>
      <c r="O170" s="84"/>
      <c r="P170" s="74"/>
      <c r="EB170" s="34"/>
      <c r="EC170" s="34"/>
      <c r="ED170" s="34"/>
      <c r="EE170" s="34"/>
      <c r="EF170" s="34"/>
      <c r="EG170" s="34"/>
    </row>
    <row r="171" spans="1:137" s="15" customFormat="1" ht="22.5" hidden="1">
      <c r="A171" s="6" t="s">
        <v>44</v>
      </c>
      <c r="B171" s="4"/>
      <c r="C171" s="4"/>
      <c r="D171" s="74">
        <f>121042.829565</f>
        <v>121042.829565</v>
      </c>
      <c r="E171" s="74"/>
      <c r="F171" s="74">
        <f>D171</f>
        <v>121042.829565</v>
      </c>
      <c r="G171" s="74">
        <v>333737.737</v>
      </c>
      <c r="H171" s="74"/>
      <c r="I171" s="74"/>
      <c r="J171" s="74">
        <f>G171</f>
        <v>333737.737</v>
      </c>
      <c r="K171" s="74"/>
      <c r="L171" s="74"/>
      <c r="M171" s="74"/>
      <c r="N171" s="74">
        <v>353762.65</v>
      </c>
      <c r="O171" s="74"/>
      <c r="P171" s="74">
        <f>N171</f>
        <v>353762.65</v>
      </c>
      <c r="EB171" s="34"/>
      <c r="EC171" s="34"/>
      <c r="ED171" s="34"/>
      <c r="EE171" s="34"/>
      <c r="EF171" s="34"/>
      <c r="EG171" s="34"/>
    </row>
    <row r="172" spans="1:137" s="15" customFormat="1" ht="22.5" hidden="1">
      <c r="A172" s="6" t="s">
        <v>45</v>
      </c>
      <c r="B172" s="4"/>
      <c r="C172" s="4"/>
      <c r="D172" s="74"/>
      <c r="E172" s="74">
        <v>355427.74</v>
      </c>
      <c r="F172" s="74">
        <f>E172</f>
        <v>355427.74</v>
      </c>
      <c r="G172" s="74"/>
      <c r="H172" s="74">
        <v>608900</v>
      </c>
      <c r="I172" s="74"/>
      <c r="J172" s="74">
        <f>H172</f>
        <v>608900</v>
      </c>
      <c r="K172" s="74"/>
      <c r="L172" s="74"/>
      <c r="M172" s="74"/>
      <c r="N172" s="74"/>
      <c r="O172" s="74">
        <v>636940.79</v>
      </c>
      <c r="P172" s="74">
        <f>O172</f>
        <v>636940.79</v>
      </c>
      <c r="EB172" s="34"/>
      <c r="EC172" s="34"/>
      <c r="ED172" s="34"/>
      <c r="EE172" s="34"/>
      <c r="EF172" s="34"/>
      <c r="EG172" s="34"/>
    </row>
    <row r="173" spans="1:137" s="15" customFormat="1" ht="23.25" customHeight="1" hidden="1">
      <c r="A173" s="6" t="s">
        <v>46</v>
      </c>
      <c r="B173" s="4"/>
      <c r="C173" s="4"/>
      <c r="D173" s="74">
        <v>375.64125</v>
      </c>
      <c r="E173" s="74"/>
      <c r="F173" s="74">
        <v>420</v>
      </c>
      <c r="G173" s="74">
        <v>507.51</v>
      </c>
      <c r="H173" s="74"/>
      <c r="I173" s="74"/>
      <c r="J173" s="74">
        <f>G173</f>
        <v>507.51</v>
      </c>
      <c r="K173" s="74"/>
      <c r="L173" s="74"/>
      <c r="M173" s="74"/>
      <c r="N173" s="74">
        <v>537.95935</v>
      </c>
      <c r="O173" s="74"/>
      <c r="P173" s="74">
        <f>N173</f>
        <v>537.95935</v>
      </c>
      <c r="EB173" s="34"/>
      <c r="EC173" s="34"/>
      <c r="ED173" s="34"/>
      <c r="EE173" s="34"/>
      <c r="EF173" s="34"/>
      <c r="EG173" s="34"/>
    </row>
    <row r="174" spans="1:137" s="15" customFormat="1" ht="17.25" customHeight="1" hidden="1">
      <c r="A174" s="6" t="s">
        <v>47</v>
      </c>
      <c r="B174" s="4"/>
      <c r="C174" s="4"/>
      <c r="D174" s="74">
        <v>2390.48</v>
      </c>
      <c r="E174" s="74"/>
      <c r="F174" s="74">
        <f>D174</f>
        <v>2390.48</v>
      </c>
      <c r="G174" s="74">
        <v>5538.24</v>
      </c>
      <c r="H174" s="74"/>
      <c r="I174" s="74"/>
      <c r="J174" s="74">
        <f>G174</f>
        <v>5538.24</v>
      </c>
      <c r="K174" s="74"/>
      <c r="L174" s="74"/>
      <c r="M174" s="74"/>
      <c r="N174" s="74">
        <v>5870.54</v>
      </c>
      <c r="O174" s="74"/>
      <c r="P174" s="74">
        <f>N174</f>
        <v>5870.54</v>
      </c>
      <c r="EB174" s="34"/>
      <c r="EC174" s="34"/>
      <c r="ED174" s="34"/>
      <c r="EE174" s="34"/>
      <c r="EF174" s="34"/>
      <c r="EG174" s="34"/>
    </row>
    <row r="175" spans="1:137" s="15" customFormat="1" ht="33.75" hidden="1">
      <c r="A175" s="6" t="s">
        <v>121</v>
      </c>
      <c r="B175" s="4"/>
      <c r="C175" s="4"/>
      <c r="D175" s="74">
        <v>3.63</v>
      </c>
      <c r="E175" s="74"/>
      <c r="F175" s="74">
        <f>D175</f>
        <v>3.63</v>
      </c>
      <c r="G175" s="74">
        <v>3.4450161</v>
      </c>
      <c r="H175" s="74"/>
      <c r="I175" s="74"/>
      <c r="J175" s="74">
        <f>G175</f>
        <v>3.4450161</v>
      </c>
      <c r="K175" s="74"/>
      <c r="L175" s="74"/>
      <c r="M175" s="74"/>
      <c r="N175" s="74">
        <v>3.6516857</v>
      </c>
      <c r="O175" s="74"/>
      <c r="P175" s="74">
        <f>N175</f>
        <v>3.6516857</v>
      </c>
      <c r="EB175" s="34"/>
      <c r="EC175" s="34"/>
      <c r="ED175" s="34"/>
      <c r="EE175" s="34"/>
      <c r="EF175" s="34"/>
      <c r="EG175" s="34"/>
    </row>
    <row r="176" spans="1:137" s="15" customFormat="1" ht="11.25" hidden="1">
      <c r="A176" s="3" t="s">
        <v>4</v>
      </c>
      <c r="B176" s="25"/>
      <c r="C176" s="25"/>
      <c r="D176" s="18"/>
      <c r="E176" s="18"/>
      <c r="F176" s="5">
        <f>D176</f>
        <v>0</v>
      </c>
      <c r="G176" s="18"/>
      <c r="H176" s="18"/>
      <c r="I176" s="18"/>
      <c r="J176" s="5">
        <f>G176</f>
        <v>0</v>
      </c>
      <c r="K176" s="5"/>
      <c r="L176" s="5"/>
      <c r="M176" s="5"/>
      <c r="N176" s="18"/>
      <c r="O176" s="18"/>
      <c r="P176" s="5">
        <f>N176</f>
        <v>0</v>
      </c>
      <c r="EB176" s="34"/>
      <c r="EC176" s="34"/>
      <c r="ED176" s="34"/>
      <c r="EE176" s="34"/>
      <c r="EF176" s="34"/>
      <c r="EG176" s="34"/>
    </row>
    <row r="177" spans="1:137" s="15" customFormat="1" ht="33.75" hidden="1">
      <c r="A177" s="6" t="s">
        <v>49</v>
      </c>
      <c r="B177" s="4"/>
      <c r="C177" s="4"/>
      <c r="D177" s="5"/>
      <c r="E177" s="5">
        <f>E166/E158*100</f>
        <v>2.252612901131716</v>
      </c>
      <c r="F177" s="5">
        <f>E177</f>
        <v>2.252612901131716</v>
      </c>
      <c r="G177" s="5"/>
      <c r="H177" s="5">
        <f>H166/H158*100</f>
        <v>6.491679830350767</v>
      </c>
      <c r="I177" s="5"/>
      <c r="J177" s="5">
        <f>H177</f>
        <v>6.491679830350767</v>
      </c>
      <c r="K177" s="5"/>
      <c r="L177" s="5"/>
      <c r="M177" s="5"/>
      <c r="N177" s="5"/>
      <c r="O177" s="5">
        <f>O166/O158*100</f>
        <v>6.578235561422111</v>
      </c>
      <c r="P177" s="5">
        <f>O177</f>
        <v>6.578235561422111</v>
      </c>
      <c r="EB177" s="34"/>
      <c r="EC177" s="34"/>
      <c r="ED177" s="34"/>
      <c r="EE177" s="34"/>
      <c r="EF177" s="34"/>
      <c r="EG177" s="34"/>
    </row>
    <row r="178" spans="1:137" s="15" customFormat="1" ht="36" customHeight="1" hidden="1">
      <c r="A178" s="6" t="s">
        <v>48</v>
      </c>
      <c r="B178" s="4"/>
      <c r="C178" s="4"/>
      <c r="D178" s="5">
        <f>D165/D159*100</f>
        <v>31.8444675422848</v>
      </c>
      <c r="E178" s="5"/>
      <c r="F178" s="5">
        <f>D178</f>
        <v>31.8444675422848</v>
      </c>
      <c r="G178" s="5">
        <f>G165/G159*100</f>
        <v>43.46593593499008</v>
      </c>
      <c r="H178" s="5"/>
      <c r="I178" s="5"/>
      <c r="J178" s="5">
        <f>G178</f>
        <v>43.46593593499008</v>
      </c>
      <c r="K178" s="5"/>
      <c r="L178" s="5"/>
      <c r="M178" s="5"/>
      <c r="N178" s="5">
        <f>N165/N159*100</f>
        <v>43.46593593499008</v>
      </c>
      <c r="O178" s="5"/>
      <c r="P178" s="5">
        <f>N178</f>
        <v>43.46593593499008</v>
      </c>
      <c r="EB178" s="34"/>
      <c r="EC178" s="34"/>
      <c r="ED178" s="34"/>
      <c r="EE178" s="34"/>
      <c r="EF178" s="34"/>
      <c r="EG178" s="34"/>
    </row>
    <row r="179" spans="1:137" s="15" customFormat="1" ht="24" customHeight="1" hidden="1">
      <c r="A179" s="6" t="s">
        <v>50</v>
      </c>
      <c r="B179" s="4"/>
      <c r="C179" s="4"/>
      <c r="D179" s="5">
        <f>D168/D161*100</f>
        <v>12.5</v>
      </c>
      <c r="E179" s="5"/>
      <c r="F179" s="5">
        <f>D179</f>
        <v>12.5</v>
      </c>
      <c r="G179" s="5">
        <f>G168/G161*100</f>
        <v>31.025000000000002</v>
      </c>
      <c r="H179" s="5"/>
      <c r="I179" s="5"/>
      <c r="J179" s="5">
        <f>G179</f>
        <v>31.025000000000002</v>
      </c>
      <c r="K179" s="5"/>
      <c r="L179" s="5"/>
      <c r="M179" s="5"/>
      <c r="N179" s="5">
        <f>N168/N161*100</f>
        <v>31.025000000000002</v>
      </c>
      <c r="O179" s="5"/>
      <c r="P179" s="5">
        <f>N179</f>
        <v>31.025000000000002</v>
      </c>
      <c r="EB179" s="34"/>
      <c r="EC179" s="34"/>
      <c r="ED179" s="34"/>
      <c r="EE179" s="34"/>
      <c r="EF179" s="34"/>
      <c r="EG179" s="34"/>
    </row>
    <row r="180" spans="1:137" s="15" customFormat="1" ht="58.5" customHeight="1" hidden="1">
      <c r="A180" s="188" t="s">
        <v>518</v>
      </c>
      <c r="B180" s="4"/>
      <c r="C180" s="4"/>
      <c r="D180" s="189">
        <f>D181+D225+D232+D239+D246</f>
        <v>20354205.12161162</v>
      </c>
      <c r="E180" s="189">
        <f>E181+E225+E232+E239+E246</f>
        <v>17000000</v>
      </c>
      <c r="F180" s="189">
        <f>D180+E180</f>
        <v>37354205.121611625</v>
      </c>
      <c r="G180" s="189">
        <f aca="true" t="shared" si="10" ref="G180:O180">G181+G225+G232+G239+G246</f>
        <v>30617000.003140002</v>
      </c>
      <c r="H180" s="189">
        <f t="shared" si="10"/>
        <v>10000000</v>
      </c>
      <c r="I180" s="189">
        <f t="shared" si="10"/>
        <v>0</v>
      </c>
      <c r="J180" s="189">
        <f>G180+H180</f>
        <v>40617000.00314</v>
      </c>
      <c r="K180" s="189">
        <f t="shared" si="10"/>
        <v>0</v>
      </c>
      <c r="L180" s="189">
        <f t="shared" si="10"/>
        <v>0</v>
      </c>
      <c r="M180" s="189">
        <f t="shared" si="10"/>
        <v>0</v>
      </c>
      <c r="N180" s="189">
        <f t="shared" si="10"/>
        <v>33454599.99732</v>
      </c>
      <c r="O180" s="189">
        <f t="shared" si="10"/>
        <v>10000000</v>
      </c>
      <c r="P180" s="189">
        <f>N180+O180</f>
        <v>43454599.99732</v>
      </c>
      <c r="EB180" s="34"/>
      <c r="EC180" s="34"/>
      <c r="ED180" s="34"/>
      <c r="EE180" s="34"/>
      <c r="EF180" s="34"/>
      <c r="EG180" s="34"/>
    </row>
    <row r="181" spans="1:137" s="116" customFormat="1" ht="31.5" customHeight="1" hidden="1">
      <c r="A181" s="85" t="s">
        <v>519</v>
      </c>
      <c r="B181" s="77"/>
      <c r="C181" s="77"/>
      <c r="D181" s="81">
        <f>D193*D208+D194*D209+D195*D210+D196*D211+D197*D212+D198*D213+D199*D214+D200*D215+D201*D216+D202*D217+D203*D218+D204*D220+D206*D221+D205*D219-10</f>
        <v>18744205.12161162</v>
      </c>
      <c r="E181" s="81">
        <f aca="true" t="shared" si="11" ref="E181:O181">E193*E208+E194*E209+E195*E210+E196*E211+E197*E212+E198*E213+E199*E214+E200*E215+E201*E216+E202*E217+E203*E218+E204*E220+E206*E221</f>
        <v>0</v>
      </c>
      <c r="F181" s="81">
        <f>D181+E181</f>
        <v>18744205.12161162</v>
      </c>
      <c r="G181" s="81">
        <f t="shared" si="11"/>
        <v>29035400.003140002</v>
      </c>
      <c r="H181" s="81">
        <f t="shared" si="11"/>
        <v>0</v>
      </c>
      <c r="I181" s="81">
        <f t="shared" si="11"/>
        <v>0</v>
      </c>
      <c r="J181" s="81">
        <f>G181+H181</f>
        <v>29035400.003140002</v>
      </c>
      <c r="K181" s="81">
        <f t="shared" si="11"/>
        <v>0</v>
      </c>
      <c r="L181" s="81">
        <f t="shared" si="11"/>
        <v>0</v>
      </c>
      <c r="M181" s="81">
        <f t="shared" si="11"/>
        <v>0</v>
      </c>
      <c r="N181" s="81">
        <f t="shared" si="11"/>
        <v>31733699.99732</v>
      </c>
      <c r="O181" s="81">
        <f t="shared" si="11"/>
        <v>0</v>
      </c>
      <c r="P181" s="81">
        <f>N181+O181</f>
        <v>31733699.99732</v>
      </c>
      <c r="EB181" s="117"/>
      <c r="EC181" s="117"/>
      <c r="ED181" s="117"/>
      <c r="EE181" s="117"/>
      <c r="EF181" s="117"/>
      <c r="EG181" s="117"/>
    </row>
    <row r="182" spans="1:137" s="15" customFormat="1" ht="11.25" hidden="1">
      <c r="A182" s="3" t="s">
        <v>2</v>
      </c>
      <c r="B182" s="25"/>
      <c r="C182" s="25"/>
      <c r="D182" s="18"/>
      <c r="E182" s="18"/>
      <c r="F182" s="18"/>
      <c r="G182" s="18"/>
      <c r="H182" s="18"/>
      <c r="I182" s="18"/>
      <c r="J182" s="18"/>
      <c r="K182" s="5"/>
      <c r="L182" s="5"/>
      <c r="M182" s="5"/>
      <c r="N182" s="18"/>
      <c r="O182" s="18"/>
      <c r="P182" s="18"/>
      <c r="EB182" s="34"/>
      <c r="EC182" s="34"/>
      <c r="ED182" s="34"/>
      <c r="EE182" s="34"/>
      <c r="EF182" s="34"/>
      <c r="EG182" s="34"/>
    </row>
    <row r="183" spans="1:137" s="113" customFormat="1" ht="34.5" customHeight="1" hidden="1">
      <c r="A183" s="6" t="s">
        <v>343</v>
      </c>
      <c r="B183" s="4"/>
      <c r="C183" s="4"/>
      <c r="D183" s="5">
        <v>175</v>
      </c>
      <c r="E183" s="5"/>
      <c r="F183" s="5">
        <f aca="true" t="shared" si="12" ref="F183:F190">D183</f>
        <v>175</v>
      </c>
      <c r="G183" s="5">
        <v>180</v>
      </c>
      <c r="H183" s="74"/>
      <c r="I183" s="5"/>
      <c r="J183" s="5">
        <f aca="true" t="shared" si="13" ref="J183:J191">G183</f>
        <v>180</v>
      </c>
      <c r="K183" s="5"/>
      <c r="L183" s="5"/>
      <c r="M183" s="5"/>
      <c r="N183" s="5">
        <v>187</v>
      </c>
      <c r="O183" s="5"/>
      <c r="P183" s="5">
        <f aca="true" t="shared" si="14" ref="P183:P191">N183</f>
        <v>187</v>
      </c>
      <c r="EB183" s="114"/>
      <c r="EC183" s="114"/>
      <c r="ED183" s="114"/>
      <c r="EE183" s="114"/>
      <c r="EF183" s="114"/>
      <c r="EG183" s="114"/>
    </row>
    <row r="184" spans="1:137" s="113" customFormat="1" ht="22.5" hidden="1">
      <c r="A184" s="6" t="s">
        <v>344</v>
      </c>
      <c r="B184" s="4"/>
      <c r="C184" s="4"/>
      <c r="D184" s="5">
        <f>4850+8210</f>
        <v>13060</v>
      </c>
      <c r="E184" s="5"/>
      <c r="F184" s="5">
        <f t="shared" si="12"/>
        <v>13060</v>
      </c>
      <c r="G184" s="5">
        <f>F184</f>
        <v>13060</v>
      </c>
      <c r="H184" s="5"/>
      <c r="I184" s="5"/>
      <c r="J184" s="5">
        <f t="shared" si="13"/>
        <v>13060</v>
      </c>
      <c r="K184" s="5"/>
      <c r="L184" s="5"/>
      <c r="M184" s="5"/>
      <c r="N184" s="5">
        <f>4850+8210</f>
        <v>13060</v>
      </c>
      <c r="O184" s="5"/>
      <c r="P184" s="5">
        <f t="shared" si="14"/>
        <v>13060</v>
      </c>
      <c r="EB184" s="114"/>
      <c r="EC184" s="114"/>
      <c r="ED184" s="114"/>
      <c r="EE184" s="114"/>
      <c r="EF184" s="114"/>
      <c r="EG184" s="114"/>
    </row>
    <row r="185" spans="1:137" s="113" customFormat="1" ht="24.75" customHeight="1" hidden="1">
      <c r="A185" s="6" t="s">
        <v>122</v>
      </c>
      <c r="B185" s="4"/>
      <c r="C185" s="4"/>
      <c r="D185" s="5">
        <v>2000</v>
      </c>
      <c r="E185" s="5"/>
      <c r="F185" s="5">
        <f>D185</f>
        <v>2000</v>
      </c>
      <c r="G185" s="5">
        <v>2000</v>
      </c>
      <c r="H185" s="5"/>
      <c r="I185" s="5"/>
      <c r="J185" s="5">
        <f t="shared" si="13"/>
        <v>2000</v>
      </c>
      <c r="K185" s="5"/>
      <c r="L185" s="5"/>
      <c r="M185" s="5"/>
      <c r="N185" s="5">
        <v>2000</v>
      </c>
      <c r="O185" s="5"/>
      <c r="P185" s="5">
        <f t="shared" si="14"/>
        <v>2000</v>
      </c>
      <c r="EB185" s="114"/>
      <c r="EC185" s="114"/>
      <c r="ED185" s="114"/>
      <c r="EE185" s="114"/>
      <c r="EF185" s="114"/>
      <c r="EG185" s="114"/>
    </row>
    <row r="186" spans="1:137" s="113" customFormat="1" ht="25.5" customHeight="1" hidden="1">
      <c r="A186" s="6" t="s">
        <v>53</v>
      </c>
      <c r="B186" s="4"/>
      <c r="C186" s="4"/>
      <c r="D186" s="5">
        <v>600</v>
      </c>
      <c r="E186" s="5"/>
      <c r="F186" s="5">
        <f t="shared" si="12"/>
        <v>600</v>
      </c>
      <c r="G186" s="5">
        <v>600</v>
      </c>
      <c r="H186" s="5"/>
      <c r="I186" s="5"/>
      <c r="J186" s="5">
        <f t="shared" si="13"/>
        <v>600</v>
      </c>
      <c r="K186" s="5"/>
      <c r="L186" s="5"/>
      <c r="M186" s="5"/>
      <c r="N186" s="5">
        <v>600</v>
      </c>
      <c r="O186" s="5"/>
      <c r="P186" s="5">
        <f t="shared" si="14"/>
        <v>600</v>
      </c>
      <c r="EB186" s="114"/>
      <c r="EC186" s="114"/>
      <c r="ED186" s="114"/>
      <c r="EE186" s="114"/>
      <c r="EF186" s="114"/>
      <c r="EG186" s="114"/>
    </row>
    <row r="187" spans="1:137" s="113" customFormat="1" ht="29.25" customHeight="1" hidden="1">
      <c r="A187" s="6" t="s">
        <v>348</v>
      </c>
      <c r="B187" s="4"/>
      <c r="C187" s="4"/>
      <c r="D187" s="5">
        <v>123.45</v>
      </c>
      <c r="E187" s="5"/>
      <c r="F187" s="5">
        <f t="shared" si="12"/>
        <v>123.45</v>
      </c>
      <c r="G187" s="5">
        <f>F187</f>
        <v>123.45</v>
      </c>
      <c r="H187" s="5"/>
      <c r="I187" s="5"/>
      <c r="J187" s="5">
        <f t="shared" si="13"/>
        <v>123.45</v>
      </c>
      <c r="K187" s="5"/>
      <c r="L187" s="5"/>
      <c r="M187" s="5"/>
      <c r="N187" s="5">
        <f>J187</f>
        <v>123.45</v>
      </c>
      <c r="O187" s="5"/>
      <c r="P187" s="5">
        <f t="shared" si="14"/>
        <v>123.45</v>
      </c>
      <c r="EB187" s="114"/>
      <c r="EC187" s="114"/>
      <c r="ED187" s="114"/>
      <c r="EE187" s="114"/>
      <c r="EF187" s="114"/>
      <c r="EG187" s="114"/>
    </row>
    <row r="188" spans="1:137" s="113" customFormat="1" ht="29.25" customHeight="1" hidden="1">
      <c r="A188" s="6" t="s">
        <v>347</v>
      </c>
      <c r="B188" s="4"/>
      <c r="C188" s="4"/>
      <c r="D188" s="5">
        <v>11.549</v>
      </c>
      <c r="E188" s="5"/>
      <c r="F188" s="5">
        <f t="shared" si="12"/>
        <v>11.549</v>
      </c>
      <c r="G188" s="5">
        <v>11.549</v>
      </c>
      <c r="H188" s="5"/>
      <c r="I188" s="5">
        <f>G188</f>
        <v>11.549</v>
      </c>
      <c r="J188" s="5">
        <f t="shared" si="13"/>
        <v>11.549</v>
      </c>
      <c r="K188" s="5"/>
      <c r="L188" s="5"/>
      <c r="M188" s="5"/>
      <c r="N188" s="5">
        <v>11.55</v>
      </c>
      <c r="O188" s="5"/>
      <c r="P188" s="5">
        <f t="shared" si="14"/>
        <v>11.55</v>
      </c>
      <c r="EB188" s="114"/>
      <c r="EC188" s="114"/>
      <c r="ED188" s="114"/>
      <c r="EE188" s="114"/>
      <c r="EF188" s="114"/>
      <c r="EG188" s="114"/>
    </row>
    <row r="189" spans="1:137" s="113" customFormat="1" ht="29.25" customHeight="1" hidden="1">
      <c r="A189" s="72" t="s">
        <v>556</v>
      </c>
      <c r="B189" s="4"/>
      <c r="C189" s="4"/>
      <c r="D189" s="5">
        <v>10.714</v>
      </c>
      <c r="E189" s="5"/>
      <c r="F189" s="5">
        <f t="shared" si="12"/>
        <v>10.714</v>
      </c>
      <c r="G189" s="5"/>
      <c r="H189" s="5"/>
      <c r="I189" s="5"/>
      <c r="J189" s="5"/>
      <c r="K189" s="5"/>
      <c r="L189" s="5"/>
      <c r="M189" s="5"/>
      <c r="N189" s="5"/>
      <c r="O189" s="5"/>
      <c r="P189" s="5"/>
      <c r="EB189" s="114"/>
      <c r="EC189" s="114"/>
      <c r="ED189" s="114"/>
      <c r="EE189" s="114"/>
      <c r="EF189" s="114"/>
      <c r="EG189" s="114"/>
    </row>
    <row r="190" spans="1:137" s="113" customFormat="1" ht="29.25" customHeight="1" hidden="1">
      <c r="A190" s="6" t="s">
        <v>349</v>
      </c>
      <c r="B190" s="4"/>
      <c r="C190" s="4"/>
      <c r="D190" s="5">
        <v>9</v>
      </c>
      <c r="E190" s="5"/>
      <c r="F190" s="5">
        <f t="shared" si="12"/>
        <v>9</v>
      </c>
      <c r="G190" s="5">
        <v>9</v>
      </c>
      <c r="H190" s="5"/>
      <c r="I190" s="5"/>
      <c r="J190" s="5">
        <f t="shared" si="13"/>
        <v>9</v>
      </c>
      <c r="K190" s="5"/>
      <c r="L190" s="5"/>
      <c r="M190" s="5"/>
      <c r="N190" s="5">
        <v>9</v>
      </c>
      <c r="O190" s="5"/>
      <c r="P190" s="5">
        <f t="shared" si="14"/>
        <v>9</v>
      </c>
      <c r="EB190" s="114"/>
      <c r="EC190" s="114"/>
      <c r="ED190" s="114"/>
      <c r="EE190" s="114"/>
      <c r="EF190" s="114"/>
      <c r="EG190" s="114"/>
    </row>
    <row r="191" spans="1:137" s="15" customFormat="1" ht="26.25" customHeight="1" hidden="1">
      <c r="A191" s="6" t="s">
        <v>350</v>
      </c>
      <c r="B191" s="4"/>
      <c r="C191" s="4"/>
      <c r="D191" s="5">
        <v>62620</v>
      </c>
      <c r="E191" s="5"/>
      <c r="F191" s="5">
        <f>D191</f>
        <v>62620</v>
      </c>
      <c r="G191" s="5">
        <v>62633</v>
      </c>
      <c r="H191" s="5"/>
      <c r="I191" s="5"/>
      <c r="J191" s="5">
        <f t="shared" si="13"/>
        <v>62633</v>
      </c>
      <c r="K191" s="5"/>
      <c r="L191" s="5"/>
      <c r="M191" s="5"/>
      <c r="N191" s="5">
        <v>62625</v>
      </c>
      <c r="O191" s="5"/>
      <c r="P191" s="5">
        <f t="shared" si="14"/>
        <v>62625</v>
      </c>
      <c r="EB191" s="34"/>
      <c r="EC191" s="34"/>
      <c r="ED191" s="34"/>
      <c r="EE191" s="34"/>
      <c r="EF191" s="34"/>
      <c r="EG191" s="34"/>
    </row>
    <row r="192" spans="1:137" s="15" customFormat="1" ht="11.25" hidden="1">
      <c r="A192" s="3" t="s">
        <v>3</v>
      </c>
      <c r="B192" s="25"/>
      <c r="C192" s="25"/>
      <c r="D192" s="18"/>
      <c r="E192" s="18"/>
      <c r="F192" s="18"/>
      <c r="G192" s="18"/>
      <c r="H192" s="18"/>
      <c r="I192" s="18"/>
      <c r="J192" s="5"/>
      <c r="K192" s="5"/>
      <c r="L192" s="5"/>
      <c r="M192" s="5"/>
      <c r="N192" s="18"/>
      <c r="O192" s="18"/>
      <c r="P192" s="5"/>
      <c r="EB192" s="34"/>
      <c r="EC192" s="34"/>
      <c r="ED192" s="34"/>
      <c r="EE192" s="34"/>
      <c r="EF192" s="34"/>
      <c r="EG192" s="34"/>
    </row>
    <row r="193" spans="1:137" s="113" customFormat="1" ht="28.5" customHeight="1" hidden="1">
      <c r="A193" s="6" t="s">
        <v>320</v>
      </c>
      <c r="B193" s="4"/>
      <c r="C193" s="4"/>
      <c r="D193" s="5">
        <v>175</v>
      </c>
      <c r="E193" s="5"/>
      <c r="F193" s="5">
        <f>D193</f>
        <v>175</v>
      </c>
      <c r="G193" s="5">
        <v>180</v>
      </c>
      <c r="H193" s="5"/>
      <c r="I193" s="5"/>
      <c r="J193" s="5">
        <f aca="true" t="shared" si="15" ref="J193:J198">G193</f>
        <v>180</v>
      </c>
      <c r="K193" s="5"/>
      <c r="L193" s="5"/>
      <c r="M193" s="5"/>
      <c r="N193" s="5">
        <v>187</v>
      </c>
      <c r="O193" s="5"/>
      <c r="P193" s="5">
        <f aca="true" t="shared" si="16" ref="P193:P198">N193</f>
        <v>187</v>
      </c>
      <c r="EB193" s="114"/>
      <c r="EC193" s="114"/>
      <c r="ED193" s="114"/>
      <c r="EE193" s="114"/>
      <c r="EF193" s="114"/>
      <c r="EG193" s="114"/>
    </row>
    <row r="194" spans="1:137" s="113" customFormat="1" ht="22.5" hidden="1">
      <c r="A194" s="6" t="s">
        <v>318</v>
      </c>
      <c r="B194" s="4"/>
      <c r="C194" s="4"/>
      <c r="D194" s="74">
        <v>1628</v>
      </c>
      <c r="E194" s="5"/>
      <c r="F194" s="5">
        <f aca="true" t="shared" si="17" ref="F194:F206">D194</f>
        <v>1628</v>
      </c>
      <c r="G194" s="5">
        <v>1556</v>
      </c>
      <c r="H194" s="5"/>
      <c r="I194" s="5"/>
      <c r="J194" s="5">
        <f t="shared" si="15"/>
        <v>1556</v>
      </c>
      <c r="K194" s="5"/>
      <c r="L194" s="5"/>
      <c r="M194" s="5"/>
      <c r="N194" s="5">
        <v>1583</v>
      </c>
      <c r="O194" s="5"/>
      <c r="P194" s="5">
        <f t="shared" si="16"/>
        <v>1583</v>
      </c>
      <c r="EB194" s="114"/>
      <c r="EC194" s="114"/>
      <c r="ED194" s="114"/>
      <c r="EE194" s="114"/>
      <c r="EF194" s="114"/>
      <c r="EG194" s="114"/>
    </row>
    <row r="195" spans="1:137" s="113" customFormat="1" ht="22.5" hidden="1">
      <c r="A195" s="6" t="s">
        <v>341</v>
      </c>
      <c r="B195" s="4"/>
      <c r="C195" s="4"/>
      <c r="D195" s="74">
        <v>0</v>
      </c>
      <c r="E195" s="5"/>
      <c r="F195" s="5">
        <f>D195</f>
        <v>0</v>
      </c>
      <c r="G195" s="5">
        <v>7.33</v>
      </c>
      <c r="H195" s="5"/>
      <c r="I195" s="5"/>
      <c r="J195" s="5">
        <f>G195</f>
        <v>7.33</v>
      </c>
      <c r="K195" s="5"/>
      <c r="L195" s="5"/>
      <c r="M195" s="5"/>
      <c r="N195" s="5">
        <v>7.77</v>
      </c>
      <c r="O195" s="5"/>
      <c r="P195" s="5">
        <f>N195</f>
        <v>7.77</v>
      </c>
      <c r="EB195" s="114"/>
      <c r="EC195" s="114"/>
      <c r="ED195" s="114"/>
      <c r="EE195" s="114"/>
      <c r="EF195" s="114"/>
      <c r="EG195" s="114"/>
    </row>
    <row r="196" spans="1:137" s="113" customFormat="1" ht="26.25" customHeight="1" hidden="1">
      <c r="A196" s="6" t="s">
        <v>351</v>
      </c>
      <c r="B196" s="4"/>
      <c r="C196" s="4"/>
      <c r="D196" s="74">
        <v>200</v>
      </c>
      <c r="E196" s="5"/>
      <c r="F196" s="5">
        <f>D196</f>
        <v>200</v>
      </c>
      <c r="G196" s="5">
        <v>620</v>
      </c>
      <c r="H196" s="5"/>
      <c r="I196" s="5"/>
      <c r="J196" s="5">
        <f>G196</f>
        <v>620</v>
      </c>
      <c r="K196" s="5"/>
      <c r="L196" s="5"/>
      <c r="M196" s="5"/>
      <c r="N196" s="5">
        <v>645</v>
      </c>
      <c r="O196" s="5"/>
      <c r="P196" s="5">
        <f>N196</f>
        <v>645</v>
      </c>
      <c r="EB196" s="114"/>
      <c r="EC196" s="114"/>
      <c r="ED196" s="114"/>
      <c r="EE196" s="114"/>
      <c r="EF196" s="114"/>
      <c r="EG196" s="114"/>
    </row>
    <row r="197" spans="1:137" s="113" customFormat="1" ht="22.5" hidden="1">
      <c r="A197" s="6" t="s">
        <v>52</v>
      </c>
      <c r="B197" s="4"/>
      <c r="C197" s="4"/>
      <c r="D197" s="74">
        <v>458</v>
      </c>
      <c r="E197" s="5"/>
      <c r="F197" s="5">
        <f t="shared" si="17"/>
        <v>458</v>
      </c>
      <c r="G197" s="5">
        <v>472</v>
      </c>
      <c r="H197" s="5"/>
      <c r="I197" s="5"/>
      <c r="J197" s="5">
        <f t="shared" si="15"/>
        <v>472</v>
      </c>
      <c r="K197" s="5"/>
      <c r="L197" s="5"/>
      <c r="M197" s="5"/>
      <c r="N197" s="5">
        <v>490</v>
      </c>
      <c r="O197" s="5"/>
      <c r="P197" s="5">
        <f t="shared" si="16"/>
        <v>490</v>
      </c>
      <c r="EB197" s="114"/>
      <c r="EC197" s="114"/>
      <c r="ED197" s="114"/>
      <c r="EE197" s="114"/>
      <c r="EF197" s="114"/>
      <c r="EG197" s="114"/>
    </row>
    <row r="198" spans="1:137" s="113" customFormat="1" ht="22.5" hidden="1">
      <c r="A198" s="6" t="s">
        <v>321</v>
      </c>
      <c r="B198" s="4"/>
      <c r="C198" s="4"/>
      <c r="D198" s="74">
        <v>76.26</v>
      </c>
      <c r="E198" s="5"/>
      <c r="F198" s="5">
        <f t="shared" si="17"/>
        <v>76.26</v>
      </c>
      <c r="G198" s="5">
        <v>76.26</v>
      </c>
      <c r="H198" s="5"/>
      <c r="I198" s="5"/>
      <c r="J198" s="5">
        <f t="shared" si="15"/>
        <v>76.26</v>
      </c>
      <c r="K198" s="5"/>
      <c r="L198" s="5"/>
      <c r="M198" s="5"/>
      <c r="N198" s="5">
        <f>J198</f>
        <v>76.26</v>
      </c>
      <c r="O198" s="5"/>
      <c r="P198" s="5">
        <f t="shared" si="16"/>
        <v>76.26</v>
      </c>
      <c r="EB198" s="114"/>
      <c r="EC198" s="114"/>
      <c r="ED198" s="114"/>
      <c r="EE198" s="114"/>
      <c r="EF198" s="114"/>
      <c r="EG198" s="114"/>
    </row>
    <row r="199" spans="1:137" s="113" customFormat="1" ht="22.5" hidden="1">
      <c r="A199" s="6" t="s">
        <v>331</v>
      </c>
      <c r="B199" s="4"/>
      <c r="C199" s="4"/>
      <c r="D199" s="74">
        <v>11000</v>
      </c>
      <c r="E199" s="5"/>
      <c r="F199" s="5">
        <f>D199</f>
        <v>11000</v>
      </c>
      <c r="G199" s="5">
        <v>11000</v>
      </c>
      <c r="H199" s="5"/>
      <c r="I199" s="5"/>
      <c r="J199" s="5">
        <f>G199</f>
        <v>11000</v>
      </c>
      <c r="K199" s="5"/>
      <c r="L199" s="5"/>
      <c r="M199" s="5"/>
      <c r="N199" s="5">
        <v>11000</v>
      </c>
      <c r="O199" s="5"/>
      <c r="P199" s="5">
        <f>N199</f>
        <v>11000</v>
      </c>
      <c r="EB199" s="114"/>
      <c r="EC199" s="114"/>
      <c r="ED199" s="114"/>
      <c r="EE199" s="114"/>
      <c r="EF199" s="114"/>
      <c r="EG199" s="114"/>
    </row>
    <row r="200" spans="1:137" s="113" customFormat="1" ht="22.5" hidden="1">
      <c r="A200" s="6" t="s">
        <v>333</v>
      </c>
      <c r="B200" s="4"/>
      <c r="C200" s="4"/>
      <c r="D200" s="74">
        <v>1</v>
      </c>
      <c r="E200" s="5"/>
      <c r="F200" s="5">
        <f>D200</f>
        <v>1</v>
      </c>
      <c r="G200" s="5">
        <v>1</v>
      </c>
      <c r="H200" s="5"/>
      <c r="I200" s="5"/>
      <c r="J200" s="5">
        <f>G200</f>
        <v>1</v>
      </c>
      <c r="K200" s="5"/>
      <c r="L200" s="5"/>
      <c r="M200" s="5"/>
      <c r="N200" s="5">
        <v>1</v>
      </c>
      <c r="O200" s="5"/>
      <c r="P200" s="5">
        <f>N200</f>
        <v>1</v>
      </c>
      <c r="EB200" s="114"/>
      <c r="EC200" s="114"/>
      <c r="ED200" s="114"/>
      <c r="EE200" s="114"/>
      <c r="EF200" s="114"/>
      <c r="EG200" s="114"/>
    </row>
    <row r="201" spans="1:137" s="113" customFormat="1" ht="22.5" hidden="1">
      <c r="A201" s="6" t="s">
        <v>74</v>
      </c>
      <c r="B201" s="4"/>
      <c r="C201" s="4"/>
      <c r="D201" s="74">
        <v>11.549</v>
      </c>
      <c r="E201" s="5"/>
      <c r="F201" s="5">
        <f t="shared" si="17"/>
        <v>11.549</v>
      </c>
      <c r="G201" s="5">
        <v>11.549</v>
      </c>
      <c r="H201" s="5"/>
      <c r="I201" s="5"/>
      <c r="J201" s="5">
        <v>11.55</v>
      </c>
      <c r="K201" s="5"/>
      <c r="L201" s="5"/>
      <c r="M201" s="5"/>
      <c r="N201" s="5">
        <v>11.549</v>
      </c>
      <c r="O201" s="5"/>
      <c r="P201" s="5">
        <v>11.55</v>
      </c>
      <c r="EB201" s="114"/>
      <c r="EC201" s="114"/>
      <c r="ED201" s="114"/>
      <c r="EE201" s="114"/>
      <c r="EF201" s="114"/>
      <c r="EG201" s="114"/>
    </row>
    <row r="202" spans="1:137" s="113" customFormat="1" ht="28.5" customHeight="1" hidden="1">
      <c r="A202" s="6" t="s">
        <v>336</v>
      </c>
      <c r="B202" s="4"/>
      <c r="C202" s="4"/>
      <c r="D202" s="74">
        <v>26</v>
      </c>
      <c r="E202" s="5"/>
      <c r="F202" s="5">
        <f t="shared" si="17"/>
        <v>26</v>
      </c>
      <c r="G202" s="5">
        <v>14</v>
      </c>
      <c r="H202" s="5"/>
      <c r="I202" s="5"/>
      <c r="J202" s="5">
        <f>G202</f>
        <v>14</v>
      </c>
      <c r="K202" s="5"/>
      <c r="L202" s="5"/>
      <c r="M202" s="5"/>
      <c r="N202" s="5">
        <v>12</v>
      </c>
      <c r="O202" s="5"/>
      <c r="P202" s="5">
        <f>N202</f>
        <v>12</v>
      </c>
      <c r="EB202" s="114"/>
      <c r="EC202" s="114"/>
      <c r="ED202" s="114"/>
      <c r="EE202" s="114"/>
      <c r="EF202" s="114"/>
      <c r="EG202" s="114"/>
    </row>
    <row r="203" spans="1:137" s="113" customFormat="1" ht="22.5" hidden="1">
      <c r="A203" s="6" t="s">
        <v>337</v>
      </c>
      <c r="B203" s="4"/>
      <c r="C203" s="4"/>
      <c r="D203" s="74">
        <v>20</v>
      </c>
      <c r="E203" s="5"/>
      <c r="F203" s="5">
        <f t="shared" si="17"/>
        <v>20</v>
      </c>
      <c r="G203" s="5">
        <v>19</v>
      </c>
      <c r="H203" s="5"/>
      <c r="I203" s="5"/>
      <c r="J203" s="5">
        <f>G203</f>
        <v>19</v>
      </c>
      <c r="K203" s="5"/>
      <c r="L203" s="5"/>
      <c r="M203" s="5"/>
      <c r="N203" s="5">
        <v>18</v>
      </c>
      <c r="O203" s="5"/>
      <c r="P203" s="5">
        <f>N203</f>
        <v>18</v>
      </c>
      <c r="EB203" s="114"/>
      <c r="EC203" s="114"/>
      <c r="ED203" s="114"/>
      <c r="EE203" s="114"/>
      <c r="EF203" s="114"/>
      <c r="EG203" s="114"/>
    </row>
    <row r="204" spans="1:137" s="113" customFormat="1" ht="28.5" customHeight="1" hidden="1">
      <c r="A204" s="6" t="s">
        <v>339</v>
      </c>
      <c r="B204" s="4"/>
      <c r="C204" s="4"/>
      <c r="D204" s="74">
        <v>132.8</v>
      </c>
      <c r="E204" s="5"/>
      <c r="F204" s="5">
        <f t="shared" si="17"/>
        <v>132.8</v>
      </c>
      <c r="G204" s="5">
        <v>9298</v>
      </c>
      <c r="H204" s="5"/>
      <c r="I204" s="5"/>
      <c r="J204" s="5">
        <f>G204</f>
        <v>9298</v>
      </c>
      <c r="K204" s="5"/>
      <c r="L204" s="5"/>
      <c r="M204" s="5"/>
      <c r="N204" s="5">
        <v>9298</v>
      </c>
      <c r="O204" s="5"/>
      <c r="P204" s="5">
        <f>N204</f>
        <v>9298</v>
      </c>
      <c r="EB204" s="114"/>
      <c r="EC204" s="114"/>
      <c r="ED204" s="114"/>
      <c r="EE204" s="114"/>
      <c r="EF204" s="114"/>
      <c r="EG204" s="114"/>
    </row>
    <row r="205" spans="1:137" s="113" customFormat="1" ht="28.5" customHeight="1" hidden="1">
      <c r="A205" s="72" t="s">
        <v>555</v>
      </c>
      <c r="B205" s="4"/>
      <c r="C205" s="4"/>
      <c r="D205" s="74">
        <v>10.714</v>
      </c>
      <c r="E205" s="5"/>
      <c r="F205" s="5">
        <f t="shared" si="17"/>
        <v>10.714</v>
      </c>
      <c r="G205" s="5"/>
      <c r="H205" s="5"/>
      <c r="I205" s="5"/>
      <c r="J205" s="5"/>
      <c r="K205" s="5"/>
      <c r="L205" s="5"/>
      <c r="M205" s="5"/>
      <c r="N205" s="5"/>
      <c r="O205" s="5"/>
      <c r="P205" s="5"/>
      <c r="EB205" s="114"/>
      <c r="EC205" s="114"/>
      <c r="ED205" s="114"/>
      <c r="EE205" s="114"/>
      <c r="EF205" s="114"/>
      <c r="EG205" s="114"/>
    </row>
    <row r="206" spans="1:137" s="113" customFormat="1" ht="28.5" customHeight="1" hidden="1">
      <c r="A206" s="6" t="s">
        <v>118</v>
      </c>
      <c r="B206" s="4"/>
      <c r="C206" s="4"/>
      <c r="D206" s="74">
        <v>9</v>
      </c>
      <c r="E206" s="5"/>
      <c r="F206" s="5">
        <f t="shared" si="17"/>
        <v>9</v>
      </c>
      <c r="G206" s="5">
        <v>9</v>
      </c>
      <c r="H206" s="5"/>
      <c r="I206" s="5"/>
      <c r="J206" s="5">
        <f>G206</f>
        <v>9</v>
      </c>
      <c r="K206" s="5"/>
      <c r="L206" s="5"/>
      <c r="M206" s="5"/>
      <c r="N206" s="5">
        <v>9</v>
      </c>
      <c r="O206" s="5"/>
      <c r="P206" s="5">
        <f>N206</f>
        <v>9</v>
      </c>
      <c r="EB206" s="114"/>
      <c r="EC206" s="114"/>
      <c r="ED206" s="114"/>
      <c r="EE206" s="114"/>
      <c r="EF206" s="114"/>
      <c r="EG206" s="114"/>
    </row>
    <row r="207" spans="1:137" s="15" customFormat="1" ht="11.25" hidden="1">
      <c r="A207" s="3" t="s">
        <v>5</v>
      </c>
      <c r="B207" s="25"/>
      <c r="C207" s="25"/>
      <c r="D207" s="18"/>
      <c r="E207" s="18"/>
      <c r="F207" s="5"/>
      <c r="G207" s="18"/>
      <c r="H207" s="18"/>
      <c r="I207" s="18"/>
      <c r="J207" s="5"/>
      <c r="K207" s="5"/>
      <c r="L207" s="5"/>
      <c r="M207" s="5"/>
      <c r="N207" s="18"/>
      <c r="O207" s="18"/>
      <c r="P207" s="5"/>
      <c r="EB207" s="34"/>
      <c r="EC207" s="34"/>
      <c r="ED207" s="34"/>
      <c r="EE207" s="34"/>
      <c r="EF207" s="34"/>
      <c r="EG207" s="34"/>
    </row>
    <row r="208" spans="1:137" s="113" customFormat="1" ht="22.5" hidden="1">
      <c r="A208" s="6" t="s">
        <v>319</v>
      </c>
      <c r="B208" s="25"/>
      <c r="C208" s="25"/>
      <c r="D208" s="74">
        <v>24000</v>
      </c>
      <c r="E208" s="18"/>
      <c r="F208" s="5">
        <f>D208</f>
        <v>24000</v>
      </c>
      <c r="G208" s="5">
        <v>62328</v>
      </c>
      <c r="H208" s="18"/>
      <c r="I208" s="18"/>
      <c r="J208" s="5">
        <f aca="true" t="shared" si="18" ref="J208:J215">G208</f>
        <v>62328</v>
      </c>
      <c r="K208" s="5"/>
      <c r="L208" s="5"/>
      <c r="M208" s="5"/>
      <c r="N208" s="5">
        <v>65750.26</v>
      </c>
      <c r="O208" s="18"/>
      <c r="P208" s="5">
        <f aca="true" t="shared" si="19" ref="P208:P221">N208</f>
        <v>65750.26</v>
      </c>
      <c r="EB208" s="114"/>
      <c r="EC208" s="114"/>
      <c r="ED208" s="114"/>
      <c r="EE208" s="114"/>
      <c r="EF208" s="114"/>
      <c r="EG208" s="114"/>
    </row>
    <row r="209" spans="1:137" s="113" customFormat="1" ht="22.5" hidden="1">
      <c r="A209" s="6" t="s">
        <v>317</v>
      </c>
      <c r="B209" s="4"/>
      <c r="C209" s="4"/>
      <c r="D209" s="74">
        <v>2183.66</v>
      </c>
      <c r="E209" s="5"/>
      <c r="F209" s="5">
        <f>D209</f>
        <v>2183.66</v>
      </c>
      <c r="G209" s="5">
        <v>2249.68</v>
      </c>
      <c r="H209" s="5"/>
      <c r="I209" s="5"/>
      <c r="J209" s="5">
        <f t="shared" si="18"/>
        <v>2249.68</v>
      </c>
      <c r="K209" s="5"/>
      <c r="L209" s="5"/>
      <c r="M209" s="5"/>
      <c r="N209" s="5">
        <v>2385.34</v>
      </c>
      <c r="O209" s="5"/>
      <c r="P209" s="5">
        <f t="shared" si="19"/>
        <v>2385.34</v>
      </c>
      <c r="EB209" s="114"/>
      <c r="EC209" s="114"/>
      <c r="ED209" s="114"/>
      <c r="EE209" s="114"/>
      <c r="EF209" s="114"/>
      <c r="EG209" s="114"/>
    </row>
    <row r="210" spans="1:137" s="113" customFormat="1" ht="22.5" customHeight="1" hidden="1">
      <c r="A210" s="6" t="s">
        <v>342</v>
      </c>
      <c r="B210" s="4"/>
      <c r="C210" s="4"/>
      <c r="D210" s="74">
        <v>0</v>
      </c>
      <c r="E210" s="5"/>
      <c r="F210" s="5">
        <f>D210</f>
        <v>0</v>
      </c>
      <c r="G210" s="5">
        <v>62633</v>
      </c>
      <c r="H210" s="5"/>
      <c r="I210" s="5"/>
      <c r="J210" s="5">
        <f t="shared" si="18"/>
        <v>62633</v>
      </c>
      <c r="K210" s="5"/>
      <c r="L210" s="5"/>
      <c r="M210" s="5"/>
      <c r="N210" s="5">
        <v>62625</v>
      </c>
      <c r="O210" s="5"/>
      <c r="P210" s="5">
        <f t="shared" si="19"/>
        <v>62625</v>
      </c>
      <c r="EB210" s="114"/>
      <c r="EC210" s="114"/>
      <c r="ED210" s="114"/>
      <c r="EE210" s="114"/>
      <c r="EF210" s="114"/>
      <c r="EG210" s="114"/>
    </row>
    <row r="211" spans="1:137" s="113" customFormat="1" ht="27" customHeight="1" hidden="1">
      <c r="A211" s="6" t="s">
        <v>156</v>
      </c>
      <c r="B211" s="4"/>
      <c r="C211" s="4"/>
      <c r="D211" s="74">
        <v>2500</v>
      </c>
      <c r="E211" s="5"/>
      <c r="F211" s="5">
        <f>D211</f>
        <v>2500</v>
      </c>
      <c r="G211" s="5">
        <v>2661.29</v>
      </c>
      <c r="H211" s="5"/>
      <c r="I211" s="5"/>
      <c r="J211" s="5">
        <f>G211</f>
        <v>2661.29</v>
      </c>
      <c r="K211" s="5"/>
      <c r="L211" s="5"/>
      <c r="M211" s="5"/>
      <c r="N211" s="5">
        <v>2813.95</v>
      </c>
      <c r="O211" s="5"/>
      <c r="P211" s="5">
        <f>N211</f>
        <v>2813.95</v>
      </c>
      <c r="EB211" s="114"/>
      <c r="EC211" s="114"/>
      <c r="ED211" s="114"/>
      <c r="EE211" s="114"/>
      <c r="EF211" s="114"/>
      <c r="EG211" s="114"/>
    </row>
    <row r="212" spans="1:137" s="113" customFormat="1" ht="22.5" hidden="1">
      <c r="A212" s="6" t="s">
        <v>51</v>
      </c>
      <c r="B212" s="4"/>
      <c r="C212" s="4"/>
      <c r="D212" s="74">
        <v>5021.83</v>
      </c>
      <c r="E212" s="5"/>
      <c r="F212" s="5">
        <f aca="true" t="shared" si="20" ref="F212:F221">D212</f>
        <v>5021.83</v>
      </c>
      <c r="G212" s="5">
        <v>8034.75</v>
      </c>
      <c r="H212" s="5"/>
      <c r="I212" s="5"/>
      <c r="J212" s="5">
        <f t="shared" si="18"/>
        <v>8034.75</v>
      </c>
      <c r="K212" s="5"/>
      <c r="L212" s="5"/>
      <c r="M212" s="5"/>
      <c r="N212" s="5">
        <v>8513.67</v>
      </c>
      <c r="O212" s="5"/>
      <c r="P212" s="5">
        <f t="shared" si="19"/>
        <v>8513.67</v>
      </c>
      <c r="EB212" s="114"/>
      <c r="EC212" s="114"/>
      <c r="ED212" s="114"/>
      <c r="EE212" s="114"/>
      <c r="EF212" s="114"/>
      <c r="EG212" s="114"/>
    </row>
    <row r="213" spans="1:137" s="113" customFormat="1" ht="22.5" hidden="1">
      <c r="A213" s="6" t="s">
        <v>352</v>
      </c>
      <c r="B213" s="4"/>
      <c r="C213" s="4"/>
      <c r="D213" s="74">
        <v>89299.76</v>
      </c>
      <c r="E213" s="5"/>
      <c r="F213" s="5">
        <f t="shared" si="20"/>
        <v>89299.76</v>
      </c>
      <c r="G213" s="5">
        <v>82987.15</v>
      </c>
      <c r="H213" s="5"/>
      <c r="I213" s="5"/>
      <c r="J213" s="5">
        <f t="shared" si="18"/>
        <v>82987.15</v>
      </c>
      <c r="K213" s="5"/>
      <c r="L213" s="5"/>
      <c r="M213" s="5"/>
      <c r="N213" s="5">
        <v>91252.29</v>
      </c>
      <c r="O213" s="5"/>
      <c r="P213" s="5">
        <f t="shared" si="19"/>
        <v>91252.29</v>
      </c>
      <c r="EB213" s="114"/>
      <c r="EC213" s="114"/>
      <c r="ED213" s="114"/>
      <c r="EE213" s="114"/>
      <c r="EF213" s="114"/>
      <c r="EG213" s="114"/>
    </row>
    <row r="214" spans="1:137" s="113" customFormat="1" ht="11.25" hidden="1">
      <c r="A214" s="6" t="s">
        <v>327</v>
      </c>
      <c r="B214" s="4"/>
      <c r="C214" s="4"/>
      <c r="D214" s="5">
        <v>22.73</v>
      </c>
      <c r="E214" s="5"/>
      <c r="F214" s="5">
        <f t="shared" si="20"/>
        <v>22.73</v>
      </c>
      <c r="G214" s="5">
        <v>48.109</v>
      </c>
      <c r="H214" s="5"/>
      <c r="I214" s="5"/>
      <c r="J214" s="5">
        <f t="shared" si="18"/>
        <v>48.109</v>
      </c>
      <c r="K214" s="5"/>
      <c r="L214" s="5"/>
      <c r="M214" s="5"/>
      <c r="N214" s="5">
        <v>52.918</v>
      </c>
      <c r="O214" s="5"/>
      <c r="P214" s="5">
        <f t="shared" si="19"/>
        <v>52.918</v>
      </c>
      <c r="EB214" s="114"/>
      <c r="EC214" s="114"/>
      <c r="ED214" s="114"/>
      <c r="EE214" s="114"/>
      <c r="EF214" s="114"/>
      <c r="EG214" s="114"/>
    </row>
    <row r="215" spans="1:137" s="113" customFormat="1" ht="22.5" hidden="1">
      <c r="A215" s="6" t="s">
        <v>332</v>
      </c>
      <c r="B215" s="4"/>
      <c r="C215" s="4"/>
      <c r="D215" s="74">
        <v>88200</v>
      </c>
      <c r="E215" s="5"/>
      <c r="F215" s="5">
        <f t="shared" si="20"/>
        <v>88200</v>
      </c>
      <c r="G215" s="5">
        <v>117400</v>
      </c>
      <c r="H215" s="5"/>
      <c r="I215" s="5"/>
      <c r="J215" s="5">
        <f t="shared" si="18"/>
        <v>117400</v>
      </c>
      <c r="K215" s="5"/>
      <c r="L215" s="5"/>
      <c r="M215" s="5"/>
      <c r="N215" s="5">
        <v>125700</v>
      </c>
      <c r="O215" s="5"/>
      <c r="P215" s="5">
        <f t="shared" si="19"/>
        <v>125700</v>
      </c>
      <c r="EB215" s="114"/>
      <c r="EC215" s="114"/>
      <c r="ED215" s="114"/>
      <c r="EE215" s="114"/>
      <c r="EF215" s="114"/>
      <c r="EG215" s="114"/>
    </row>
    <row r="216" spans="1:137" s="113" customFormat="1" ht="22.5" hidden="1">
      <c r="A216" s="6" t="s">
        <v>334</v>
      </c>
      <c r="B216" s="4"/>
      <c r="C216" s="4"/>
      <c r="D216" s="74">
        <v>11255.41</v>
      </c>
      <c r="E216" s="5"/>
      <c r="F216" s="5">
        <f t="shared" si="20"/>
        <v>11255.41</v>
      </c>
      <c r="G216" s="5">
        <v>21142.86</v>
      </c>
      <c r="H216" s="5"/>
      <c r="I216" s="5"/>
      <c r="J216" s="5">
        <f>G216</f>
        <v>21142.86</v>
      </c>
      <c r="K216" s="5"/>
      <c r="L216" s="5"/>
      <c r="M216" s="5"/>
      <c r="N216" s="5">
        <v>22415.58</v>
      </c>
      <c r="O216" s="5"/>
      <c r="P216" s="5">
        <f t="shared" si="19"/>
        <v>22415.58</v>
      </c>
      <c r="EB216" s="114"/>
      <c r="EC216" s="114"/>
      <c r="ED216" s="114"/>
      <c r="EE216" s="114"/>
      <c r="EF216" s="114"/>
      <c r="EG216" s="114"/>
    </row>
    <row r="217" spans="1:137" s="113" customFormat="1" ht="22.5" hidden="1">
      <c r="A217" s="6" t="s">
        <v>335</v>
      </c>
      <c r="B217" s="4"/>
      <c r="C217" s="4"/>
      <c r="D217" s="74">
        <v>7692.31</v>
      </c>
      <c r="E217" s="5"/>
      <c r="F217" s="5">
        <f t="shared" si="20"/>
        <v>7692.31</v>
      </c>
      <c r="G217" s="5">
        <v>2285.71</v>
      </c>
      <c r="H217" s="5"/>
      <c r="I217" s="5"/>
      <c r="J217" s="5">
        <f>G217</f>
        <v>2285.71</v>
      </c>
      <c r="K217" s="5"/>
      <c r="L217" s="5"/>
      <c r="M217" s="5"/>
      <c r="N217" s="5">
        <v>2825</v>
      </c>
      <c r="O217" s="5"/>
      <c r="P217" s="5">
        <f t="shared" si="19"/>
        <v>2825</v>
      </c>
      <c r="EB217" s="114"/>
      <c r="EC217" s="114"/>
      <c r="ED217" s="114"/>
      <c r="EE217" s="114"/>
      <c r="EF217" s="114"/>
      <c r="EG217" s="114"/>
    </row>
    <row r="218" spans="1:137" s="113" customFormat="1" ht="22.5" hidden="1">
      <c r="A218" s="6" t="s">
        <v>338</v>
      </c>
      <c r="B218" s="4"/>
      <c r="C218" s="4"/>
      <c r="D218" s="74">
        <v>2500</v>
      </c>
      <c r="E218" s="5"/>
      <c r="F218" s="5">
        <f t="shared" si="20"/>
        <v>2500</v>
      </c>
      <c r="G218" s="5">
        <v>2631.58</v>
      </c>
      <c r="H218" s="5"/>
      <c r="I218" s="5"/>
      <c r="J218" s="5">
        <f>G218</f>
        <v>2631.58</v>
      </c>
      <c r="K218" s="5"/>
      <c r="L218" s="5"/>
      <c r="M218" s="5"/>
      <c r="N218" s="5">
        <v>2777.78</v>
      </c>
      <c r="O218" s="5"/>
      <c r="P218" s="5">
        <f t="shared" si="19"/>
        <v>2777.78</v>
      </c>
      <c r="EB218" s="114"/>
      <c r="EC218" s="114"/>
      <c r="ED218" s="114"/>
      <c r="EE218" s="114"/>
      <c r="EF218" s="114"/>
      <c r="EG218" s="114"/>
    </row>
    <row r="219" spans="1:137" s="113" customFormat="1" ht="22.5" hidden="1">
      <c r="A219" s="72" t="s">
        <v>557</v>
      </c>
      <c r="B219" s="4"/>
      <c r="C219" s="4"/>
      <c r="D219" s="74">
        <v>5600.14933</v>
      </c>
      <c r="E219" s="5"/>
      <c r="F219" s="5">
        <f t="shared" si="20"/>
        <v>5600.14933</v>
      </c>
      <c r="G219" s="5"/>
      <c r="H219" s="5"/>
      <c r="I219" s="5"/>
      <c r="J219" s="5"/>
      <c r="K219" s="5"/>
      <c r="L219" s="5"/>
      <c r="M219" s="5"/>
      <c r="N219" s="5"/>
      <c r="O219" s="5"/>
      <c r="P219" s="5"/>
      <c r="EB219" s="114"/>
      <c r="EC219" s="114"/>
      <c r="ED219" s="114"/>
      <c r="EE219" s="114"/>
      <c r="EF219" s="114"/>
      <c r="EG219" s="114"/>
    </row>
    <row r="220" spans="1:137" s="113" customFormat="1" ht="33.75" customHeight="1" hidden="1">
      <c r="A220" s="6" t="s">
        <v>340</v>
      </c>
      <c r="B220" s="4"/>
      <c r="C220" s="4"/>
      <c r="D220" s="74">
        <v>7.53</v>
      </c>
      <c r="E220" s="5"/>
      <c r="F220" s="5">
        <f t="shared" si="20"/>
        <v>7.53</v>
      </c>
      <c r="G220" s="5">
        <v>8.03</v>
      </c>
      <c r="H220" s="5"/>
      <c r="I220" s="5"/>
      <c r="J220" s="5">
        <f>G220</f>
        <v>8.03</v>
      </c>
      <c r="K220" s="5"/>
      <c r="L220" s="5"/>
      <c r="M220" s="5"/>
      <c r="N220" s="5">
        <v>8.52</v>
      </c>
      <c r="O220" s="5"/>
      <c r="P220" s="5">
        <f t="shared" si="19"/>
        <v>8.52</v>
      </c>
      <c r="EB220" s="114"/>
      <c r="EC220" s="114"/>
      <c r="ED220" s="114"/>
      <c r="EE220" s="114"/>
      <c r="EF220" s="114"/>
      <c r="EG220" s="114"/>
    </row>
    <row r="221" spans="1:137" s="113" customFormat="1" ht="22.5" hidden="1">
      <c r="A221" s="6" t="s">
        <v>119</v>
      </c>
      <c r="B221" s="4"/>
      <c r="C221" s="4"/>
      <c r="D221" s="74">
        <v>66666.67</v>
      </c>
      <c r="E221" s="5"/>
      <c r="F221" s="5">
        <f t="shared" si="20"/>
        <v>66666.67</v>
      </c>
      <c r="G221" s="5">
        <v>115368.376</v>
      </c>
      <c r="H221" s="5"/>
      <c r="I221" s="5"/>
      <c r="J221" s="5">
        <f>G221</f>
        <v>115368.376</v>
      </c>
      <c r="K221" s="5"/>
      <c r="L221" s="5"/>
      <c r="M221" s="5"/>
      <c r="N221" s="5">
        <v>122269.0765</v>
      </c>
      <c r="O221" s="5"/>
      <c r="P221" s="5">
        <f t="shared" si="19"/>
        <v>122269.0765</v>
      </c>
      <c r="EB221" s="114"/>
      <c r="EC221" s="114"/>
      <c r="ED221" s="114"/>
      <c r="EE221" s="114"/>
      <c r="EF221" s="114"/>
      <c r="EG221" s="114"/>
    </row>
    <row r="222" spans="1:137" s="15" customFormat="1" ht="11.25" hidden="1">
      <c r="A222" s="3" t="s">
        <v>4</v>
      </c>
      <c r="B222" s="25"/>
      <c r="C222" s="25"/>
      <c r="D222" s="18"/>
      <c r="E222" s="18"/>
      <c r="F222" s="5"/>
      <c r="G222" s="18"/>
      <c r="H222" s="18"/>
      <c r="I222" s="18"/>
      <c r="J222" s="5"/>
      <c r="K222" s="5"/>
      <c r="L222" s="5"/>
      <c r="M222" s="5"/>
      <c r="N222" s="18"/>
      <c r="O222" s="18"/>
      <c r="P222" s="5"/>
      <c r="EB222" s="34"/>
      <c r="EC222" s="34"/>
      <c r="ED222" s="34"/>
      <c r="EE222" s="34"/>
      <c r="EF222" s="34"/>
      <c r="EG222" s="34"/>
    </row>
    <row r="223" spans="1:137" s="15" customFormat="1" ht="22.5" hidden="1">
      <c r="A223" s="6" t="s">
        <v>345</v>
      </c>
      <c r="B223" s="4"/>
      <c r="C223" s="4"/>
      <c r="D223" s="5">
        <f>D193/D183*100</f>
        <v>100</v>
      </c>
      <c r="E223" s="5"/>
      <c r="F223" s="5">
        <f>F193/F183*100</f>
        <v>100</v>
      </c>
      <c r="G223" s="5">
        <f>G193/G183*100</f>
        <v>100</v>
      </c>
      <c r="H223" s="5"/>
      <c r="I223" s="5"/>
      <c r="J223" s="5">
        <f aca="true" t="shared" si="21" ref="J223:N224">J193/J183*100</f>
        <v>100</v>
      </c>
      <c r="K223" s="5" t="e">
        <f t="shared" si="21"/>
        <v>#DIV/0!</v>
      </c>
      <c r="L223" s="5" t="e">
        <f t="shared" si="21"/>
        <v>#DIV/0!</v>
      </c>
      <c r="M223" s="5" t="e">
        <f t="shared" si="21"/>
        <v>#DIV/0!</v>
      </c>
      <c r="N223" s="5">
        <f t="shared" si="21"/>
        <v>100</v>
      </c>
      <c r="O223" s="5"/>
      <c r="P223" s="5">
        <f>P193/P183*100</f>
        <v>100</v>
      </c>
      <c r="EB223" s="34"/>
      <c r="EC223" s="34"/>
      <c r="ED223" s="34"/>
      <c r="EE223" s="34"/>
      <c r="EF223" s="34"/>
      <c r="EG223" s="34"/>
    </row>
    <row r="224" spans="1:137" s="15" customFormat="1" ht="22.5" hidden="1">
      <c r="A224" s="6" t="s">
        <v>346</v>
      </c>
      <c r="B224" s="4"/>
      <c r="C224" s="4"/>
      <c r="D224" s="5">
        <f>D194/D184*100</f>
        <v>12.465543644716693</v>
      </c>
      <c r="E224" s="5"/>
      <c r="F224" s="5">
        <f>F194/F184*100</f>
        <v>12.465543644716693</v>
      </c>
      <c r="G224" s="5">
        <f>G194/G184*100</f>
        <v>11.914241960183768</v>
      </c>
      <c r="H224" s="5"/>
      <c r="I224" s="5"/>
      <c r="J224" s="5">
        <f t="shared" si="21"/>
        <v>11.914241960183768</v>
      </c>
      <c r="K224" s="5" t="e">
        <f t="shared" si="21"/>
        <v>#DIV/0!</v>
      </c>
      <c r="L224" s="5" t="e">
        <f t="shared" si="21"/>
        <v>#DIV/0!</v>
      </c>
      <c r="M224" s="5" t="e">
        <f t="shared" si="21"/>
        <v>#DIV/0!</v>
      </c>
      <c r="N224" s="5">
        <f t="shared" si="21"/>
        <v>12.120980091883613</v>
      </c>
      <c r="O224" s="5"/>
      <c r="P224" s="5">
        <f>P194/P184*100</f>
        <v>12.120980091883613</v>
      </c>
      <c r="EB224" s="34"/>
      <c r="EC224" s="34"/>
      <c r="ED224" s="34"/>
      <c r="EE224" s="34"/>
      <c r="EF224" s="34"/>
      <c r="EG224" s="34"/>
    </row>
    <row r="225" spans="1:137" s="116" customFormat="1" ht="41.25" customHeight="1" hidden="1">
      <c r="A225" s="85" t="s">
        <v>400</v>
      </c>
      <c r="B225" s="77"/>
      <c r="C225" s="77"/>
      <c r="D225" s="81">
        <f>D227</f>
        <v>650000</v>
      </c>
      <c r="E225" s="81"/>
      <c r="F225" s="81">
        <f>D225</f>
        <v>650000</v>
      </c>
      <c r="G225" s="81">
        <f>G227</f>
        <v>693600</v>
      </c>
      <c r="H225" s="81"/>
      <c r="I225" s="81"/>
      <c r="J225" s="81">
        <f>G225</f>
        <v>693600</v>
      </c>
      <c r="K225" s="81"/>
      <c r="L225" s="81"/>
      <c r="M225" s="81"/>
      <c r="N225" s="81">
        <f>N227</f>
        <v>735200</v>
      </c>
      <c r="O225" s="81"/>
      <c r="P225" s="81">
        <f>N225</f>
        <v>735200</v>
      </c>
      <c r="EB225" s="117"/>
      <c r="EC225" s="117"/>
      <c r="ED225" s="117"/>
      <c r="EE225" s="117"/>
      <c r="EF225" s="117"/>
      <c r="EG225" s="117"/>
    </row>
    <row r="226" spans="1:137" s="15" customFormat="1" ht="15.75" customHeight="1" hidden="1">
      <c r="A226" s="3" t="s">
        <v>77</v>
      </c>
      <c r="B226" s="4"/>
      <c r="C226" s="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EB226" s="34"/>
      <c r="EC226" s="34"/>
      <c r="ED226" s="34"/>
      <c r="EE226" s="34"/>
      <c r="EF226" s="34"/>
      <c r="EG226" s="34"/>
    </row>
    <row r="227" spans="1:137" s="15" customFormat="1" ht="35.25" customHeight="1" hidden="1">
      <c r="A227" s="6" t="s">
        <v>322</v>
      </c>
      <c r="B227" s="4"/>
      <c r="C227" s="4"/>
      <c r="D227" s="5">
        <v>650000</v>
      </c>
      <c r="E227" s="5"/>
      <c r="F227" s="5">
        <f>D227</f>
        <v>650000</v>
      </c>
      <c r="G227" s="5">
        <v>693600</v>
      </c>
      <c r="H227" s="5"/>
      <c r="I227" s="5"/>
      <c r="J227" s="5">
        <f>G227</f>
        <v>693600</v>
      </c>
      <c r="K227" s="5"/>
      <c r="L227" s="5"/>
      <c r="M227" s="5"/>
      <c r="N227" s="5">
        <v>735200</v>
      </c>
      <c r="O227" s="5"/>
      <c r="P227" s="5">
        <f>N227</f>
        <v>735200</v>
      </c>
      <c r="EB227" s="34"/>
      <c r="EC227" s="34"/>
      <c r="ED227" s="34"/>
      <c r="EE227" s="34"/>
      <c r="EF227" s="34"/>
      <c r="EG227" s="34"/>
    </row>
    <row r="228" spans="1:137" s="15" customFormat="1" ht="11.25" hidden="1">
      <c r="A228" s="3" t="s">
        <v>231</v>
      </c>
      <c r="B228" s="4"/>
      <c r="C228" s="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EB228" s="34"/>
      <c r="EC228" s="34"/>
      <c r="ED228" s="34"/>
      <c r="EE228" s="34"/>
      <c r="EF228" s="34"/>
      <c r="EG228" s="34"/>
    </row>
    <row r="229" spans="1:137" s="15" customFormat="1" ht="33.75" hidden="1">
      <c r="A229" s="50" t="s">
        <v>323</v>
      </c>
      <c r="B229" s="4"/>
      <c r="C229" s="4"/>
      <c r="D229" s="5">
        <v>13</v>
      </c>
      <c r="E229" s="5"/>
      <c r="F229" s="5">
        <f>D229</f>
        <v>13</v>
      </c>
      <c r="G229" s="5">
        <v>13</v>
      </c>
      <c r="H229" s="5"/>
      <c r="I229" s="5"/>
      <c r="J229" s="5">
        <f>G229</f>
        <v>13</v>
      </c>
      <c r="K229" s="5"/>
      <c r="L229" s="5"/>
      <c r="M229" s="5"/>
      <c r="N229" s="5">
        <v>13</v>
      </c>
      <c r="O229" s="5"/>
      <c r="P229" s="5">
        <f>N229</f>
        <v>13</v>
      </c>
      <c r="EB229" s="34"/>
      <c r="EC229" s="34"/>
      <c r="ED229" s="34"/>
      <c r="EE229" s="34"/>
      <c r="EF229" s="34"/>
      <c r="EG229" s="34"/>
    </row>
    <row r="230" spans="1:137" s="15" customFormat="1" ht="11.25" hidden="1">
      <c r="A230" s="3" t="s">
        <v>226</v>
      </c>
      <c r="B230" s="4"/>
      <c r="C230" s="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EB230" s="34"/>
      <c r="EC230" s="34"/>
      <c r="ED230" s="34"/>
      <c r="EE230" s="34"/>
      <c r="EF230" s="34"/>
      <c r="EG230" s="34"/>
    </row>
    <row r="231" spans="1:137" s="15" customFormat="1" ht="35.25" customHeight="1" hidden="1">
      <c r="A231" s="6" t="s">
        <v>324</v>
      </c>
      <c r="B231" s="4"/>
      <c r="C231" s="4"/>
      <c r="D231" s="5">
        <f>D227/D229</f>
        <v>50000</v>
      </c>
      <c r="E231" s="5"/>
      <c r="F231" s="5">
        <f>D231</f>
        <v>50000</v>
      </c>
      <c r="G231" s="5">
        <f>G227/G229</f>
        <v>53353.846153846156</v>
      </c>
      <c r="H231" s="5"/>
      <c r="I231" s="5"/>
      <c r="J231" s="5">
        <f>G231</f>
        <v>53353.846153846156</v>
      </c>
      <c r="K231" s="5"/>
      <c r="L231" s="5"/>
      <c r="M231" s="5"/>
      <c r="N231" s="5">
        <f>N227/N229</f>
        <v>56553.846153846156</v>
      </c>
      <c r="O231" s="5"/>
      <c r="P231" s="5">
        <f>N231</f>
        <v>56553.846153846156</v>
      </c>
      <c r="EB231" s="34"/>
      <c r="EC231" s="34"/>
      <c r="ED231" s="34"/>
      <c r="EE231" s="34"/>
      <c r="EF231" s="34"/>
      <c r="EG231" s="34"/>
    </row>
    <row r="232" spans="1:137" s="15" customFormat="1" ht="35.25" customHeight="1" hidden="1">
      <c r="A232" s="85" t="s">
        <v>401</v>
      </c>
      <c r="B232" s="73"/>
      <c r="C232" s="73"/>
      <c r="D232" s="81">
        <f>D234</f>
        <v>900000</v>
      </c>
      <c r="E232" s="81"/>
      <c r="F232" s="81">
        <f>D232</f>
        <v>900000</v>
      </c>
      <c r="G232" s="81">
        <f>G234</f>
        <v>760000</v>
      </c>
      <c r="H232" s="81"/>
      <c r="I232" s="81"/>
      <c r="J232" s="81">
        <f>G232</f>
        <v>760000</v>
      </c>
      <c r="K232" s="81"/>
      <c r="L232" s="81"/>
      <c r="M232" s="81"/>
      <c r="N232" s="81">
        <f>N234</f>
        <v>850000</v>
      </c>
      <c r="O232" s="81"/>
      <c r="P232" s="81">
        <f>N232</f>
        <v>850000</v>
      </c>
      <c r="EB232" s="34"/>
      <c r="EC232" s="34"/>
      <c r="ED232" s="34"/>
      <c r="EE232" s="34"/>
      <c r="EF232" s="34"/>
      <c r="EG232" s="34"/>
    </row>
    <row r="233" spans="1:137" s="15" customFormat="1" ht="11.25" hidden="1">
      <c r="A233" s="3" t="s">
        <v>77</v>
      </c>
      <c r="B233" s="4"/>
      <c r="C233" s="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EB233" s="34"/>
      <c r="EC233" s="34"/>
      <c r="ED233" s="34"/>
      <c r="EE233" s="34"/>
      <c r="EF233" s="34"/>
      <c r="EG233" s="34"/>
    </row>
    <row r="234" spans="1:137" s="15" customFormat="1" ht="33.75" hidden="1">
      <c r="A234" s="6" t="s">
        <v>325</v>
      </c>
      <c r="B234" s="4"/>
      <c r="C234" s="4"/>
      <c r="D234" s="5">
        <f>640000+260000</f>
        <v>900000</v>
      </c>
      <c r="E234" s="5"/>
      <c r="F234" s="5">
        <f>D234</f>
        <v>900000</v>
      </c>
      <c r="G234" s="5">
        <v>760000</v>
      </c>
      <c r="H234" s="5"/>
      <c r="I234" s="5"/>
      <c r="J234" s="5">
        <f>G234</f>
        <v>760000</v>
      </c>
      <c r="K234" s="5"/>
      <c r="L234" s="5"/>
      <c r="M234" s="5"/>
      <c r="N234" s="5">
        <v>850000</v>
      </c>
      <c r="O234" s="5"/>
      <c r="P234" s="5">
        <f>N234</f>
        <v>850000</v>
      </c>
      <c r="EB234" s="34"/>
      <c r="EC234" s="34"/>
      <c r="ED234" s="34"/>
      <c r="EE234" s="34"/>
      <c r="EF234" s="34"/>
      <c r="EG234" s="34"/>
    </row>
    <row r="235" spans="1:137" s="15" customFormat="1" ht="11.25" hidden="1">
      <c r="A235" s="3" t="s">
        <v>231</v>
      </c>
      <c r="B235" s="4"/>
      <c r="C235" s="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EB235" s="34"/>
      <c r="EC235" s="34"/>
      <c r="ED235" s="34"/>
      <c r="EE235" s="34"/>
      <c r="EF235" s="34"/>
      <c r="EG235" s="34"/>
    </row>
    <row r="236" spans="1:137" s="15" customFormat="1" ht="22.5" hidden="1">
      <c r="A236" s="50" t="s">
        <v>550</v>
      </c>
      <c r="B236" s="4"/>
      <c r="C236" s="4"/>
      <c r="D236" s="5">
        <v>12</v>
      </c>
      <c r="E236" s="5"/>
      <c r="F236" s="5">
        <f>D236</f>
        <v>12</v>
      </c>
      <c r="G236" s="5">
        <v>12</v>
      </c>
      <c r="H236" s="5"/>
      <c r="I236" s="5"/>
      <c r="J236" s="5">
        <f>G236</f>
        <v>12</v>
      </c>
      <c r="K236" s="5"/>
      <c r="L236" s="5"/>
      <c r="M236" s="5"/>
      <c r="N236" s="5">
        <v>12</v>
      </c>
      <c r="O236" s="5"/>
      <c r="P236" s="5">
        <f>N236</f>
        <v>12</v>
      </c>
      <c r="EB236" s="34"/>
      <c r="EC236" s="34"/>
      <c r="ED236" s="34"/>
      <c r="EE236" s="34"/>
      <c r="EF236" s="34"/>
      <c r="EG236" s="34"/>
    </row>
    <row r="237" spans="1:137" s="15" customFormat="1" ht="11.25" hidden="1">
      <c r="A237" s="3" t="s">
        <v>226</v>
      </c>
      <c r="B237" s="4"/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EB237" s="34"/>
      <c r="EC237" s="34"/>
      <c r="ED237" s="34"/>
      <c r="EE237" s="34"/>
      <c r="EF237" s="34"/>
      <c r="EG237" s="34"/>
    </row>
    <row r="238" spans="1:137" s="15" customFormat="1" ht="33.75" hidden="1">
      <c r="A238" s="6" t="s">
        <v>326</v>
      </c>
      <c r="B238" s="4"/>
      <c r="C238" s="4"/>
      <c r="D238" s="5">
        <f>D234/D236</f>
        <v>75000</v>
      </c>
      <c r="E238" s="5"/>
      <c r="F238" s="5">
        <f>D238</f>
        <v>75000</v>
      </c>
      <c r="G238" s="5">
        <f>G234/G236</f>
        <v>63333.333333333336</v>
      </c>
      <c r="H238" s="5"/>
      <c r="I238" s="5"/>
      <c r="J238" s="5">
        <f>G238</f>
        <v>63333.333333333336</v>
      </c>
      <c r="K238" s="5"/>
      <c r="L238" s="5"/>
      <c r="M238" s="5"/>
      <c r="N238" s="5">
        <f>N234/N236</f>
        <v>70833.33333333333</v>
      </c>
      <c r="O238" s="5"/>
      <c r="P238" s="5">
        <f>N238</f>
        <v>70833.33333333333</v>
      </c>
      <c r="EB238" s="34"/>
      <c r="EC238" s="34"/>
      <c r="ED238" s="34"/>
      <c r="EE238" s="34"/>
      <c r="EF238" s="34"/>
      <c r="EG238" s="34"/>
    </row>
    <row r="239" spans="1:137" s="113" customFormat="1" ht="22.5" hidden="1">
      <c r="A239" s="85" t="s">
        <v>402</v>
      </c>
      <c r="B239" s="73"/>
      <c r="C239" s="73"/>
      <c r="D239" s="81">
        <f>D241</f>
        <v>60000</v>
      </c>
      <c r="E239" s="81"/>
      <c r="F239" s="81">
        <f>D239</f>
        <v>60000</v>
      </c>
      <c r="G239" s="81">
        <f>G241</f>
        <v>128000</v>
      </c>
      <c r="H239" s="81"/>
      <c r="I239" s="81"/>
      <c r="J239" s="81">
        <f>G239</f>
        <v>128000</v>
      </c>
      <c r="K239" s="81"/>
      <c r="L239" s="81"/>
      <c r="M239" s="81"/>
      <c r="N239" s="81">
        <f>N241</f>
        <v>135700</v>
      </c>
      <c r="O239" s="81"/>
      <c r="P239" s="81">
        <f>N239</f>
        <v>135700</v>
      </c>
      <c r="EB239" s="114"/>
      <c r="EC239" s="114"/>
      <c r="ED239" s="114"/>
      <c r="EE239" s="114"/>
      <c r="EF239" s="114"/>
      <c r="EG239" s="114"/>
    </row>
    <row r="240" spans="1:137" s="15" customFormat="1" ht="23.25" customHeight="1" hidden="1">
      <c r="A240" s="3" t="s">
        <v>77</v>
      </c>
      <c r="B240" s="4"/>
      <c r="C240" s="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EB240" s="34"/>
      <c r="EC240" s="34"/>
      <c r="ED240" s="34"/>
      <c r="EE240" s="34"/>
      <c r="EF240" s="34"/>
      <c r="EG240" s="34"/>
    </row>
    <row r="241" spans="1:137" s="15" customFormat="1" ht="22.5" hidden="1">
      <c r="A241" s="6" t="s">
        <v>328</v>
      </c>
      <c r="B241" s="4"/>
      <c r="C241" s="4"/>
      <c r="D241" s="5">
        <f>120000-60000</f>
        <v>60000</v>
      </c>
      <c r="E241" s="5"/>
      <c r="F241" s="5">
        <f>D241</f>
        <v>60000</v>
      </c>
      <c r="G241" s="5">
        <v>128000</v>
      </c>
      <c r="H241" s="5"/>
      <c r="I241" s="5"/>
      <c r="J241" s="5">
        <f>G241</f>
        <v>128000</v>
      </c>
      <c r="K241" s="5"/>
      <c r="L241" s="5"/>
      <c r="M241" s="5"/>
      <c r="N241" s="5">
        <v>135700</v>
      </c>
      <c r="O241" s="5"/>
      <c r="P241" s="5">
        <f>N241</f>
        <v>135700</v>
      </c>
      <c r="EB241" s="34"/>
      <c r="EC241" s="34"/>
      <c r="ED241" s="34"/>
      <c r="EE241" s="34"/>
      <c r="EF241" s="34"/>
      <c r="EG241" s="34"/>
    </row>
    <row r="242" spans="1:137" s="15" customFormat="1" ht="15.75" customHeight="1" hidden="1">
      <c r="A242" s="3" t="s">
        <v>231</v>
      </c>
      <c r="B242" s="4"/>
      <c r="C242" s="4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EB242" s="34"/>
      <c r="EC242" s="34"/>
      <c r="ED242" s="34"/>
      <c r="EE242" s="34"/>
      <c r="EF242" s="34"/>
      <c r="EG242" s="34"/>
    </row>
    <row r="243" spans="1:137" s="15" customFormat="1" ht="22.5" hidden="1">
      <c r="A243" s="50" t="s">
        <v>329</v>
      </c>
      <c r="B243" s="4"/>
      <c r="C243" s="4"/>
      <c r="D243" s="5">
        <v>15</v>
      </c>
      <c r="E243" s="5"/>
      <c r="F243" s="5">
        <f>D243</f>
        <v>15</v>
      </c>
      <c r="G243" s="5">
        <v>21</v>
      </c>
      <c r="H243" s="5"/>
      <c r="I243" s="5"/>
      <c r="J243" s="5">
        <f>G243</f>
        <v>21</v>
      </c>
      <c r="K243" s="5"/>
      <c r="L243" s="5"/>
      <c r="M243" s="5"/>
      <c r="N243" s="5">
        <v>21</v>
      </c>
      <c r="O243" s="5"/>
      <c r="P243" s="5">
        <f>N243</f>
        <v>21</v>
      </c>
      <c r="EB243" s="34"/>
      <c r="EC243" s="34"/>
      <c r="ED243" s="34"/>
      <c r="EE243" s="34"/>
      <c r="EF243" s="34"/>
      <c r="EG243" s="34"/>
    </row>
    <row r="244" spans="1:137" s="15" customFormat="1" ht="16.5" customHeight="1" hidden="1">
      <c r="A244" s="3" t="s">
        <v>226</v>
      </c>
      <c r="B244" s="4"/>
      <c r="C244" s="4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EB244" s="34"/>
      <c r="EC244" s="34"/>
      <c r="ED244" s="34"/>
      <c r="EE244" s="34"/>
      <c r="EF244" s="34"/>
      <c r="EG244" s="34"/>
    </row>
    <row r="245" spans="1:137" s="15" customFormat="1" ht="22.5" hidden="1">
      <c r="A245" s="6" t="s">
        <v>330</v>
      </c>
      <c r="B245" s="4"/>
      <c r="C245" s="4"/>
      <c r="D245" s="5">
        <f>D241/D243</f>
        <v>4000</v>
      </c>
      <c r="E245" s="5"/>
      <c r="F245" s="5">
        <f>D245</f>
        <v>4000</v>
      </c>
      <c r="G245" s="5">
        <f>G241/G243</f>
        <v>6095.238095238095</v>
      </c>
      <c r="H245" s="5"/>
      <c r="I245" s="5"/>
      <c r="J245" s="5">
        <f>J241/J243</f>
        <v>6095.238095238095</v>
      </c>
      <c r="K245" s="5"/>
      <c r="L245" s="5"/>
      <c r="M245" s="5"/>
      <c r="N245" s="5">
        <f>N241/N243</f>
        <v>6461.9047619047615</v>
      </c>
      <c r="O245" s="5"/>
      <c r="P245" s="5">
        <f>N245</f>
        <v>6461.9047619047615</v>
      </c>
      <c r="EB245" s="34"/>
      <c r="EC245" s="34"/>
      <c r="ED245" s="34"/>
      <c r="EE245" s="34"/>
      <c r="EF245" s="34"/>
      <c r="EG245" s="34"/>
    </row>
    <row r="246" spans="1:137" s="113" customFormat="1" ht="22.5" hidden="1">
      <c r="A246" s="85" t="s">
        <v>403</v>
      </c>
      <c r="B246" s="73"/>
      <c r="C246" s="73"/>
      <c r="D246" s="74"/>
      <c r="E246" s="81">
        <f>E248</f>
        <v>17000000</v>
      </c>
      <c r="F246" s="81">
        <f>E246</f>
        <v>17000000</v>
      </c>
      <c r="G246" s="81"/>
      <c r="H246" s="81">
        <f>H248</f>
        <v>10000000</v>
      </c>
      <c r="I246" s="81"/>
      <c r="J246" s="81">
        <f>H246</f>
        <v>10000000</v>
      </c>
      <c r="K246" s="81"/>
      <c r="L246" s="81"/>
      <c r="M246" s="81"/>
      <c r="N246" s="81"/>
      <c r="O246" s="81">
        <f>O248</f>
        <v>10000000</v>
      </c>
      <c r="P246" s="81">
        <f>O246</f>
        <v>10000000</v>
      </c>
      <c r="EB246" s="114"/>
      <c r="EC246" s="114"/>
      <c r="ED246" s="114"/>
      <c r="EE246" s="114"/>
      <c r="EF246" s="114"/>
      <c r="EG246" s="114"/>
    </row>
    <row r="247" spans="1:137" s="15" customFormat="1" ht="20.25" customHeight="1" hidden="1">
      <c r="A247" s="3" t="s">
        <v>77</v>
      </c>
      <c r="B247" s="4"/>
      <c r="C247" s="4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EB247" s="34"/>
      <c r="EC247" s="34"/>
      <c r="ED247" s="34"/>
      <c r="EE247" s="34"/>
      <c r="EF247" s="34"/>
      <c r="EG247" s="34"/>
    </row>
    <row r="248" spans="1:137" s="15" customFormat="1" ht="22.5" hidden="1">
      <c r="A248" s="6" t="s">
        <v>314</v>
      </c>
      <c r="B248" s="4"/>
      <c r="C248" s="4"/>
      <c r="D248" s="5"/>
      <c r="E248" s="5">
        <f>32410000-15410000</f>
        <v>17000000</v>
      </c>
      <c r="F248" s="5">
        <f>E248</f>
        <v>17000000</v>
      </c>
      <c r="G248" s="5"/>
      <c r="H248" s="5">
        <v>10000000</v>
      </c>
      <c r="I248" s="5"/>
      <c r="J248" s="5">
        <f>H248</f>
        <v>10000000</v>
      </c>
      <c r="K248" s="5"/>
      <c r="L248" s="5"/>
      <c r="M248" s="5"/>
      <c r="N248" s="5"/>
      <c r="O248" s="5">
        <v>10000000</v>
      </c>
      <c r="P248" s="5">
        <f>O248</f>
        <v>10000000</v>
      </c>
      <c r="EB248" s="34"/>
      <c r="EC248" s="34"/>
      <c r="ED248" s="34"/>
      <c r="EE248" s="34"/>
      <c r="EF248" s="34"/>
      <c r="EG248" s="34"/>
    </row>
    <row r="249" spans="1:137" s="15" customFormat="1" ht="21" customHeight="1" hidden="1">
      <c r="A249" s="3" t="s">
        <v>231</v>
      </c>
      <c r="B249" s="4"/>
      <c r="C249" s="4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EB249" s="34"/>
      <c r="EC249" s="34"/>
      <c r="ED249" s="34"/>
      <c r="EE249" s="34"/>
      <c r="EF249" s="34"/>
      <c r="EG249" s="34"/>
    </row>
    <row r="250" spans="1:137" s="15" customFormat="1" ht="22.5" hidden="1">
      <c r="A250" s="50" t="s">
        <v>315</v>
      </c>
      <c r="B250" s="4"/>
      <c r="C250" s="4"/>
      <c r="D250" s="5"/>
      <c r="E250" s="5">
        <v>2</v>
      </c>
      <c r="F250" s="5">
        <f>E250</f>
        <v>2</v>
      </c>
      <c r="G250" s="5"/>
      <c r="H250" s="5">
        <v>1</v>
      </c>
      <c r="I250" s="5"/>
      <c r="J250" s="5">
        <f>H250</f>
        <v>1</v>
      </c>
      <c r="K250" s="5"/>
      <c r="L250" s="5"/>
      <c r="M250" s="5"/>
      <c r="N250" s="5"/>
      <c r="O250" s="5">
        <v>1</v>
      </c>
      <c r="P250" s="5">
        <v>1</v>
      </c>
      <c r="EB250" s="34"/>
      <c r="EC250" s="34"/>
      <c r="ED250" s="34"/>
      <c r="EE250" s="34"/>
      <c r="EF250" s="34"/>
      <c r="EG250" s="34"/>
    </row>
    <row r="251" spans="1:137" s="15" customFormat="1" ht="21.75" customHeight="1" hidden="1">
      <c r="A251" s="3" t="s">
        <v>226</v>
      </c>
      <c r="B251" s="4"/>
      <c r="C251" s="4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EB251" s="34"/>
      <c r="EC251" s="34"/>
      <c r="ED251" s="34"/>
      <c r="EE251" s="34"/>
      <c r="EF251" s="34"/>
      <c r="EG251" s="34"/>
    </row>
    <row r="252" spans="1:137" s="15" customFormat="1" ht="22.5" hidden="1">
      <c r="A252" s="6" t="s">
        <v>316</v>
      </c>
      <c r="B252" s="4"/>
      <c r="C252" s="4"/>
      <c r="D252" s="5"/>
      <c r="E252" s="5">
        <f>E248/E250</f>
        <v>8500000</v>
      </c>
      <c r="F252" s="5">
        <f>E252</f>
        <v>8500000</v>
      </c>
      <c r="G252" s="5"/>
      <c r="H252" s="5">
        <f>H248/H250</f>
        <v>10000000</v>
      </c>
      <c r="I252" s="5"/>
      <c r="J252" s="5">
        <f>H252</f>
        <v>10000000</v>
      </c>
      <c r="K252" s="5"/>
      <c r="L252" s="5"/>
      <c r="M252" s="5"/>
      <c r="N252" s="5"/>
      <c r="O252" s="5">
        <f>O248/O250</f>
        <v>10000000</v>
      </c>
      <c r="P252" s="5">
        <f>O252</f>
        <v>10000000</v>
      </c>
      <c r="EB252" s="34"/>
      <c r="EC252" s="34"/>
      <c r="ED252" s="34"/>
      <c r="EE252" s="34"/>
      <c r="EF252" s="34"/>
      <c r="EG252" s="34"/>
    </row>
    <row r="253" spans="1:137" s="191" customFormat="1" ht="66" customHeight="1" hidden="1">
      <c r="A253" s="194" t="s">
        <v>404</v>
      </c>
      <c r="B253" s="190"/>
      <c r="C253" s="190"/>
      <c r="D253" s="193">
        <f>D254+D268+D261+D275+D282+D289+D303+D296</f>
        <v>15929400</v>
      </c>
      <c r="E253" s="193">
        <f aca="true" t="shared" si="22" ref="E253:O253">E254+E268+E261+E275+E282+E289+E303</f>
        <v>0</v>
      </c>
      <c r="F253" s="193">
        <f>D253+E253</f>
        <v>15929400</v>
      </c>
      <c r="G253" s="193">
        <f t="shared" si="22"/>
        <v>27723400</v>
      </c>
      <c r="H253" s="193">
        <f t="shared" si="22"/>
        <v>0</v>
      </c>
      <c r="I253" s="193">
        <f t="shared" si="22"/>
        <v>0</v>
      </c>
      <c r="J253" s="193">
        <f>G253+H253</f>
        <v>27723400</v>
      </c>
      <c r="K253" s="193">
        <f t="shared" si="22"/>
        <v>0</v>
      </c>
      <c r="L253" s="193">
        <f t="shared" si="22"/>
        <v>0</v>
      </c>
      <c r="M253" s="193">
        <f t="shared" si="22"/>
        <v>0</v>
      </c>
      <c r="N253" s="193">
        <f t="shared" si="22"/>
        <v>29970800</v>
      </c>
      <c r="O253" s="193">
        <f t="shared" si="22"/>
        <v>0</v>
      </c>
      <c r="P253" s="193">
        <f>N253+O253</f>
        <v>29970800</v>
      </c>
      <c r="EB253" s="192"/>
      <c r="EC253" s="192"/>
      <c r="ED253" s="192"/>
      <c r="EE253" s="192"/>
      <c r="EF253" s="192"/>
      <c r="EG253" s="192"/>
    </row>
    <row r="254" spans="1:137" s="113" customFormat="1" ht="11.25" hidden="1">
      <c r="A254" s="85" t="s">
        <v>405</v>
      </c>
      <c r="B254" s="73"/>
      <c r="C254" s="73"/>
      <c r="D254" s="81">
        <f>D256</f>
        <v>9715300</v>
      </c>
      <c r="E254" s="81"/>
      <c r="F254" s="81">
        <f>D254</f>
        <v>9715300</v>
      </c>
      <c r="G254" s="81">
        <f>G256</f>
        <v>16498100</v>
      </c>
      <c r="H254" s="81"/>
      <c r="I254" s="81"/>
      <c r="J254" s="81">
        <f>G254</f>
        <v>16498100</v>
      </c>
      <c r="K254" s="81"/>
      <c r="L254" s="81"/>
      <c r="M254" s="81"/>
      <c r="N254" s="81">
        <f>N256</f>
        <v>17435000</v>
      </c>
      <c r="O254" s="81"/>
      <c r="P254" s="81">
        <f>N254</f>
        <v>17435000</v>
      </c>
      <c r="EB254" s="114"/>
      <c r="EC254" s="114"/>
      <c r="ED254" s="114"/>
      <c r="EE254" s="114"/>
      <c r="EF254" s="114"/>
      <c r="EG254" s="114"/>
    </row>
    <row r="255" spans="1:137" s="15" customFormat="1" ht="18.75" customHeight="1" hidden="1">
      <c r="A255" s="3" t="s">
        <v>77</v>
      </c>
      <c r="B255" s="4"/>
      <c r="C255" s="4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EB255" s="34"/>
      <c r="EC255" s="34"/>
      <c r="ED255" s="34"/>
      <c r="EE255" s="34"/>
      <c r="EF255" s="34"/>
      <c r="EG255" s="34"/>
    </row>
    <row r="256" spans="1:137" s="15" customFormat="1" ht="11.25" hidden="1">
      <c r="A256" s="6" t="s">
        <v>261</v>
      </c>
      <c r="B256" s="4"/>
      <c r="C256" s="4"/>
      <c r="D256" s="5">
        <f>15415300+50000-5750000</f>
        <v>9715300</v>
      </c>
      <c r="E256" s="5"/>
      <c r="F256" s="5">
        <f>D256</f>
        <v>9715300</v>
      </c>
      <c r="G256" s="5">
        <f>16448100+50000</f>
        <v>16498100</v>
      </c>
      <c r="H256" s="5"/>
      <c r="I256" s="5"/>
      <c r="J256" s="5">
        <f>G256</f>
        <v>16498100</v>
      </c>
      <c r="K256" s="5"/>
      <c r="L256" s="5"/>
      <c r="M256" s="5"/>
      <c r="N256" s="5">
        <v>17435000</v>
      </c>
      <c r="O256" s="5"/>
      <c r="P256" s="5">
        <f>N256</f>
        <v>17435000</v>
      </c>
      <c r="EB256" s="34"/>
      <c r="EC256" s="34"/>
      <c r="ED256" s="34"/>
      <c r="EE256" s="34"/>
      <c r="EF256" s="34"/>
      <c r="EG256" s="34"/>
    </row>
    <row r="257" spans="1:137" s="15" customFormat="1" ht="17.25" customHeight="1" hidden="1">
      <c r="A257" s="3" t="s">
        <v>231</v>
      </c>
      <c r="B257" s="4"/>
      <c r="C257" s="4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EB257" s="34"/>
      <c r="EC257" s="34"/>
      <c r="ED257" s="34"/>
      <c r="EE257" s="34"/>
      <c r="EF257" s="34"/>
      <c r="EG257" s="34"/>
    </row>
    <row r="258" spans="1:137" s="15" customFormat="1" ht="22.5" hidden="1">
      <c r="A258" s="50" t="s">
        <v>262</v>
      </c>
      <c r="B258" s="4"/>
      <c r="C258" s="4"/>
      <c r="D258" s="5">
        <v>36</v>
      </c>
      <c r="E258" s="5"/>
      <c r="F258" s="5">
        <f>D258</f>
        <v>36</v>
      </c>
      <c r="G258" s="5">
        <f>D258</f>
        <v>36</v>
      </c>
      <c r="H258" s="5"/>
      <c r="I258" s="5"/>
      <c r="J258" s="5">
        <f>G258</f>
        <v>36</v>
      </c>
      <c r="K258" s="5"/>
      <c r="L258" s="5"/>
      <c r="M258" s="5"/>
      <c r="N258" s="5">
        <f>J258</f>
        <v>36</v>
      </c>
      <c r="O258" s="5"/>
      <c r="P258" s="5">
        <f>N258</f>
        <v>36</v>
      </c>
      <c r="EB258" s="34"/>
      <c r="EC258" s="34"/>
      <c r="ED258" s="34"/>
      <c r="EE258" s="34"/>
      <c r="EF258" s="34"/>
      <c r="EG258" s="34"/>
    </row>
    <row r="259" spans="1:137" s="15" customFormat="1" ht="18.75" customHeight="1" hidden="1">
      <c r="A259" s="3" t="s">
        <v>226</v>
      </c>
      <c r="B259" s="4"/>
      <c r="C259" s="4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EB259" s="34"/>
      <c r="EC259" s="34"/>
      <c r="ED259" s="34"/>
      <c r="EE259" s="34"/>
      <c r="EF259" s="34"/>
      <c r="EG259" s="34"/>
    </row>
    <row r="260" spans="1:137" s="15" customFormat="1" ht="27.75" customHeight="1" hidden="1">
      <c r="A260" s="6" t="s">
        <v>263</v>
      </c>
      <c r="B260" s="4"/>
      <c r="C260" s="4"/>
      <c r="D260" s="5">
        <f>D256/D258</f>
        <v>269869.44444444444</v>
      </c>
      <c r="E260" s="5"/>
      <c r="F260" s="5">
        <f>D260</f>
        <v>269869.44444444444</v>
      </c>
      <c r="G260" s="5">
        <f>G256/G258</f>
        <v>458280.55555555556</v>
      </c>
      <c r="H260" s="5"/>
      <c r="I260" s="5"/>
      <c r="J260" s="5">
        <f>G260</f>
        <v>458280.55555555556</v>
      </c>
      <c r="K260" s="5"/>
      <c r="L260" s="5"/>
      <c r="M260" s="5"/>
      <c r="N260" s="5">
        <f>N256/N258</f>
        <v>484305.55555555556</v>
      </c>
      <c r="O260" s="5"/>
      <c r="P260" s="5">
        <f>N260</f>
        <v>484305.55555555556</v>
      </c>
      <c r="EB260" s="34"/>
      <c r="EC260" s="34"/>
      <c r="ED260" s="34"/>
      <c r="EE260" s="34"/>
      <c r="EF260" s="34"/>
      <c r="EG260" s="34"/>
    </row>
    <row r="261" spans="1:137" s="113" customFormat="1" ht="27.75" customHeight="1" hidden="1">
      <c r="A261" s="85" t="s">
        <v>406</v>
      </c>
      <c r="B261" s="73"/>
      <c r="C261" s="73"/>
      <c r="D261" s="74">
        <f>D263</f>
        <v>1674800</v>
      </c>
      <c r="E261" s="74"/>
      <c r="F261" s="74">
        <f>D261</f>
        <v>1674800</v>
      </c>
      <c r="G261" s="74">
        <f>G263</f>
        <v>4826500</v>
      </c>
      <c r="H261" s="74"/>
      <c r="I261" s="74"/>
      <c r="J261" s="74">
        <f>G261</f>
        <v>4826500</v>
      </c>
      <c r="K261" s="74"/>
      <c r="L261" s="74"/>
      <c r="M261" s="74"/>
      <c r="N261" s="74">
        <f>N263</f>
        <v>5385700</v>
      </c>
      <c r="O261" s="74"/>
      <c r="P261" s="74">
        <f>N261</f>
        <v>5385700</v>
      </c>
      <c r="EB261" s="114"/>
      <c r="EC261" s="114"/>
      <c r="ED261" s="114"/>
      <c r="EE261" s="114"/>
      <c r="EF261" s="114"/>
      <c r="EG261" s="114"/>
    </row>
    <row r="262" spans="1:137" s="15" customFormat="1" ht="19.5" customHeight="1" hidden="1">
      <c r="A262" s="3" t="s">
        <v>77</v>
      </c>
      <c r="B262" s="4"/>
      <c r="C262" s="4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EB262" s="34"/>
      <c r="EC262" s="34"/>
      <c r="ED262" s="34"/>
      <c r="EE262" s="34"/>
      <c r="EF262" s="34"/>
      <c r="EG262" s="34"/>
    </row>
    <row r="263" spans="1:137" s="15" customFormat="1" ht="22.5" hidden="1">
      <c r="A263" s="6" t="s">
        <v>264</v>
      </c>
      <c r="B263" s="4"/>
      <c r="C263" s="4"/>
      <c r="D263" s="5">
        <f>4674800-3000000</f>
        <v>1674800</v>
      </c>
      <c r="E263" s="5"/>
      <c r="F263" s="5">
        <f>D263</f>
        <v>1674800</v>
      </c>
      <c r="G263" s="5">
        <v>4826500</v>
      </c>
      <c r="H263" s="5"/>
      <c r="I263" s="5"/>
      <c r="J263" s="5">
        <f>G263</f>
        <v>4826500</v>
      </c>
      <c r="K263" s="5"/>
      <c r="L263" s="5"/>
      <c r="M263" s="5"/>
      <c r="N263" s="5">
        <v>5385700</v>
      </c>
      <c r="O263" s="5"/>
      <c r="P263" s="5">
        <f>N263</f>
        <v>5385700</v>
      </c>
      <c r="EB263" s="34"/>
      <c r="EC263" s="34"/>
      <c r="ED263" s="34"/>
      <c r="EE263" s="34"/>
      <c r="EF263" s="34"/>
      <c r="EG263" s="34"/>
    </row>
    <row r="264" spans="1:137" s="15" customFormat="1" ht="11.25" hidden="1">
      <c r="A264" s="3" t="s">
        <v>231</v>
      </c>
      <c r="B264" s="4"/>
      <c r="C264" s="4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EB264" s="34"/>
      <c r="EC264" s="34"/>
      <c r="ED264" s="34"/>
      <c r="EE264" s="34"/>
      <c r="EF264" s="34"/>
      <c r="EG264" s="34"/>
    </row>
    <row r="265" spans="1:137" s="15" customFormat="1" ht="33.75" hidden="1">
      <c r="A265" s="50" t="s">
        <v>265</v>
      </c>
      <c r="B265" s="4"/>
      <c r="C265" s="4"/>
      <c r="D265" s="5">
        <v>36</v>
      </c>
      <c r="E265" s="5"/>
      <c r="F265" s="5">
        <f>D265</f>
        <v>36</v>
      </c>
      <c r="G265" s="5">
        <f>F265</f>
        <v>36</v>
      </c>
      <c r="H265" s="5"/>
      <c r="I265" s="5"/>
      <c r="J265" s="5">
        <f>G265</f>
        <v>36</v>
      </c>
      <c r="K265" s="5"/>
      <c r="L265" s="5"/>
      <c r="M265" s="5"/>
      <c r="N265" s="5">
        <v>36</v>
      </c>
      <c r="O265" s="5"/>
      <c r="P265" s="5">
        <f>N265</f>
        <v>36</v>
      </c>
      <c r="EB265" s="34"/>
      <c r="EC265" s="34"/>
      <c r="ED265" s="34"/>
      <c r="EE265" s="34"/>
      <c r="EF265" s="34"/>
      <c r="EG265" s="34"/>
    </row>
    <row r="266" spans="1:137" s="15" customFormat="1" ht="18" customHeight="1" hidden="1">
      <c r="A266" s="3" t="s">
        <v>226</v>
      </c>
      <c r="B266" s="4"/>
      <c r="C266" s="4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EB266" s="34"/>
      <c r="EC266" s="34"/>
      <c r="ED266" s="34"/>
      <c r="EE266" s="34"/>
      <c r="EF266" s="34"/>
      <c r="EG266" s="34"/>
    </row>
    <row r="267" spans="1:137" s="15" customFormat="1" ht="33.75" hidden="1">
      <c r="A267" s="6" t="s">
        <v>266</v>
      </c>
      <c r="B267" s="4"/>
      <c r="C267" s="4"/>
      <c r="D267" s="5">
        <f>D263/D265</f>
        <v>46522.22222222222</v>
      </c>
      <c r="E267" s="5"/>
      <c r="F267" s="5">
        <f>F263/F265</f>
        <v>46522.22222222222</v>
      </c>
      <c r="G267" s="5">
        <f>G263/G265</f>
        <v>134069.44444444444</v>
      </c>
      <c r="H267" s="5"/>
      <c r="I267" s="5"/>
      <c r="J267" s="5">
        <f>G267</f>
        <v>134069.44444444444</v>
      </c>
      <c r="K267" s="5"/>
      <c r="L267" s="5"/>
      <c r="M267" s="5"/>
      <c r="N267" s="5">
        <f>N263/N265</f>
        <v>149602.77777777778</v>
      </c>
      <c r="O267" s="5"/>
      <c r="P267" s="5">
        <f>N267</f>
        <v>149602.77777777778</v>
      </c>
      <c r="EB267" s="34"/>
      <c r="EC267" s="34"/>
      <c r="ED267" s="34"/>
      <c r="EE267" s="34"/>
      <c r="EF267" s="34"/>
      <c r="EG267" s="34"/>
    </row>
    <row r="268" spans="1:137" s="116" customFormat="1" ht="11.25" hidden="1">
      <c r="A268" s="85" t="s">
        <v>407</v>
      </c>
      <c r="B268" s="77"/>
      <c r="C268" s="77"/>
      <c r="D268" s="81">
        <f>D270</f>
        <v>4230300</v>
      </c>
      <c r="E268" s="81"/>
      <c r="F268" s="81">
        <f>D268</f>
        <v>4230300</v>
      </c>
      <c r="G268" s="81">
        <f>G270</f>
        <v>5928700</v>
      </c>
      <c r="H268" s="81"/>
      <c r="I268" s="81"/>
      <c r="J268" s="81">
        <f>G268</f>
        <v>5928700</v>
      </c>
      <c r="K268" s="81"/>
      <c r="L268" s="81"/>
      <c r="M268" s="81"/>
      <c r="N268" s="81">
        <f>N270</f>
        <v>6628300</v>
      </c>
      <c r="O268" s="81"/>
      <c r="P268" s="81">
        <f>N268</f>
        <v>6628300</v>
      </c>
      <c r="EB268" s="117"/>
      <c r="EC268" s="117"/>
      <c r="ED268" s="117"/>
      <c r="EE268" s="117"/>
      <c r="EF268" s="117"/>
      <c r="EG268" s="117"/>
    </row>
    <row r="269" spans="1:137" s="15" customFormat="1" ht="11.25" hidden="1">
      <c r="A269" s="3" t="s">
        <v>77</v>
      </c>
      <c r="B269" s="4"/>
      <c r="C269" s="4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EB269" s="34"/>
      <c r="EC269" s="34"/>
      <c r="ED269" s="34"/>
      <c r="EE269" s="34"/>
      <c r="EF269" s="34"/>
      <c r="EG269" s="34"/>
    </row>
    <row r="270" spans="1:137" s="15" customFormat="1" ht="22.5" hidden="1">
      <c r="A270" s="6" t="s">
        <v>267</v>
      </c>
      <c r="B270" s="4"/>
      <c r="C270" s="4"/>
      <c r="D270" s="5">
        <f>5251300-1021000</f>
        <v>4230300</v>
      </c>
      <c r="E270" s="5"/>
      <c r="F270" s="5">
        <f>D270</f>
        <v>4230300</v>
      </c>
      <c r="G270" s="5">
        <v>5928700</v>
      </c>
      <c r="H270" s="5"/>
      <c r="I270" s="5"/>
      <c r="J270" s="5">
        <f>G270</f>
        <v>5928700</v>
      </c>
      <c r="K270" s="5"/>
      <c r="L270" s="5"/>
      <c r="M270" s="5"/>
      <c r="N270" s="5">
        <v>6628300</v>
      </c>
      <c r="O270" s="5"/>
      <c r="P270" s="5">
        <f>N270</f>
        <v>6628300</v>
      </c>
      <c r="EB270" s="34"/>
      <c r="EC270" s="34"/>
      <c r="ED270" s="34"/>
      <c r="EE270" s="34"/>
      <c r="EF270" s="34"/>
      <c r="EG270" s="34"/>
    </row>
    <row r="271" spans="1:137" s="15" customFormat="1" ht="11.25" hidden="1">
      <c r="A271" s="3" t="s">
        <v>231</v>
      </c>
      <c r="B271" s="4"/>
      <c r="C271" s="4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EB271" s="34"/>
      <c r="EC271" s="34"/>
      <c r="ED271" s="34"/>
      <c r="EE271" s="34"/>
      <c r="EF271" s="34"/>
      <c r="EG271" s="34"/>
    </row>
    <row r="272" spans="1:137" s="15" customFormat="1" ht="11.25" hidden="1">
      <c r="A272" s="6" t="s">
        <v>101</v>
      </c>
      <c r="B272" s="4"/>
      <c r="C272" s="4"/>
      <c r="D272" s="5">
        <v>1600</v>
      </c>
      <c r="E272" s="5"/>
      <c r="F272" s="5">
        <f>D272</f>
        <v>1600</v>
      </c>
      <c r="G272" s="5">
        <v>1600</v>
      </c>
      <c r="H272" s="5"/>
      <c r="I272" s="5"/>
      <c r="J272" s="5">
        <f>G272</f>
        <v>1600</v>
      </c>
      <c r="K272" s="5"/>
      <c r="L272" s="5"/>
      <c r="M272" s="5"/>
      <c r="N272" s="5">
        <f>J272</f>
        <v>1600</v>
      </c>
      <c r="O272" s="5"/>
      <c r="P272" s="5">
        <f>N272</f>
        <v>1600</v>
      </c>
      <c r="EB272" s="34"/>
      <c r="EC272" s="34"/>
      <c r="ED272" s="34"/>
      <c r="EE272" s="34"/>
      <c r="EF272" s="34"/>
      <c r="EG272" s="34"/>
    </row>
    <row r="273" spans="1:137" s="15" customFormat="1" ht="11.25" hidden="1">
      <c r="A273" s="3" t="s">
        <v>226</v>
      </c>
      <c r="B273" s="4"/>
      <c r="C273" s="4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EB273" s="34"/>
      <c r="EC273" s="34"/>
      <c r="ED273" s="34"/>
      <c r="EE273" s="34"/>
      <c r="EF273" s="34"/>
      <c r="EG273" s="34"/>
    </row>
    <row r="274" spans="1:137" s="15" customFormat="1" ht="11.25" hidden="1">
      <c r="A274" s="6" t="s">
        <v>268</v>
      </c>
      <c r="B274" s="4"/>
      <c r="C274" s="4"/>
      <c r="D274" s="5">
        <f>D270/D272</f>
        <v>2643.9375</v>
      </c>
      <c r="E274" s="5"/>
      <c r="F274" s="5">
        <f>D274</f>
        <v>2643.9375</v>
      </c>
      <c r="G274" s="5">
        <f>G270/G272</f>
        <v>3705.4375</v>
      </c>
      <c r="H274" s="5"/>
      <c r="I274" s="5"/>
      <c r="J274" s="5">
        <f>G274</f>
        <v>3705.4375</v>
      </c>
      <c r="K274" s="5"/>
      <c r="L274" s="5"/>
      <c r="M274" s="5"/>
      <c r="N274" s="5">
        <f>N270/N272</f>
        <v>4142.6875</v>
      </c>
      <c r="O274" s="5"/>
      <c r="P274" s="5">
        <f>N274</f>
        <v>4142.6875</v>
      </c>
      <c r="EB274" s="34"/>
      <c r="EC274" s="34"/>
      <c r="ED274" s="34"/>
      <c r="EE274" s="34"/>
      <c r="EF274" s="34"/>
      <c r="EG274" s="34"/>
    </row>
    <row r="275" spans="1:137" s="116" customFormat="1" ht="11.25" hidden="1">
      <c r="A275" s="85" t="s">
        <v>408</v>
      </c>
      <c r="B275" s="77"/>
      <c r="C275" s="77"/>
      <c r="D275" s="81">
        <f>D277</f>
        <v>209000</v>
      </c>
      <c r="E275" s="81"/>
      <c r="F275" s="81">
        <f>D275</f>
        <v>209000</v>
      </c>
      <c r="G275" s="81">
        <f>G277</f>
        <v>406100</v>
      </c>
      <c r="H275" s="81"/>
      <c r="I275" s="81"/>
      <c r="J275" s="81">
        <f>G275</f>
        <v>406100</v>
      </c>
      <c r="K275" s="81"/>
      <c r="L275" s="81"/>
      <c r="M275" s="81"/>
      <c r="N275" s="81">
        <f>N277</f>
        <v>454000</v>
      </c>
      <c r="O275" s="81"/>
      <c r="P275" s="81">
        <f>N275</f>
        <v>454000</v>
      </c>
      <c r="EB275" s="117"/>
      <c r="EC275" s="117"/>
      <c r="ED275" s="117"/>
      <c r="EE275" s="117"/>
      <c r="EF275" s="117"/>
      <c r="EG275" s="117"/>
    </row>
    <row r="276" spans="1:137" s="15" customFormat="1" ht="11.25" hidden="1">
      <c r="A276" s="3" t="s">
        <v>77</v>
      </c>
      <c r="B276" s="4"/>
      <c r="C276" s="4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EB276" s="34"/>
      <c r="EC276" s="34"/>
      <c r="ED276" s="34"/>
      <c r="EE276" s="34"/>
      <c r="EF276" s="34"/>
      <c r="EG276" s="34"/>
    </row>
    <row r="277" spans="1:137" s="15" customFormat="1" ht="22.5" hidden="1">
      <c r="A277" s="6" t="s">
        <v>269</v>
      </c>
      <c r="B277" s="4"/>
      <c r="C277" s="4"/>
      <c r="D277" s="5">
        <f>359700-150700</f>
        <v>209000</v>
      </c>
      <c r="E277" s="5"/>
      <c r="F277" s="5">
        <f>D277</f>
        <v>209000</v>
      </c>
      <c r="G277" s="5">
        <v>406100</v>
      </c>
      <c r="H277" s="5"/>
      <c r="I277" s="5"/>
      <c r="J277" s="5">
        <f>G277</f>
        <v>406100</v>
      </c>
      <c r="K277" s="5"/>
      <c r="L277" s="5"/>
      <c r="M277" s="5"/>
      <c r="N277" s="5">
        <v>454000</v>
      </c>
      <c r="O277" s="5"/>
      <c r="P277" s="5">
        <f>N277</f>
        <v>454000</v>
      </c>
      <c r="EB277" s="34"/>
      <c r="EC277" s="34"/>
      <c r="ED277" s="34"/>
      <c r="EE277" s="34"/>
      <c r="EF277" s="34"/>
      <c r="EG277" s="34"/>
    </row>
    <row r="278" spans="1:137" s="15" customFormat="1" ht="11.25" hidden="1">
      <c r="A278" s="3" t="s">
        <v>231</v>
      </c>
      <c r="B278" s="4"/>
      <c r="C278" s="4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EB278" s="34"/>
      <c r="EC278" s="34"/>
      <c r="ED278" s="34"/>
      <c r="EE278" s="34"/>
      <c r="EF278" s="34"/>
      <c r="EG278" s="34"/>
    </row>
    <row r="279" spans="1:137" s="15" customFormat="1" ht="11.25" hidden="1">
      <c r="A279" s="6" t="s">
        <v>159</v>
      </c>
      <c r="B279" s="4"/>
      <c r="C279" s="4"/>
      <c r="D279" s="5">
        <v>89</v>
      </c>
      <c r="E279" s="5"/>
      <c r="F279" s="5">
        <f>D279</f>
        <v>89</v>
      </c>
      <c r="G279" s="5">
        <v>90</v>
      </c>
      <c r="H279" s="5"/>
      <c r="I279" s="5"/>
      <c r="J279" s="5">
        <f>G279</f>
        <v>90</v>
      </c>
      <c r="K279" s="5"/>
      <c r="L279" s="5"/>
      <c r="M279" s="5"/>
      <c r="N279" s="5">
        <v>90</v>
      </c>
      <c r="O279" s="5"/>
      <c r="P279" s="5">
        <v>90</v>
      </c>
      <c r="EB279" s="34"/>
      <c r="EC279" s="34"/>
      <c r="ED279" s="34"/>
      <c r="EE279" s="34"/>
      <c r="EF279" s="34"/>
      <c r="EG279" s="34"/>
    </row>
    <row r="280" spans="1:137" s="15" customFormat="1" ht="11.25" hidden="1">
      <c r="A280" s="3" t="s">
        <v>226</v>
      </c>
      <c r="B280" s="4"/>
      <c r="C280" s="4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EB280" s="34"/>
      <c r="EC280" s="34"/>
      <c r="ED280" s="34"/>
      <c r="EE280" s="34"/>
      <c r="EF280" s="34"/>
      <c r="EG280" s="34"/>
    </row>
    <row r="281" spans="1:137" s="15" customFormat="1" ht="11.25" hidden="1">
      <c r="A281" s="6" t="s">
        <v>108</v>
      </c>
      <c r="B281" s="4"/>
      <c r="C281" s="4"/>
      <c r="D281" s="5">
        <f>D277/D279</f>
        <v>2348.3146067415732</v>
      </c>
      <c r="E281" s="5"/>
      <c r="F281" s="5">
        <f>D281</f>
        <v>2348.3146067415732</v>
      </c>
      <c r="G281" s="5">
        <f>G277/G279</f>
        <v>4512.222222222223</v>
      </c>
      <c r="H281" s="5"/>
      <c r="I281" s="5"/>
      <c r="J281" s="5">
        <f>G281</f>
        <v>4512.222222222223</v>
      </c>
      <c r="K281" s="5"/>
      <c r="L281" s="5"/>
      <c r="M281" s="5"/>
      <c r="N281" s="5">
        <f>N277/N279</f>
        <v>5044.444444444444</v>
      </c>
      <c r="O281" s="5"/>
      <c r="P281" s="5">
        <f>N281</f>
        <v>5044.444444444444</v>
      </c>
      <c r="EB281" s="34"/>
      <c r="EC281" s="34"/>
      <c r="ED281" s="34"/>
      <c r="EE281" s="34"/>
      <c r="EF281" s="34"/>
      <c r="EG281" s="34"/>
    </row>
    <row r="282" spans="1:137" s="116" customFormat="1" ht="24" customHeight="1" hidden="1">
      <c r="A282" s="85" t="s">
        <v>409</v>
      </c>
      <c r="B282" s="77"/>
      <c r="C282" s="77"/>
      <c r="D282" s="81">
        <f>D284</f>
        <v>50000</v>
      </c>
      <c r="E282" s="81"/>
      <c r="F282" s="81">
        <f>D282</f>
        <v>50000</v>
      </c>
      <c r="G282" s="81">
        <f>G284</f>
        <v>64000</v>
      </c>
      <c r="H282" s="81"/>
      <c r="I282" s="81"/>
      <c r="J282" s="81">
        <f>G282</f>
        <v>64000</v>
      </c>
      <c r="K282" s="81"/>
      <c r="L282" s="81"/>
      <c r="M282" s="81"/>
      <c r="N282" s="81">
        <f>N284</f>
        <v>67800</v>
      </c>
      <c r="O282" s="81"/>
      <c r="P282" s="81">
        <f>N282</f>
        <v>67800</v>
      </c>
      <c r="EB282" s="117"/>
      <c r="EC282" s="117"/>
      <c r="ED282" s="117"/>
      <c r="EE282" s="117"/>
      <c r="EF282" s="117"/>
      <c r="EG282" s="117"/>
    </row>
    <row r="283" spans="1:137" s="15" customFormat="1" ht="11.25" hidden="1">
      <c r="A283" s="3" t="s">
        <v>77</v>
      </c>
      <c r="B283" s="4"/>
      <c r="C283" s="4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EB283" s="34"/>
      <c r="EC283" s="34"/>
      <c r="ED283" s="34"/>
      <c r="EE283" s="34"/>
      <c r="EF283" s="34"/>
      <c r="EG283" s="34"/>
    </row>
    <row r="284" spans="1:137" s="15" customFormat="1" ht="21.75" customHeight="1" hidden="1">
      <c r="A284" s="6" t="s">
        <v>270</v>
      </c>
      <c r="B284" s="4"/>
      <c r="C284" s="4"/>
      <c r="D284" s="5">
        <f>D286*D288</f>
        <v>50000</v>
      </c>
      <c r="E284" s="5"/>
      <c r="F284" s="5">
        <f>D284</f>
        <v>50000</v>
      </c>
      <c r="G284" s="5">
        <f>G286*G288</f>
        <v>64000</v>
      </c>
      <c r="H284" s="5"/>
      <c r="I284" s="5"/>
      <c r="J284" s="5">
        <f>G284</f>
        <v>64000</v>
      </c>
      <c r="K284" s="5"/>
      <c r="L284" s="5"/>
      <c r="M284" s="5"/>
      <c r="N284" s="5">
        <f>N286*N288</f>
        <v>67800</v>
      </c>
      <c r="O284" s="5"/>
      <c r="P284" s="5">
        <f>N284</f>
        <v>67800</v>
      </c>
      <c r="EB284" s="34"/>
      <c r="EC284" s="34"/>
      <c r="ED284" s="34"/>
      <c r="EE284" s="34"/>
      <c r="EF284" s="34"/>
      <c r="EG284" s="34"/>
    </row>
    <row r="285" spans="1:137" s="15" customFormat="1" ht="14.25" customHeight="1" hidden="1">
      <c r="A285" s="3" t="s">
        <v>231</v>
      </c>
      <c r="B285" s="4"/>
      <c r="C285" s="4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EB285" s="34"/>
      <c r="EC285" s="34"/>
      <c r="ED285" s="34"/>
      <c r="EE285" s="34"/>
      <c r="EF285" s="34"/>
      <c r="EG285" s="34"/>
    </row>
    <row r="286" spans="1:137" s="15" customFormat="1" ht="15.75" customHeight="1" hidden="1">
      <c r="A286" s="6" t="s">
        <v>271</v>
      </c>
      <c r="B286" s="4"/>
      <c r="C286" s="4"/>
      <c r="D286" s="5">
        <v>4</v>
      </c>
      <c r="E286" s="5"/>
      <c r="F286" s="5">
        <f>D286</f>
        <v>4</v>
      </c>
      <c r="G286" s="5">
        <v>4</v>
      </c>
      <c r="H286" s="5"/>
      <c r="I286" s="5"/>
      <c r="J286" s="5">
        <f>G286</f>
        <v>4</v>
      </c>
      <c r="K286" s="5"/>
      <c r="L286" s="5"/>
      <c r="M286" s="5"/>
      <c r="N286" s="5">
        <f>J286</f>
        <v>4</v>
      </c>
      <c r="O286" s="5"/>
      <c r="P286" s="5">
        <f>N286</f>
        <v>4</v>
      </c>
      <c r="EB286" s="34"/>
      <c r="EC286" s="34"/>
      <c r="ED286" s="34"/>
      <c r="EE286" s="34"/>
      <c r="EF286" s="34"/>
      <c r="EG286" s="34"/>
    </row>
    <row r="287" spans="1:137" s="15" customFormat="1" ht="15.75" customHeight="1" hidden="1">
      <c r="A287" s="3" t="s">
        <v>226</v>
      </c>
      <c r="B287" s="4"/>
      <c r="C287" s="4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EB287" s="34"/>
      <c r="EC287" s="34"/>
      <c r="ED287" s="34"/>
      <c r="EE287" s="34"/>
      <c r="EF287" s="34"/>
      <c r="EG287" s="34"/>
    </row>
    <row r="288" spans="1:137" s="15" customFormat="1" ht="21.75" customHeight="1" hidden="1">
      <c r="A288" s="6" t="s">
        <v>272</v>
      </c>
      <c r="B288" s="4"/>
      <c r="C288" s="4"/>
      <c r="D288" s="5">
        <v>12500</v>
      </c>
      <c r="E288" s="5"/>
      <c r="F288" s="5">
        <f>D288</f>
        <v>12500</v>
      </c>
      <c r="G288" s="5">
        <v>16000</v>
      </c>
      <c r="H288" s="5"/>
      <c r="I288" s="5"/>
      <c r="J288" s="5">
        <f>G288</f>
        <v>16000</v>
      </c>
      <c r="K288" s="5"/>
      <c r="L288" s="5"/>
      <c r="M288" s="5"/>
      <c r="N288" s="5">
        <v>16950</v>
      </c>
      <c r="O288" s="5"/>
      <c r="P288" s="5">
        <f>N288</f>
        <v>16950</v>
      </c>
      <c r="EB288" s="34"/>
      <c r="EC288" s="34"/>
      <c r="ED288" s="34"/>
      <c r="EE288" s="34"/>
      <c r="EF288" s="34"/>
      <c r="EG288" s="34"/>
    </row>
    <row r="289" spans="1:137" s="113" customFormat="1" ht="21.75" customHeight="1" hidden="1">
      <c r="A289" s="85" t="s">
        <v>410</v>
      </c>
      <c r="B289" s="73"/>
      <c r="C289" s="73"/>
      <c r="D289" s="81">
        <f>D291</f>
        <v>0</v>
      </c>
      <c r="E289" s="81"/>
      <c r="F289" s="81">
        <f>D289</f>
        <v>0</v>
      </c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EB289" s="114"/>
      <c r="EC289" s="114"/>
      <c r="ED289" s="114"/>
      <c r="EE289" s="114"/>
      <c r="EF289" s="114"/>
      <c r="EG289" s="114"/>
    </row>
    <row r="290" spans="1:137" s="15" customFormat="1" ht="11.25" hidden="1">
      <c r="A290" s="3" t="s">
        <v>77</v>
      </c>
      <c r="B290" s="4"/>
      <c r="C290" s="4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EB290" s="34"/>
      <c r="EC290" s="34"/>
      <c r="ED290" s="34"/>
      <c r="EE290" s="34"/>
      <c r="EF290" s="34"/>
      <c r="EG290" s="34"/>
    </row>
    <row r="291" spans="1:137" s="15" customFormat="1" ht="16.5" customHeight="1" hidden="1">
      <c r="A291" s="6" t="s">
        <v>273</v>
      </c>
      <c r="B291" s="4"/>
      <c r="C291" s="4"/>
      <c r="D291" s="5">
        <f>280000-280000</f>
        <v>0</v>
      </c>
      <c r="E291" s="5"/>
      <c r="F291" s="5">
        <f>D291</f>
        <v>0</v>
      </c>
      <c r="G291" s="5"/>
      <c r="H291" s="5"/>
      <c r="I291" s="5"/>
      <c r="J291" s="5"/>
      <c r="K291" s="5"/>
      <c r="L291" s="5"/>
      <c r="M291" s="5"/>
      <c r="N291" s="5"/>
      <c r="O291" s="5"/>
      <c r="P291" s="5"/>
      <c r="EB291" s="34"/>
      <c r="EC291" s="34"/>
      <c r="ED291" s="34"/>
      <c r="EE291" s="34"/>
      <c r="EF291" s="34"/>
      <c r="EG291" s="34"/>
    </row>
    <row r="292" spans="1:137" s="15" customFormat="1" ht="11.25" hidden="1">
      <c r="A292" s="3" t="s">
        <v>231</v>
      </c>
      <c r="B292" s="4"/>
      <c r="C292" s="4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EB292" s="34"/>
      <c r="EC292" s="34"/>
      <c r="ED292" s="34"/>
      <c r="EE292" s="34"/>
      <c r="EF292" s="34"/>
      <c r="EG292" s="34"/>
    </row>
    <row r="293" spans="1:137" s="15" customFormat="1" ht="11.25" hidden="1">
      <c r="A293" s="6" t="s">
        <v>271</v>
      </c>
      <c r="B293" s="4"/>
      <c r="C293" s="4"/>
      <c r="D293" s="5">
        <v>0</v>
      </c>
      <c r="E293" s="5"/>
      <c r="F293" s="5">
        <f>D293</f>
        <v>0</v>
      </c>
      <c r="G293" s="5"/>
      <c r="H293" s="5"/>
      <c r="I293" s="5"/>
      <c r="J293" s="5"/>
      <c r="K293" s="5"/>
      <c r="L293" s="5"/>
      <c r="M293" s="5"/>
      <c r="N293" s="5"/>
      <c r="O293" s="5"/>
      <c r="P293" s="5"/>
      <c r="EB293" s="34"/>
      <c r="EC293" s="34"/>
      <c r="ED293" s="34"/>
      <c r="EE293" s="34"/>
      <c r="EF293" s="34"/>
      <c r="EG293" s="34"/>
    </row>
    <row r="294" spans="1:137" s="15" customFormat="1" ht="11.25" hidden="1">
      <c r="A294" s="3" t="s">
        <v>226</v>
      </c>
      <c r="B294" s="4"/>
      <c r="C294" s="4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EB294" s="34"/>
      <c r="EC294" s="34"/>
      <c r="ED294" s="34"/>
      <c r="EE294" s="34"/>
      <c r="EF294" s="34"/>
      <c r="EG294" s="34"/>
    </row>
    <row r="295" spans="1:137" s="15" customFormat="1" ht="11.25" hidden="1">
      <c r="A295" s="6" t="s">
        <v>274</v>
      </c>
      <c r="B295" s="4"/>
      <c r="C295" s="4"/>
      <c r="D295" s="5" t="e">
        <f>D291/D293</f>
        <v>#DIV/0!</v>
      </c>
      <c r="E295" s="5"/>
      <c r="F295" s="5" t="e">
        <f>D295</f>
        <v>#DIV/0!</v>
      </c>
      <c r="G295" s="5"/>
      <c r="H295" s="5"/>
      <c r="I295" s="5"/>
      <c r="J295" s="5"/>
      <c r="K295" s="5"/>
      <c r="L295" s="5"/>
      <c r="M295" s="5"/>
      <c r="N295" s="5"/>
      <c r="O295" s="5"/>
      <c r="P295" s="5"/>
      <c r="EB295" s="34"/>
      <c r="EC295" s="34"/>
      <c r="ED295" s="34"/>
      <c r="EE295" s="34"/>
      <c r="EF295" s="34"/>
      <c r="EG295" s="34"/>
    </row>
    <row r="296" spans="1:137" s="15" customFormat="1" ht="24.75" customHeight="1" hidden="1">
      <c r="A296" s="85" t="s">
        <v>509</v>
      </c>
      <c r="B296" s="4"/>
      <c r="C296" s="4"/>
      <c r="D296" s="24">
        <f>D298</f>
        <v>50000</v>
      </c>
      <c r="E296" s="24"/>
      <c r="F296" s="24">
        <f>D296+E296</f>
        <v>50000</v>
      </c>
      <c r="G296" s="5"/>
      <c r="H296" s="5"/>
      <c r="I296" s="5"/>
      <c r="J296" s="5"/>
      <c r="K296" s="5"/>
      <c r="L296" s="5"/>
      <c r="M296" s="5"/>
      <c r="N296" s="5"/>
      <c r="O296" s="5"/>
      <c r="P296" s="5"/>
      <c r="EB296" s="34"/>
      <c r="EC296" s="34"/>
      <c r="ED296" s="34"/>
      <c r="EE296" s="34"/>
      <c r="EF296" s="34"/>
      <c r="EG296" s="34"/>
    </row>
    <row r="297" spans="1:137" s="15" customFormat="1" ht="11.25" hidden="1">
      <c r="A297" s="3" t="s">
        <v>77</v>
      </c>
      <c r="B297" s="4"/>
      <c r="C297" s="4"/>
      <c r="D297" s="5"/>
      <c r="E297" s="5"/>
      <c r="F297" s="5">
        <f aca="true" t="shared" si="23" ref="F297:F302">D297+E297</f>
        <v>0</v>
      </c>
      <c r="G297" s="5"/>
      <c r="H297" s="5"/>
      <c r="I297" s="5"/>
      <c r="J297" s="5"/>
      <c r="K297" s="5"/>
      <c r="L297" s="5"/>
      <c r="M297" s="5"/>
      <c r="N297" s="5"/>
      <c r="O297" s="5"/>
      <c r="P297" s="5"/>
      <c r="EB297" s="34"/>
      <c r="EC297" s="34"/>
      <c r="ED297" s="34"/>
      <c r="EE297" s="34"/>
      <c r="EF297" s="34"/>
      <c r="EG297" s="34"/>
    </row>
    <row r="298" spans="1:137" s="15" customFormat="1" ht="21.75" customHeight="1" hidden="1">
      <c r="A298" s="6" t="s">
        <v>353</v>
      </c>
      <c r="B298" s="4"/>
      <c r="C298" s="4"/>
      <c r="D298" s="5">
        <f>D300*D302</f>
        <v>50000</v>
      </c>
      <c r="E298" s="5"/>
      <c r="F298" s="5">
        <f t="shared" si="23"/>
        <v>50000</v>
      </c>
      <c r="G298" s="5"/>
      <c r="H298" s="5"/>
      <c r="I298" s="5"/>
      <c r="J298" s="5"/>
      <c r="K298" s="5"/>
      <c r="L298" s="5"/>
      <c r="M298" s="5"/>
      <c r="N298" s="5"/>
      <c r="O298" s="5"/>
      <c r="P298" s="5"/>
      <c r="EB298" s="34"/>
      <c r="EC298" s="34"/>
      <c r="ED298" s="34"/>
      <c r="EE298" s="34"/>
      <c r="EF298" s="34"/>
      <c r="EG298" s="34"/>
    </row>
    <row r="299" spans="1:137" s="15" customFormat="1" ht="11.25" hidden="1">
      <c r="A299" s="3" t="s">
        <v>231</v>
      </c>
      <c r="B299" s="4"/>
      <c r="C299" s="4"/>
      <c r="D299" s="5"/>
      <c r="E299" s="5"/>
      <c r="F299" s="5">
        <f t="shared" si="23"/>
        <v>0</v>
      </c>
      <c r="G299" s="5"/>
      <c r="H299" s="5"/>
      <c r="I299" s="5"/>
      <c r="J299" s="5"/>
      <c r="K299" s="5"/>
      <c r="L299" s="5"/>
      <c r="M299" s="5"/>
      <c r="N299" s="5"/>
      <c r="O299" s="5"/>
      <c r="P299" s="5"/>
      <c r="EB299" s="34"/>
      <c r="EC299" s="34"/>
      <c r="ED299" s="34"/>
      <c r="EE299" s="34"/>
      <c r="EF299" s="34"/>
      <c r="EG299" s="34"/>
    </row>
    <row r="300" spans="1:137" s="15" customFormat="1" ht="11.25" hidden="1">
      <c r="A300" s="6" t="s">
        <v>354</v>
      </c>
      <c r="B300" s="4"/>
      <c r="C300" s="4"/>
      <c r="D300" s="5">
        <v>1</v>
      </c>
      <c r="E300" s="5"/>
      <c r="F300" s="5">
        <f t="shared" si="23"/>
        <v>1</v>
      </c>
      <c r="G300" s="5"/>
      <c r="H300" s="5"/>
      <c r="I300" s="5"/>
      <c r="J300" s="5"/>
      <c r="K300" s="5"/>
      <c r="L300" s="5"/>
      <c r="M300" s="5"/>
      <c r="N300" s="5"/>
      <c r="O300" s="5"/>
      <c r="P300" s="5"/>
      <c r="EB300" s="34"/>
      <c r="EC300" s="34"/>
      <c r="ED300" s="34"/>
      <c r="EE300" s="34"/>
      <c r="EF300" s="34"/>
      <c r="EG300" s="34"/>
    </row>
    <row r="301" spans="1:137" s="15" customFormat="1" ht="11.25" hidden="1">
      <c r="A301" s="3" t="s">
        <v>226</v>
      </c>
      <c r="B301" s="4"/>
      <c r="C301" s="4"/>
      <c r="D301" s="5"/>
      <c r="E301" s="5"/>
      <c r="F301" s="5">
        <f t="shared" si="23"/>
        <v>0</v>
      </c>
      <c r="G301" s="5"/>
      <c r="H301" s="5"/>
      <c r="I301" s="5"/>
      <c r="J301" s="5"/>
      <c r="K301" s="5"/>
      <c r="L301" s="5"/>
      <c r="M301" s="5"/>
      <c r="N301" s="5"/>
      <c r="O301" s="5"/>
      <c r="P301" s="5"/>
      <c r="EB301" s="34"/>
      <c r="EC301" s="34"/>
      <c r="ED301" s="34"/>
      <c r="EE301" s="34"/>
      <c r="EF301" s="34"/>
      <c r="EG301" s="34"/>
    </row>
    <row r="302" spans="1:137" s="15" customFormat="1" ht="21.75" customHeight="1" hidden="1">
      <c r="A302" s="6" t="s">
        <v>355</v>
      </c>
      <c r="B302" s="4"/>
      <c r="C302" s="4"/>
      <c r="D302" s="5">
        <v>50000</v>
      </c>
      <c r="E302" s="5"/>
      <c r="F302" s="5">
        <f t="shared" si="23"/>
        <v>50000</v>
      </c>
      <c r="G302" s="5"/>
      <c r="H302" s="5"/>
      <c r="I302" s="5"/>
      <c r="J302" s="5"/>
      <c r="K302" s="5"/>
      <c r="L302" s="5"/>
      <c r="M302" s="5"/>
      <c r="N302" s="5"/>
      <c r="O302" s="5"/>
      <c r="P302" s="5"/>
      <c r="EB302" s="34"/>
      <c r="EC302" s="34"/>
      <c r="ED302" s="34"/>
      <c r="EE302" s="34"/>
      <c r="EF302" s="34"/>
      <c r="EG302" s="34"/>
    </row>
    <row r="303" spans="1:137" s="116" customFormat="1" ht="24.75" customHeight="1" hidden="1">
      <c r="A303" s="85" t="s">
        <v>510</v>
      </c>
      <c r="B303" s="77"/>
      <c r="C303" s="77"/>
      <c r="D303" s="81"/>
      <c r="E303" s="81">
        <f>E305</f>
        <v>0</v>
      </c>
      <c r="F303" s="81">
        <f>E303</f>
        <v>0</v>
      </c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EB303" s="117"/>
      <c r="EC303" s="117"/>
      <c r="ED303" s="117"/>
      <c r="EE303" s="117"/>
      <c r="EF303" s="117"/>
      <c r="EG303" s="117"/>
    </row>
    <row r="304" spans="1:137" s="15" customFormat="1" ht="11.25" hidden="1">
      <c r="A304" s="3" t="s">
        <v>77</v>
      </c>
      <c r="B304" s="4"/>
      <c r="C304" s="4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EB304" s="34"/>
      <c r="EC304" s="34"/>
      <c r="ED304" s="34"/>
      <c r="EE304" s="34"/>
      <c r="EF304" s="34"/>
      <c r="EG304" s="34"/>
    </row>
    <row r="305" spans="1:137" s="15" customFormat="1" ht="21.75" customHeight="1" hidden="1">
      <c r="A305" s="6" t="s">
        <v>353</v>
      </c>
      <c r="B305" s="4"/>
      <c r="C305" s="4"/>
      <c r="D305" s="5"/>
      <c r="E305" s="5">
        <f>150000-50000-100000</f>
        <v>0</v>
      </c>
      <c r="F305" s="5">
        <f>E305</f>
        <v>0</v>
      </c>
      <c r="G305" s="5"/>
      <c r="H305" s="5"/>
      <c r="I305" s="5"/>
      <c r="J305" s="5"/>
      <c r="K305" s="5"/>
      <c r="L305" s="5"/>
      <c r="M305" s="5"/>
      <c r="N305" s="5"/>
      <c r="O305" s="5"/>
      <c r="P305" s="5"/>
      <c r="EB305" s="34"/>
      <c r="EC305" s="34"/>
      <c r="ED305" s="34"/>
      <c r="EE305" s="34"/>
      <c r="EF305" s="34"/>
      <c r="EG305" s="34"/>
    </row>
    <row r="306" spans="1:137" s="15" customFormat="1" ht="21.75" customHeight="1" hidden="1">
      <c r="A306" s="3" t="s">
        <v>231</v>
      </c>
      <c r="B306" s="4"/>
      <c r="C306" s="4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EB306" s="34"/>
      <c r="EC306" s="34"/>
      <c r="ED306" s="34"/>
      <c r="EE306" s="34"/>
      <c r="EF306" s="34"/>
      <c r="EG306" s="34"/>
    </row>
    <row r="307" spans="1:137" s="15" customFormat="1" ht="11.25" hidden="1">
      <c r="A307" s="6" t="s">
        <v>354</v>
      </c>
      <c r="B307" s="4"/>
      <c r="C307" s="4"/>
      <c r="D307" s="5"/>
      <c r="E307" s="5">
        <v>0</v>
      </c>
      <c r="F307" s="5">
        <f>E307</f>
        <v>0</v>
      </c>
      <c r="G307" s="5"/>
      <c r="H307" s="5"/>
      <c r="I307" s="5"/>
      <c r="J307" s="5"/>
      <c r="K307" s="5"/>
      <c r="L307" s="5"/>
      <c r="M307" s="5"/>
      <c r="N307" s="5"/>
      <c r="O307" s="5"/>
      <c r="P307" s="5"/>
      <c r="EB307" s="34"/>
      <c r="EC307" s="34"/>
      <c r="ED307" s="34"/>
      <c r="EE307" s="34"/>
      <c r="EF307" s="34"/>
      <c r="EG307" s="34"/>
    </row>
    <row r="308" spans="1:137" s="15" customFormat="1" ht="11.25" hidden="1">
      <c r="A308" s="3" t="s">
        <v>226</v>
      </c>
      <c r="B308" s="4"/>
      <c r="C308" s="4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EB308" s="34"/>
      <c r="EC308" s="34"/>
      <c r="ED308" s="34"/>
      <c r="EE308" s="34"/>
      <c r="EF308" s="34"/>
      <c r="EG308" s="34"/>
    </row>
    <row r="309" spans="1:137" s="15" customFormat="1" ht="11.25" hidden="1">
      <c r="A309" s="6" t="s">
        <v>355</v>
      </c>
      <c r="B309" s="4"/>
      <c r="C309" s="4"/>
      <c r="D309" s="5"/>
      <c r="E309" s="5">
        <v>0</v>
      </c>
      <c r="F309" s="5">
        <f>E309</f>
        <v>0</v>
      </c>
      <c r="G309" s="5"/>
      <c r="H309" s="5"/>
      <c r="I309" s="5"/>
      <c r="J309" s="5"/>
      <c r="K309" s="5"/>
      <c r="L309" s="5"/>
      <c r="M309" s="5"/>
      <c r="N309" s="5"/>
      <c r="O309" s="5"/>
      <c r="P309" s="5"/>
      <c r="EB309" s="34"/>
      <c r="EC309" s="34"/>
      <c r="ED309" s="34"/>
      <c r="EE309" s="34"/>
      <c r="EF309" s="34"/>
      <c r="EG309" s="34"/>
    </row>
    <row r="310" spans="1:137" s="196" customFormat="1" ht="53.25" customHeight="1" hidden="1">
      <c r="A310" s="194" t="s">
        <v>520</v>
      </c>
      <c r="B310" s="195"/>
      <c r="C310" s="195"/>
      <c r="D310" s="193">
        <f>D311+D318+D325+D332+D339+D346</f>
        <v>7011500</v>
      </c>
      <c r="E310" s="193">
        <f aca="true" t="shared" si="24" ref="E310:P310">E311+E318+E325+E332+E339+E346</f>
        <v>0</v>
      </c>
      <c r="F310" s="193">
        <f t="shared" si="24"/>
        <v>7011500</v>
      </c>
      <c r="G310" s="193">
        <f t="shared" si="24"/>
        <v>10971100</v>
      </c>
      <c r="H310" s="193">
        <f t="shared" si="24"/>
        <v>0</v>
      </c>
      <c r="I310" s="193">
        <f t="shared" si="24"/>
        <v>0</v>
      </c>
      <c r="J310" s="193">
        <f t="shared" si="24"/>
        <v>10971100</v>
      </c>
      <c r="K310" s="193">
        <f t="shared" si="24"/>
        <v>0</v>
      </c>
      <c r="L310" s="193">
        <f t="shared" si="24"/>
        <v>0</v>
      </c>
      <c r="M310" s="193">
        <f t="shared" si="24"/>
        <v>0</v>
      </c>
      <c r="N310" s="193">
        <f t="shared" si="24"/>
        <v>11611300</v>
      </c>
      <c r="O310" s="193">
        <f t="shared" si="24"/>
        <v>0</v>
      </c>
      <c r="P310" s="193">
        <f t="shared" si="24"/>
        <v>11611300</v>
      </c>
      <c r="EB310" s="197"/>
      <c r="EC310" s="197"/>
      <c r="ED310" s="197"/>
      <c r="EE310" s="197"/>
      <c r="EF310" s="197"/>
      <c r="EG310" s="197"/>
    </row>
    <row r="311" spans="1:137" s="116" customFormat="1" ht="56.25" hidden="1">
      <c r="A311" s="85" t="s">
        <v>411</v>
      </c>
      <c r="B311" s="77"/>
      <c r="C311" s="77"/>
      <c r="D311" s="81">
        <f>D313</f>
        <v>788000</v>
      </c>
      <c r="E311" s="81"/>
      <c r="F311" s="81">
        <f>D311</f>
        <v>788000</v>
      </c>
      <c r="G311" s="81">
        <f>G313</f>
        <v>1651700</v>
      </c>
      <c r="H311" s="81"/>
      <c r="I311" s="81"/>
      <c r="J311" s="81">
        <f>G311</f>
        <v>1651700</v>
      </c>
      <c r="K311" s="81"/>
      <c r="L311" s="81"/>
      <c r="M311" s="81"/>
      <c r="N311" s="81">
        <f>N313</f>
        <v>1750800</v>
      </c>
      <c r="O311" s="81"/>
      <c r="P311" s="81">
        <f>N311</f>
        <v>1750800</v>
      </c>
      <c r="EB311" s="117"/>
      <c r="EC311" s="117"/>
      <c r="ED311" s="117"/>
      <c r="EE311" s="117"/>
      <c r="EF311" s="117"/>
      <c r="EG311" s="117"/>
    </row>
    <row r="312" spans="1:137" s="113" customFormat="1" ht="17.25" customHeight="1" hidden="1">
      <c r="A312" s="3" t="s">
        <v>77</v>
      </c>
      <c r="B312" s="112"/>
      <c r="C312" s="112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EB312" s="114"/>
      <c r="EC312" s="114"/>
      <c r="ED312" s="114"/>
      <c r="EE312" s="114"/>
      <c r="EF312" s="114"/>
      <c r="EG312" s="114"/>
    </row>
    <row r="313" spans="1:137" s="113" customFormat="1" ht="38.25" customHeight="1" hidden="1">
      <c r="A313" s="6" t="s">
        <v>276</v>
      </c>
      <c r="B313" s="112"/>
      <c r="C313" s="112"/>
      <c r="D313" s="74">
        <f>1548000-760000</f>
        <v>788000</v>
      </c>
      <c r="E313" s="74"/>
      <c r="F313" s="74">
        <f>D313</f>
        <v>788000</v>
      </c>
      <c r="G313" s="74">
        <v>1651700</v>
      </c>
      <c r="H313" s="74"/>
      <c r="I313" s="74"/>
      <c r="J313" s="74">
        <f>G313</f>
        <v>1651700</v>
      </c>
      <c r="K313" s="74"/>
      <c r="L313" s="74"/>
      <c r="M313" s="74"/>
      <c r="N313" s="74">
        <v>1750800</v>
      </c>
      <c r="O313" s="74"/>
      <c r="P313" s="74">
        <f>N313</f>
        <v>1750800</v>
      </c>
      <c r="EB313" s="114"/>
      <c r="EC313" s="114"/>
      <c r="ED313" s="114"/>
      <c r="EE313" s="114"/>
      <c r="EF313" s="114"/>
      <c r="EG313" s="114"/>
    </row>
    <row r="314" spans="1:137" s="113" customFormat="1" ht="16.5" customHeight="1" hidden="1">
      <c r="A314" s="3" t="s">
        <v>275</v>
      </c>
      <c r="B314" s="112"/>
      <c r="C314" s="112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EB314" s="114"/>
      <c r="EC314" s="114"/>
      <c r="ED314" s="114"/>
      <c r="EE314" s="114"/>
      <c r="EF314" s="114"/>
      <c r="EG314" s="114"/>
    </row>
    <row r="315" spans="1:137" s="113" customFormat="1" ht="38.25" customHeight="1" hidden="1">
      <c r="A315" s="6" t="s">
        <v>123</v>
      </c>
      <c r="B315" s="112"/>
      <c r="C315" s="112"/>
      <c r="D315" s="74">
        <v>155760</v>
      </c>
      <c r="E315" s="74"/>
      <c r="F315" s="74">
        <f>D315</f>
        <v>155760</v>
      </c>
      <c r="G315" s="74">
        <v>155760</v>
      </c>
      <c r="H315" s="74"/>
      <c r="I315" s="74"/>
      <c r="J315" s="74">
        <f>G315</f>
        <v>155760</v>
      </c>
      <c r="K315" s="74"/>
      <c r="L315" s="74"/>
      <c r="M315" s="74"/>
      <c r="N315" s="74">
        <v>155760</v>
      </c>
      <c r="O315" s="74"/>
      <c r="P315" s="74">
        <f>N315</f>
        <v>155760</v>
      </c>
      <c r="EB315" s="114"/>
      <c r="EC315" s="114"/>
      <c r="ED315" s="114"/>
      <c r="EE315" s="114"/>
      <c r="EF315" s="114"/>
      <c r="EG315" s="114"/>
    </row>
    <row r="316" spans="1:137" s="113" customFormat="1" ht="17.25" customHeight="1" hidden="1">
      <c r="A316" s="3" t="s">
        <v>226</v>
      </c>
      <c r="B316" s="112"/>
      <c r="C316" s="112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EB316" s="114"/>
      <c r="EC316" s="114"/>
      <c r="ED316" s="114"/>
      <c r="EE316" s="114"/>
      <c r="EF316" s="114"/>
      <c r="EG316" s="114"/>
    </row>
    <row r="317" spans="1:137" s="113" customFormat="1" ht="38.25" customHeight="1" hidden="1">
      <c r="A317" s="6" t="s">
        <v>124</v>
      </c>
      <c r="B317" s="112"/>
      <c r="C317" s="112"/>
      <c r="D317" s="74">
        <f>D313/D315</f>
        <v>5.059065228556754</v>
      </c>
      <c r="E317" s="74"/>
      <c r="F317" s="74">
        <f>D317</f>
        <v>5.059065228556754</v>
      </c>
      <c r="G317" s="74">
        <f>G313/G315</f>
        <v>10.604134565998972</v>
      </c>
      <c r="H317" s="74"/>
      <c r="I317" s="74"/>
      <c r="J317" s="74">
        <f>G317</f>
        <v>10.604134565998972</v>
      </c>
      <c r="K317" s="74"/>
      <c r="L317" s="74"/>
      <c r="M317" s="74"/>
      <c r="N317" s="74">
        <f>N311/N315</f>
        <v>11.240369799691834</v>
      </c>
      <c r="O317" s="74"/>
      <c r="P317" s="74">
        <f>N317</f>
        <v>11.240369799691834</v>
      </c>
      <c r="EB317" s="114"/>
      <c r="EC317" s="114"/>
      <c r="ED317" s="114"/>
      <c r="EE317" s="114"/>
      <c r="EF317" s="114"/>
      <c r="EG317" s="114"/>
    </row>
    <row r="318" spans="1:137" s="116" customFormat="1" ht="42" customHeight="1" hidden="1">
      <c r="A318" s="85" t="s">
        <v>412</v>
      </c>
      <c r="B318" s="77"/>
      <c r="C318" s="77"/>
      <c r="D318" s="81">
        <f>D320</f>
        <v>3610000</v>
      </c>
      <c r="E318" s="81"/>
      <c r="F318" s="81">
        <f>D318</f>
        <v>3610000</v>
      </c>
      <c r="G318" s="81">
        <f>G320</f>
        <v>6519400</v>
      </c>
      <c r="H318" s="81"/>
      <c r="I318" s="81"/>
      <c r="J318" s="81">
        <f>G318</f>
        <v>6519400</v>
      </c>
      <c r="K318" s="81"/>
      <c r="L318" s="81"/>
      <c r="M318" s="81"/>
      <c r="N318" s="81">
        <f>N320</f>
        <v>6910500</v>
      </c>
      <c r="O318" s="81"/>
      <c r="P318" s="81">
        <f>N318</f>
        <v>6910500</v>
      </c>
      <c r="EB318" s="117"/>
      <c r="EC318" s="117"/>
      <c r="ED318" s="117"/>
      <c r="EE318" s="117"/>
      <c r="EF318" s="117"/>
      <c r="EG318" s="117"/>
    </row>
    <row r="319" spans="1:137" s="113" customFormat="1" ht="11.25" hidden="1">
      <c r="A319" s="3" t="s">
        <v>77</v>
      </c>
      <c r="B319" s="112"/>
      <c r="C319" s="112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EB319" s="114"/>
      <c r="EC319" s="114"/>
      <c r="ED319" s="114"/>
      <c r="EE319" s="114"/>
      <c r="EF319" s="114"/>
      <c r="EG319" s="114"/>
    </row>
    <row r="320" spans="1:137" s="113" customFormat="1" ht="38.25" customHeight="1" hidden="1">
      <c r="A320" s="6" t="s">
        <v>277</v>
      </c>
      <c r="B320" s="112"/>
      <c r="C320" s="112"/>
      <c r="D320" s="74">
        <f>6110000-2500000</f>
        <v>3610000</v>
      </c>
      <c r="E320" s="74"/>
      <c r="F320" s="74">
        <f>D320</f>
        <v>3610000</v>
      </c>
      <c r="G320" s="74">
        <v>6519400</v>
      </c>
      <c r="H320" s="74"/>
      <c r="I320" s="74"/>
      <c r="J320" s="74">
        <f>G320</f>
        <v>6519400</v>
      </c>
      <c r="K320" s="74"/>
      <c r="L320" s="74"/>
      <c r="M320" s="74"/>
      <c r="N320" s="74">
        <v>6910500</v>
      </c>
      <c r="O320" s="74"/>
      <c r="P320" s="74">
        <f>N320</f>
        <v>6910500</v>
      </c>
      <c r="EB320" s="114"/>
      <c r="EC320" s="114"/>
      <c r="ED320" s="114"/>
      <c r="EE320" s="114"/>
      <c r="EF320" s="114"/>
      <c r="EG320" s="114"/>
    </row>
    <row r="321" spans="1:137" s="113" customFormat="1" ht="11.25" hidden="1">
      <c r="A321" s="3" t="s">
        <v>275</v>
      </c>
      <c r="B321" s="112"/>
      <c r="C321" s="112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EB321" s="114"/>
      <c r="EC321" s="114"/>
      <c r="ED321" s="114"/>
      <c r="EE321" s="114"/>
      <c r="EF321" s="114"/>
      <c r="EG321" s="114"/>
    </row>
    <row r="322" spans="1:137" s="113" customFormat="1" ht="18.75" customHeight="1" hidden="1">
      <c r="A322" s="6" t="s">
        <v>278</v>
      </c>
      <c r="B322" s="112"/>
      <c r="C322" s="112"/>
      <c r="D322" s="74">
        <v>390</v>
      </c>
      <c r="E322" s="74"/>
      <c r="F322" s="74">
        <f>D322</f>
        <v>390</v>
      </c>
      <c r="G322" s="74">
        <f>F322</f>
        <v>390</v>
      </c>
      <c r="H322" s="74"/>
      <c r="I322" s="74"/>
      <c r="J322" s="74">
        <f>G322</f>
        <v>390</v>
      </c>
      <c r="K322" s="74"/>
      <c r="L322" s="74"/>
      <c r="M322" s="74"/>
      <c r="N322" s="74">
        <f>J322</f>
        <v>390</v>
      </c>
      <c r="O322" s="74"/>
      <c r="P322" s="74">
        <f>N322</f>
        <v>390</v>
      </c>
      <c r="EB322" s="114"/>
      <c r="EC322" s="114"/>
      <c r="ED322" s="114"/>
      <c r="EE322" s="114"/>
      <c r="EF322" s="114"/>
      <c r="EG322" s="114"/>
    </row>
    <row r="323" spans="1:137" s="113" customFormat="1" ht="11.25" hidden="1">
      <c r="A323" s="3" t="s">
        <v>226</v>
      </c>
      <c r="B323" s="112"/>
      <c r="C323" s="112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EB323" s="114"/>
      <c r="EC323" s="114"/>
      <c r="ED323" s="114"/>
      <c r="EE323" s="114"/>
      <c r="EF323" s="114"/>
      <c r="EG323" s="114"/>
    </row>
    <row r="324" spans="1:137" s="113" customFormat="1" ht="38.25" customHeight="1" hidden="1">
      <c r="A324" s="6" t="s">
        <v>356</v>
      </c>
      <c r="B324" s="112"/>
      <c r="C324" s="112"/>
      <c r="D324" s="74">
        <f>D320/D322/12</f>
        <v>771.3675213675214</v>
      </c>
      <c r="E324" s="74"/>
      <c r="F324" s="74">
        <f>D324</f>
        <v>771.3675213675214</v>
      </c>
      <c r="G324" s="74">
        <f>G320/G322/12</f>
        <v>1393.0341880341882</v>
      </c>
      <c r="H324" s="74"/>
      <c r="I324" s="74"/>
      <c r="J324" s="74">
        <f>G324</f>
        <v>1393.0341880341882</v>
      </c>
      <c r="K324" s="74"/>
      <c r="L324" s="74"/>
      <c r="M324" s="74"/>
      <c r="N324" s="74">
        <f>N320/N322/12</f>
        <v>1476.6025641025642</v>
      </c>
      <c r="O324" s="74"/>
      <c r="P324" s="74">
        <f>N324</f>
        <v>1476.6025641025642</v>
      </c>
      <c r="EB324" s="114"/>
      <c r="EC324" s="114"/>
      <c r="ED324" s="114"/>
      <c r="EE324" s="114"/>
      <c r="EF324" s="114"/>
      <c r="EG324" s="114"/>
    </row>
    <row r="325" spans="1:137" s="113" customFormat="1" ht="22.5" hidden="1">
      <c r="A325" s="85" t="s">
        <v>413</v>
      </c>
      <c r="B325" s="73"/>
      <c r="C325" s="73"/>
      <c r="D325" s="81">
        <f>D327</f>
        <v>300000</v>
      </c>
      <c r="E325" s="81"/>
      <c r="F325" s="81">
        <f>D325</f>
        <v>300000</v>
      </c>
      <c r="G325" s="81">
        <f>G327</f>
        <v>300000</v>
      </c>
      <c r="H325" s="81"/>
      <c r="I325" s="81"/>
      <c r="J325" s="81">
        <f>G325</f>
        <v>300000</v>
      </c>
      <c r="K325" s="81"/>
      <c r="L325" s="81"/>
      <c r="M325" s="81"/>
      <c r="N325" s="81">
        <f>N327</f>
        <v>300000</v>
      </c>
      <c r="O325" s="81"/>
      <c r="P325" s="81">
        <f>N325</f>
        <v>300000</v>
      </c>
      <c r="EB325" s="114"/>
      <c r="EC325" s="114"/>
      <c r="ED325" s="114"/>
      <c r="EE325" s="114"/>
      <c r="EF325" s="114"/>
      <c r="EG325" s="114"/>
    </row>
    <row r="326" spans="1:137" s="113" customFormat="1" ht="11.25" hidden="1">
      <c r="A326" s="3" t="s">
        <v>77</v>
      </c>
      <c r="B326" s="112"/>
      <c r="C326" s="112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EB326" s="114"/>
      <c r="EC326" s="114"/>
      <c r="ED326" s="114"/>
      <c r="EE326" s="114"/>
      <c r="EF326" s="114"/>
      <c r="EG326" s="114"/>
    </row>
    <row r="327" spans="1:137" s="113" customFormat="1" ht="22.5" hidden="1">
      <c r="A327" s="72" t="s">
        <v>357</v>
      </c>
      <c r="B327" s="112"/>
      <c r="C327" s="112"/>
      <c r="D327" s="74">
        <v>300000</v>
      </c>
      <c r="E327" s="74"/>
      <c r="F327" s="74">
        <f>D327</f>
        <v>300000</v>
      </c>
      <c r="G327" s="74">
        <v>300000</v>
      </c>
      <c r="H327" s="74"/>
      <c r="I327" s="74"/>
      <c r="J327" s="74">
        <f>G327</f>
        <v>300000</v>
      </c>
      <c r="K327" s="74"/>
      <c r="L327" s="74"/>
      <c r="M327" s="74"/>
      <c r="N327" s="74">
        <v>300000</v>
      </c>
      <c r="O327" s="74"/>
      <c r="P327" s="74">
        <f>N327</f>
        <v>300000</v>
      </c>
      <c r="EB327" s="114"/>
      <c r="EC327" s="114"/>
      <c r="ED327" s="114"/>
      <c r="EE327" s="114"/>
      <c r="EF327" s="114"/>
      <c r="EG327" s="114"/>
    </row>
    <row r="328" spans="1:137" s="113" customFormat="1" ht="11.25" hidden="1">
      <c r="A328" s="165" t="s">
        <v>275</v>
      </c>
      <c r="B328" s="112"/>
      <c r="C328" s="112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EB328" s="114"/>
      <c r="EC328" s="114"/>
      <c r="ED328" s="114"/>
      <c r="EE328" s="114"/>
      <c r="EF328" s="114"/>
      <c r="EG328" s="114"/>
    </row>
    <row r="329" spans="1:137" s="113" customFormat="1" ht="22.5" hidden="1">
      <c r="A329" s="72" t="s">
        <v>358</v>
      </c>
      <c r="B329" s="112"/>
      <c r="C329" s="112"/>
      <c r="D329" s="74">
        <v>183</v>
      </c>
      <c r="E329" s="74"/>
      <c r="F329" s="74">
        <f>D329</f>
        <v>183</v>
      </c>
      <c r="G329" s="74">
        <v>172</v>
      </c>
      <c r="H329" s="74"/>
      <c r="I329" s="74"/>
      <c r="J329" s="74">
        <f>G329</f>
        <v>172</v>
      </c>
      <c r="K329" s="74"/>
      <c r="L329" s="74"/>
      <c r="M329" s="74"/>
      <c r="N329" s="74">
        <v>162</v>
      </c>
      <c r="O329" s="74"/>
      <c r="P329" s="74">
        <f>N329</f>
        <v>162</v>
      </c>
      <c r="EB329" s="114"/>
      <c r="EC329" s="114"/>
      <c r="ED329" s="114"/>
      <c r="EE329" s="114"/>
      <c r="EF329" s="114"/>
      <c r="EG329" s="114"/>
    </row>
    <row r="330" spans="1:137" s="113" customFormat="1" ht="11.25" hidden="1">
      <c r="A330" s="165" t="s">
        <v>226</v>
      </c>
      <c r="B330" s="112"/>
      <c r="C330" s="112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EB330" s="114"/>
      <c r="EC330" s="114"/>
      <c r="ED330" s="114"/>
      <c r="EE330" s="114"/>
      <c r="EF330" s="114"/>
      <c r="EG330" s="114"/>
    </row>
    <row r="331" spans="1:137" s="113" customFormat="1" ht="22.5" hidden="1">
      <c r="A331" s="72" t="s">
        <v>359</v>
      </c>
      <c r="B331" s="112"/>
      <c r="C331" s="112"/>
      <c r="D331" s="74">
        <f>D327/D329</f>
        <v>1639.344262295082</v>
      </c>
      <c r="E331" s="74"/>
      <c r="F331" s="74">
        <f>D331</f>
        <v>1639.344262295082</v>
      </c>
      <c r="G331" s="74">
        <f>G327/G329</f>
        <v>1744.1860465116279</v>
      </c>
      <c r="H331" s="74"/>
      <c r="I331" s="74"/>
      <c r="J331" s="74">
        <f>G331</f>
        <v>1744.1860465116279</v>
      </c>
      <c r="K331" s="74"/>
      <c r="L331" s="74"/>
      <c r="M331" s="74"/>
      <c r="N331" s="74">
        <f>N327/N329</f>
        <v>1851.851851851852</v>
      </c>
      <c r="O331" s="74"/>
      <c r="P331" s="74">
        <f>N331</f>
        <v>1851.851851851852</v>
      </c>
      <c r="EB331" s="114"/>
      <c r="EC331" s="114"/>
      <c r="ED331" s="114"/>
      <c r="EE331" s="114"/>
      <c r="EF331" s="114"/>
      <c r="EG331" s="114"/>
    </row>
    <row r="332" spans="1:137" s="75" customFormat="1" ht="46.5" customHeight="1" hidden="1">
      <c r="A332" s="85" t="s">
        <v>521</v>
      </c>
      <c r="B332" s="73"/>
      <c r="C332" s="73"/>
      <c r="D332" s="81">
        <f>D334</f>
        <v>413500</v>
      </c>
      <c r="E332" s="81"/>
      <c r="F332" s="81">
        <f>D332</f>
        <v>413500</v>
      </c>
      <c r="G332" s="81">
        <f>G334</f>
        <v>250000</v>
      </c>
      <c r="H332" s="81"/>
      <c r="I332" s="81"/>
      <c r="J332" s="81">
        <f>G332</f>
        <v>250000</v>
      </c>
      <c r="K332" s="81"/>
      <c r="L332" s="81"/>
      <c r="M332" s="81"/>
      <c r="N332" s="81">
        <f>N334</f>
        <v>300000</v>
      </c>
      <c r="O332" s="81"/>
      <c r="P332" s="81">
        <f>N332</f>
        <v>300000</v>
      </c>
      <c r="EB332" s="76"/>
      <c r="EC332" s="76"/>
      <c r="ED332" s="76"/>
      <c r="EE332" s="76"/>
      <c r="EF332" s="76"/>
      <c r="EG332" s="76"/>
    </row>
    <row r="333" spans="1:137" s="113" customFormat="1" ht="21.75" customHeight="1" hidden="1">
      <c r="A333" s="3" t="s">
        <v>77</v>
      </c>
      <c r="B333" s="112"/>
      <c r="C333" s="112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EB333" s="114"/>
      <c r="EC333" s="114"/>
      <c r="ED333" s="114"/>
      <c r="EE333" s="114"/>
      <c r="EF333" s="114"/>
      <c r="EG333" s="114"/>
    </row>
    <row r="334" spans="1:137" s="113" customFormat="1" ht="33" customHeight="1" hidden="1">
      <c r="A334" s="72" t="s">
        <v>360</v>
      </c>
      <c r="B334" s="112"/>
      <c r="C334" s="112"/>
      <c r="D334" s="74">
        <f>200000+213500</f>
        <v>413500</v>
      </c>
      <c r="E334" s="74"/>
      <c r="F334" s="74">
        <f>D334</f>
        <v>413500</v>
      </c>
      <c r="G334" s="74">
        <v>250000</v>
      </c>
      <c r="H334" s="74"/>
      <c r="I334" s="74"/>
      <c r="J334" s="74">
        <f>G334</f>
        <v>250000</v>
      </c>
      <c r="K334" s="74"/>
      <c r="L334" s="74"/>
      <c r="M334" s="74"/>
      <c r="N334" s="74">
        <v>300000</v>
      </c>
      <c r="O334" s="74"/>
      <c r="P334" s="74">
        <f>N334</f>
        <v>300000</v>
      </c>
      <c r="EB334" s="114"/>
      <c r="EC334" s="114"/>
      <c r="ED334" s="114"/>
      <c r="EE334" s="114"/>
      <c r="EF334" s="114"/>
      <c r="EG334" s="114"/>
    </row>
    <row r="335" spans="1:137" s="113" customFormat="1" ht="11.25" hidden="1">
      <c r="A335" s="165" t="s">
        <v>275</v>
      </c>
      <c r="B335" s="112"/>
      <c r="C335" s="112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EB335" s="114"/>
      <c r="EC335" s="114"/>
      <c r="ED335" s="114"/>
      <c r="EE335" s="114"/>
      <c r="EF335" s="114"/>
      <c r="EG335" s="114"/>
    </row>
    <row r="336" spans="1:137" s="113" customFormat="1" ht="22.5" hidden="1">
      <c r="A336" s="72" t="s">
        <v>361</v>
      </c>
      <c r="B336" s="112"/>
      <c r="C336" s="112"/>
      <c r="D336" s="74">
        <v>685</v>
      </c>
      <c r="E336" s="74"/>
      <c r="F336" s="74">
        <f>D336</f>
        <v>685</v>
      </c>
      <c r="G336" s="74">
        <v>802</v>
      </c>
      <c r="H336" s="74"/>
      <c r="I336" s="74"/>
      <c r="J336" s="74">
        <f>G336</f>
        <v>802</v>
      </c>
      <c r="K336" s="74"/>
      <c r="L336" s="74"/>
      <c r="M336" s="74"/>
      <c r="N336" s="74">
        <v>908</v>
      </c>
      <c r="O336" s="74"/>
      <c r="P336" s="74">
        <f>N336</f>
        <v>908</v>
      </c>
      <c r="EB336" s="114"/>
      <c r="EC336" s="114"/>
      <c r="ED336" s="114"/>
      <c r="EE336" s="114"/>
      <c r="EF336" s="114"/>
      <c r="EG336" s="114"/>
    </row>
    <row r="337" spans="1:137" s="113" customFormat="1" ht="11.25" hidden="1">
      <c r="A337" s="165" t="s">
        <v>226</v>
      </c>
      <c r="B337" s="112"/>
      <c r="C337" s="112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EB337" s="114"/>
      <c r="EC337" s="114"/>
      <c r="ED337" s="114"/>
      <c r="EE337" s="114"/>
      <c r="EF337" s="114"/>
      <c r="EG337" s="114"/>
    </row>
    <row r="338" spans="1:137" s="113" customFormat="1" ht="22.5" hidden="1">
      <c r="A338" s="72" t="s">
        <v>362</v>
      </c>
      <c r="B338" s="112"/>
      <c r="C338" s="112"/>
      <c r="D338" s="74">
        <f>D334/D336</f>
        <v>603.6496350364963</v>
      </c>
      <c r="E338" s="74"/>
      <c r="F338" s="74">
        <f>D338</f>
        <v>603.6496350364963</v>
      </c>
      <c r="G338" s="74">
        <f>G334/G336</f>
        <v>311.7206982543641</v>
      </c>
      <c r="H338" s="74"/>
      <c r="I338" s="74"/>
      <c r="J338" s="74">
        <f>G338</f>
        <v>311.7206982543641</v>
      </c>
      <c r="K338" s="74"/>
      <c r="L338" s="74"/>
      <c r="M338" s="74"/>
      <c r="N338" s="74">
        <f>N334/N336</f>
        <v>330.3964757709251</v>
      </c>
      <c r="O338" s="74"/>
      <c r="P338" s="74">
        <f>N338</f>
        <v>330.3964757709251</v>
      </c>
      <c r="EB338" s="114"/>
      <c r="EC338" s="114"/>
      <c r="ED338" s="114"/>
      <c r="EE338" s="114"/>
      <c r="EF338" s="114"/>
      <c r="EG338" s="114"/>
    </row>
    <row r="339" spans="1:137" s="113" customFormat="1" ht="45.75" customHeight="1" hidden="1">
      <c r="A339" s="85" t="s">
        <v>522</v>
      </c>
      <c r="B339" s="112"/>
      <c r="C339" s="112"/>
      <c r="D339" s="81">
        <f>D341</f>
        <v>1500000</v>
      </c>
      <c r="E339" s="81"/>
      <c r="F339" s="81">
        <f>D339</f>
        <v>1500000</v>
      </c>
      <c r="G339" s="81">
        <f>G341</f>
        <v>1500000</v>
      </c>
      <c r="H339" s="81"/>
      <c r="I339" s="81"/>
      <c r="J339" s="81">
        <f>G339</f>
        <v>1500000</v>
      </c>
      <c r="K339" s="81"/>
      <c r="L339" s="81"/>
      <c r="M339" s="81"/>
      <c r="N339" s="81">
        <f>N341</f>
        <v>1500000</v>
      </c>
      <c r="O339" s="81"/>
      <c r="P339" s="81">
        <f>N339</f>
        <v>1500000</v>
      </c>
      <c r="EB339" s="114"/>
      <c r="EC339" s="114"/>
      <c r="ED339" s="114"/>
      <c r="EE339" s="114"/>
      <c r="EF339" s="114"/>
      <c r="EG339" s="114"/>
    </row>
    <row r="340" spans="1:137" s="113" customFormat="1" ht="21.75" customHeight="1" hidden="1">
      <c r="A340" s="3" t="s">
        <v>77</v>
      </c>
      <c r="B340" s="112"/>
      <c r="C340" s="112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EB340" s="114"/>
      <c r="EC340" s="114"/>
      <c r="ED340" s="114"/>
      <c r="EE340" s="114"/>
      <c r="EF340" s="114"/>
      <c r="EG340" s="114"/>
    </row>
    <row r="341" spans="1:137" s="113" customFormat="1" ht="37.5" customHeight="1" hidden="1">
      <c r="A341" s="72" t="s">
        <v>363</v>
      </c>
      <c r="B341" s="112"/>
      <c r="C341" s="112"/>
      <c r="D341" s="74">
        <f>1000000+500000</f>
        <v>1500000</v>
      </c>
      <c r="E341" s="74"/>
      <c r="F341" s="74">
        <f>D341</f>
        <v>1500000</v>
      </c>
      <c r="G341" s="74">
        <v>1500000</v>
      </c>
      <c r="H341" s="74"/>
      <c r="I341" s="74"/>
      <c r="J341" s="74">
        <f>G341</f>
        <v>1500000</v>
      </c>
      <c r="K341" s="74"/>
      <c r="L341" s="74"/>
      <c r="M341" s="74"/>
      <c r="N341" s="74">
        <v>1500000</v>
      </c>
      <c r="O341" s="74"/>
      <c r="P341" s="74">
        <f>N341</f>
        <v>1500000</v>
      </c>
      <c r="EB341" s="114"/>
      <c r="EC341" s="114"/>
      <c r="ED341" s="114"/>
      <c r="EE341" s="114"/>
      <c r="EF341" s="114"/>
      <c r="EG341" s="114"/>
    </row>
    <row r="342" spans="1:137" s="113" customFormat="1" ht="22.5" customHeight="1" hidden="1">
      <c r="A342" s="165" t="s">
        <v>275</v>
      </c>
      <c r="B342" s="112"/>
      <c r="C342" s="112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EB342" s="114"/>
      <c r="EC342" s="114"/>
      <c r="ED342" s="114"/>
      <c r="EE342" s="114"/>
      <c r="EF342" s="114"/>
      <c r="EG342" s="114"/>
    </row>
    <row r="343" spans="1:137" s="113" customFormat="1" ht="22.5" hidden="1">
      <c r="A343" s="72" t="s">
        <v>361</v>
      </c>
      <c r="B343" s="112"/>
      <c r="C343" s="112"/>
      <c r="D343" s="74">
        <f>3425+50</f>
        <v>3475</v>
      </c>
      <c r="E343" s="74"/>
      <c r="F343" s="74">
        <f>D343</f>
        <v>3475</v>
      </c>
      <c r="G343" s="74">
        <v>4812.01</v>
      </c>
      <c r="H343" s="74"/>
      <c r="I343" s="74"/>
      <c r="J343" s="74">
        <f>G343</f>
        <v>4812.01</v>
      </c>
      <c r="K343" s="74"/>
      <c r="L343" s="74"/>
      <c r="M343" s="74"/>
      <c r="N343" s="74">
        <v>4539.95</v>
      </c>
      <c r="O343" s="74"/>
      <c r="P343" s="74">
        <f>N343</f>
        <v>4539.95</v>
      </c>
      <c r="EB343" s="114"/>
      <c r="EC343" s="114"/>
      <c r="ED343" s="114"/>
      <c r="EE343" s="114"/>
      <c r="EF343" s="114"/>
      <c r="EG343" s="114"/>
    </row>
    <row r="344" spans="1:137" s="113" customFormat="1" ht="11.25" hidden="1">
      <c r="A344" s="165" t="s">
        <v>226</v>
      </c>
      <c r="B344" s="112"/>
      <c r="C344" s="112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EB344" s="114"/>
      <c r="EC344" s="114"/>
      <c r="ED344" s="114"/>
      <c r="EE344" s="114"/>
      <c r="EF344" s="114"/>
      <c r="EG344" s="114"/>
    </row>
    <row r="345" spans="1:137" s="113" customFormat="1" ht="22.5" hidden="1">
      <c r="A345" s="72" t="s">
        <v>362</v>
      </c>
      <c r="B345" s="112"/>
      <c r="C345" s="112"/>
      <c r="D345" s="74">
        <f>D341/D343</f>
        <v>431.6546762589928</v>
      </c>
      <c r="E345" s="74"/>
      <c r="F345" s="74">
        <f>D345</f>
        <v>431.6546762589928</v>
      </c>
      <c r="G345" s="74">
        <f>G341/G343</f>
        <v>311.7200504570855</v>
      </c>
      <c r="H345" s="74"/>
      <c r="I345" s="74"/>
      <c r="J345" s="74">
        <f>G345</f>
        <v>311.7200504570855</v>
      </c>
      <c r="K345" s="74"/>
      <c r="L345" s="74"/>
      <c r="M345" s="74"/>
      <c r="N345" s="74">
        <f>N341/N343</f>
        <v>330.40011453870636</v>
      </c>
      <c r="O345" s="74"/>
      <c r="P345" s="74">
        <f>N345</f>
        <v>330.40011453870636</v>
      </c>
      <c r="EB345" s="114"/>
      <c r="EC345" s="114"/>
      <c r="ED345" s="114"/>
      <c r="EE345" s="114"/>
      <c r="EF345" s="114"/>
      <c r="EG345" s="114"/>
    </row>
    <row r="346" spans="1:137" s="113" customFormat="1" ht="39" customHeight="1" hidden="1">
      <c r="A346" s="85" t="s">
        <v>414</v>
      </c>
      <c r="B346" s="112"/>
      <c r="C346" s="112"/>
      <c r="D346" s="74">
        <f>D348</f>
        <v>400000</v>
      </c>
      <c r="E346" s="74"/>
      <c r="F346" s="74">
        <f>D346</f>
        <v>400000</v>
      </c>
      <c r="G346" s="74">
        <f>G348</f>
        <v>750000</v>
      </c>
      <c r="H346" s="74"/>
      <c r="I346" s="74"/>
      <c r="J346" s="74">
        <f>G346</f>
        <v>750000</v>
      </c>
      <c r="K346" s="74"/>
      <c r="L346" s="74"/>
      <c r="M346" s="74"/>
      <c r="N346" s="74">
        <f>N348</f>
        <v>850000</v>
      </c>
      <c r="O346" s="74"/>
      <c r="P346" s="74">
        <f>N346</f>
        <v>850000</v>
      </c>
      <c r="EB346" s="114"/>
      <c r="EC346" s="114"/>
      <c r="ED346" s="114"/>
      <c r="EE346" s="114"/>
      <c r="EF346" s="114"/>
      <c r="EG346" s="114"/>
    </row>
    <row r="347" spans="1:137" s="113" customFormat="1" ht="11.25" hidden="1">
      <c r="A347" s="3" t="s">
        <v>77</v>
      </c>
      <c r="B347" s="112"/>
      <c r="C347" s="112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EB347" s="114"/>
      <c r="EC347" s="114"/>
      <c r="ED347" s="114"/>
      <c r="EE347" s="114"/>
      <c r="EF347" s="114"/>
      <c r="EG347" s="114"/>
    </row>
    <row r="348" spans="1:137" s="113" customFormat="1" ht="33" customHeight="1" hidden="1">
      <c r="A348" s="72" t="s">
        <v>364</v>
      </c>
      <c r="B348" s="112"/>
      <c r="C348" s="112"/>
      <c r="D348" s="74">
        <f>650000-250000</f>
        <v>400000</v>
      </c>
      <c r="E348" s="74"/>
      <c r="F348" s="74">
        <f>D348</f>
        <v>400000</v>
      </c>
      <c r="G348" s="74">
        <v>750000</v>
      </c>
      <c r="H348" s="74"/>
      <c r="I348" s="74"/>
      <c r="J348" s="74">
        <f>G348</f>
        <v>750000</v>
      </c>
      <c r="K348" s="74"/>
      <c r="L348" s="74"/>
      <c r="M348" s="74"/>
      <c r="N348" s="74">
        <v>850000</v>
      </c>
      <c r="O348" s="74"/>
      <c r="P348" s="74">
        <f>N348</f>
        <v>850000</v>
      </c>
      <c r="EB348" s="114"/>
      <c r="EC348" s="114"/>
      <c r="ED348" s="114"/>
      <c r="EE348" s="114"/>
      <c r="EF348" s="114"/>
      <c r="EG348" s="114"/>
    </row>
    <row r="349" spans="1:137" s="113" customFormat="1" ht="11.25" hidden="1">
      <c r="A349" s="165" t="s">
        <v>275</v>
      </c>
      <c r="B349" s="112"/>
      <c r="C349" s="112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EB349" s="114"/>
      <c r="EC349" s="114"/>
      <c r="ED349" s="114"/>
      <c r="EE349" s="114"/>
      <c r="EF349" s="114"/>
      <c r="EG349" s="114"/>
    </row>
    <row r="350" spans="1:137" s="113" customFormat="1" ht="22.5" hidden="1">
      <c r="A350" s="72" t="s">
        <v>365</v>
      </c>
      <c r="B350" s="112"/>
      <c r="C350" s="112"/>
      <c r="D350" s="74">
        <v>321.6</v>
      </c>
      <c r="E350" s="74"/>
      <c r="F350" s="74">
        <f>D350</f>
        <v>321.6</v>
      </c>
      <c r="G350" s="74">
        <v>321.6</v>
      </c>
      <c r="H350" s="74"/>
      <c r="I350" s="74"/>
      <c r="J350" s="74">
        <f>G350</f>
        <v>321.6</v>
      </c>
      <c r="K350" s="74"/>
      <c r="L350" s="74"/>
      <c r="M350" s="74"/>
      <c r="N350" s="74">
        <v>321.6</v>
      </c>
      <c r="O350" s="74"/>
      <c r="P350" s="74">
        <f>N350</f>
        <v>321.6</v>
      </c>
      <c r="EB350" s="114"/>
      <c r="EC350" s="114"/>
      <c r="ED350" s="114"/>
      <c r="EE350" s="114"/>
      <c r="EF350" s="114"/>
      <c r="EG350" s="114"/>
    </row>
    <row r="351" spans="1:137" s="113" customFormat="1" ht="11.25" hidden="1">
      <c r="A351" s="165" t="s">
        <v>226</v>
      </c>
      <c r="B351" s="112"/>
      <c r="C351" s="112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EB351" s="114"/>
      <c r="EC351" s="114"/>
      <c r="ED351" s="114"/>
      <c r="EE351" s="114"/>
      <c r="EF351" s="114"/>
      <c r="EG351" s="114"/>
    </row>
    <row r="352" spans="1:137" s="185" customFormat="1" ht="22.5" hidden="1">
      <c r="A352" s="72" t="s">
        <v>366</v>
      </c>
      <c r="B352" s="184"/>
      <c r="C352" s="184"/>
      <c r="D352" s="74">
        <f>D348/D350</f>
        <v>1243.7810945273632</v>
      </c>
      <c r="E352" s="74"/>
      <c r="F352" s="74">
        <f>D352</f>
        <v>1243.7810945273632</v>
      </c>
      <c r="G352" s="74">
        <f>G348/G350</f>
        <v>2332.089552238806</v>
      </c>
      <c r="H352" s="74"/>
      <c r="I352" s="74"/>
      <c r="J352" s="74">
        <f>G352</f>
        <v>2332.089552238806</v>
      </c>
      <c r="K352" s="74"/>
      <c r="L352" s="74"/>
      <c r="M352" s="74"/>
      <c r="N352" s="74">
        <f>N348/N350</f>
        <v>2643.0348258706467</v>
      </c>
      <c r="O352" s="74"/>
      <c r="P352" s="74">
        <f>N352</f>
        <v>2643.0348258706467</v>
      </c>
      <c r="EB352" s="186"/>
      <c r="EC352" s="186"/>
      <c r="ED352" s="186"/>
      <c r="EE352" s="186"/>
      <c r="EF352" s="186"/>
      <c r="EG352" s="186"/>
    </row>
    <row r="353" spans="1:137" s="191" customFormat="1" ht="34.5" customHeight="1" hidden="1">
      <c r="A353" s="194" t="s">
        <v>415</v>
      </c>
      <c r="B353" s="190"/>
      <c r="C353" s="190"/>
      <c r="D353" s="193">
        <f>D354+D361+D368+D375+D384+D393+D402+D411+D420+D429+D436</f>
        <v>14895600</v>
      </c>
      <c r="E353" s="193">
        <f aca="true" t="shared" si="25" ref="E353:P353">E354+E361+E368+E375+E384+E393+E402+E411+E420+E429+E436</f>
        <v>0</v>
      </c>
      <c r="F353" s="193">
        <f t="shared" si="25"/>
        <v>14895600</v>
      </c>
      <c r="G353" s="193">
        <f t="shared" si="25"/>
        <v>11654665</v>
      </c>
      <c r="H353" s="193">
        <f t="shared" si="25"/>
        <v>0</v>
      </c>
      <c r="I353" s="193">
        <f t="shared" si="25"/>
        <v>0</v>
      </c>
      <c r="J353" s="193">
        <f t="shared" si="25"/>
        <v>11654665</v>
      </c>
      <c r="K353" s="193" t="e">
        <f t="shared" si="25"/>
        <v>#REF!</v>
      </c>
      <c r="L353" s="193" t="e">
        <f t="shared" si="25"/>
        <v>#REF!</v>
      </c>
      <c r="M353" s="193" t="e">
        <f t="shared" si="25"/>
        <v>#REF!</v>
      </c>
      <c r="N353" s="193">
        <f t="shared" si="25"/>
        <v>11486200</v>
      </c>
      <c r="O353" s="193">
        <f t="shared" si="25"/>
        <v>0</v>
      </c>
      <c r="P353" s="193">
        <f t="shared" si="25"/>
        <v>11486200</v>
      </c>
      <c r="Q353" s="193" t="e">
        <f>Q354+Q361+Q368+#REF!+Q384+Q393+Q402+#REF!+Q420+Q429+Q436+#REF!</f>
        <v>#REF!</v>
      </c>
      <c r="EB353" s="192"/>
      <c r="EC353" s="192"/>
      <c r="ED353" s="192"/>
      <c r="EE353" s="192"/>
      <c r="EF353" s="192"/>
      <c r="EG353" s="192"/>
    </row>
    <row r="354" spans="1:137" s="185" customFormat="1" ht="22.5" hidden="1">
      <c r="A354" s="85" t="s">
        <v>478</v>
      </c>
      <c r="B354" s="184"/>
      <c r="C354" s="184"/>
      <c r="D354" s="81">
        <f>D356</f>
        <v>550000</v>
      </c>
      <c r="E354" s="81"/>
      <c r="F354" s="81">
        <f>D354</f>
        <v>550000</v>
      </c>
      <c r="G354" s="81">
        <f>G356</f>
        <v>755300</v>
      </c>
      <c r="H354" s="81"/>
      <c r="I354" s="81"/>
      <c r="J354" s="81">
        <f>G354</f>
        <v>755300</v>
      </c>
      <c r="K354" s="81"/>
      <c r="L354" s="81"/>
      <c r="M354" s="81"/>
      <c r="N354" s="81">
        <f>N356</f>
        <v>835000</v>
      </c>
      <c r="O354" s="81"/>
      <c r="P354" s="81">
        <f>N354</f>
        <v>835000</v>
      </c>
      <c r="EB354" s="186"/>
      <c r="EC354" s="186"/>
      <c r="ED354" s="186"/>
      <c r="EE354" s="186"/>
      <c r="EF354" s="186"/>
      <c r="EG354" s="186"/>
    </row>
    <row r="355" spans="1:137" s="185" customFormat="1" ht="11.25" hidden="1">
      <c r="A355" s="3" t="s">
        <v>77</v>
      </c>
      <c r="B355" s="184"/>
      <c r="C355" s="18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EB355" s="186"/>
      <c r="EC355" s="186"/>
      <c r="ED355" s="186"/>
      <c r="EE355" s="186"/>
      <c r="EF355" s="186"/>
      <c r="EG355" s="186"/>
    </row>
    <row r="356" spans="1:137" s="185" customFormat="1" ht="33" customHeight="1" hidden="1">
      <c r="A356" s="72" t="s">
        <v>367</v>
      </c>
      <c r="B356" s="184"/>
      <c r="C356" s="184"/>
      <c r="D356" s="74">
        <f>677400-127400</f>
        <v>550000</v>
      </c>
      <c r="E356" s="74"/>
      <c r="F356" s="74">
        <f>D356</f>
        <v>550000</v>
      </c>
      <c r="G356" s="74">
        <v>755300</v>
      </c>
      <c r="H356" s="74"/>
      <c r="I356" s="74"/>
      <c r="J356" s="74">
        <f>G356</f>
        <v>755300</v>
      </c>
      <c r="K356" s="74"/>
      <c r="L356" s="74"/>
      <c r="M356" s="74"/>
      <c r="N356" s="74">
        <v>835000</v>
      </c>
      <c r="O356" s="74"/>
      <c r="P356" s="74">
        <f>N356</f>
        <v>835000</v>
      </c>
      <c r="EB356" s="186"/>
      <c r="EC356" s="186"/>
      <c r="ED356" s="186"/>
      <c r="EE356" s="186"/>
      <c r="EF356" s="186"/>
      <c r="EG356" s="186"/>
    </row>
    <row r="357" spans="1:137" s="185" customFormat="1" ht="11.25" hidden="1">
      <c r="A357" s="165" t="s">
        <v>275</v>
      </c>
      <c r="B357" s="184"/>
      <c r="C357" s="18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EB357" s="186"/>
      <c r="EC357" s="186"/>
      <c r="ED357" s="186"/>
      <c r="EE357" s="186"/>
      <c r="EF357" s="186"/>
      <c r="EG357" s="186"/>
    </row>
    <row r="358" spans="1:137" s="185" customFormat="1" ht="33.75" hidden="1">
      <c r="A358" s="72" t="s">
        <v>544</v>
      </c>
      <c r="B358" s="184"/>
      <c r="C358" s="184"/>
      <c r="D358" s="74">
        <v>12</v>
      </c>
      <c r="E358" s="74"/>
      <c r="F358" s="74">
        <f>D358</f>
        <v>12</v>
      </c>
      <c r="G358" s="74">
        <v>12</v>
      </c>
      <c r="H358" s="74"/>
      <c r="I358" s="74"/>
      <c r="J358" s="74">
        <f>G358</f>
        <v>12</v>
      </c>
      <c r="K358" s="74"/>
      <c r="L358" s="74"/>
      <c r="M358" s="74"/>
      <c r="N358" s="74">
        <v>12</v>
      </c>
      <c r="O358" s="74"/>
      <c r="P358" s="74">
        <f>N358</f>
        <v>12</v>
      </c>
      <c r="EB358" s="186"/>
      <c r="EC358" s="186"/>
      <c r="ED358" s="186"/>
      <c r="EE358" s="186"/>
      <c r="EF358" s="186"/>
      <c r="EG358" s="186"/>
    </row>
    <row r="359" spans="1:137" s="185" customFormat="1" ht="11.25" hidden="1">
      <c r="A359" s="165" t="s">
        <v>226</v>
      </c>
      <c r="B359" s="184"/>
      <c r="C359" s="18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EB359" s="186"/>
      <c r="EC359" s="186"/>
      <c r="ED359" s="186"/>
      <c r="EE359" s="186"/>
      <c r="EF359" s="186"/>
      <c r="EG359" s="186"/>
    </row>
    <row r="360" spans="1:137" s="185" customFormat="1" ht="29.25" customHeight="1" hidden="1">
      <c r="A360" s="72" t="s">
        <v>368</v>
      </c>
      <c r="B360" s="184"/>
      <c r="C360" s="184"/>
      <c r="D360" s="74">
        <f>D356/D358</f>
        <v>45833.333333333336</v>
      </c>
      <c r="E360" s="74"/>
      <c r="F360" s="74">
        <f>D360</f>
        <v>45833.333333333336</v>
      </c>
      <c r="G360" s="74">
        <f>G356/G358</f>
        <v>62941.666666666664</v>
      </c>
      <c r="H360" s="74"/>
      <c r="I360" s="74"/>
      <c r="J360" s="74">
        <f>G360</f>
        <v>62941.666666666664</v>
      </c>
      <c r="K360" s="74"/>
      <c r="L360" s="74"/>
      <c r="M360" s="74"/>
      <c r="N360" s="74">
        <f>N356/N358</f>
        <v>69583.33333333333</v>
      </c>
      <c r="O360" s="74"/>
      <c r="P360" s="74">
        <f>N360</f>
        <v>69583.33333333333</v>
      </c>
      <c r="EB360" s="186"/>
      <c r="EC360" s="186"/>
      <c r="ED360" s="186"/>
      <c r="EE360" s="186"/>
      <c r="EF360" s="186"/>
      <c r="EG360" s="186"/>
    </row>
    <row r="361" spans="1:137" s="185" customFormat="1" ht="42.75" customHeight="1" hidden="1">
      <c r="A361" s="85" t="s">
        <v>416</v>
      </c>
      <c r="B361" s="184"/>
      <c r="C361" s="184"/>
      <c r="D361" s="81">
        <f>D363</f>
        <v>91700</v>
      </c>
      <c r="E361" s="81"/>
      <c r="F361" s="81">
        <f>D361</f>
        <v>91700</v>
      </c>
      <c r="G361" s="81">
        <f>G363</f>
        <v>115300</v>
      </c>
      <c r="H361" s="81"/>
      <c r="I361" s="81"/>
      <c r="J361" s="81">
        <f>G361</f>
        <v>115300</v>
      </c>
      <c r="K361" s="81"/>
      <c r="L361" s="81"/>
      <c r="M361" s="81"/>
      <c r="N361" s="81">
        <f>N363</f>
        <v>122300</v>
      </c>
      <c r="O361" s="81"/>
      <c r="P361" s="81">
        <f>N361</f>
        <v>122300</v>
      </c>
      <c r="EB361" s="186"/>
      <c r="EC361" s="186"/>
      <c r="ED361" s="186"/>
      <c r="EE361" s="186"/>
      <c r="EF361" s="186"/>
      <c r="EG361" s="186"/>
    </row>
    <row r="362" spans="1:137" s="185" customFormat="1" ht="11.25" hidden="1">
      <c r="A362" s="3" t="s">
        <v>77</v>
      </c>
      <c r="B362" s="184"/>
      <c r="C362" s="18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EB362" s="186"/>
      <c r="EC362" s="186"/>
      <c r="ED362" s="186"/>
      <c r="EE362" s="186"/>
      <c r="EF362" s="186"/>
      <c r="EG362" s="186"/>
    </row>
    <row r="363" spans="1:137" s="185" customFormat="1" ht="51.75" customHeight="1" hidden="1">
      <c r="A363" s="72" t="s">
        <v>369</v>
      </c>
      <c r="B363" s="184"/>
      <c r="C363" s="184"/>
      <c r="D363" s="74">
        <f>150000-58300</f>
        <v>91700</v>
      </c>
      <c r="E363" s="74"/>
      <c r="F363" s="74">
        <f>D363</f>
        <v>91700</v>
      </c>
      <c r="G363" s="74">
        <v>115300</v>
      </c>
      <c r="H363" s="74"/>
      <c r="I363" s="74"/>
      <c r="J363" s="74">
        <f>G363</f>
        <v>115300</v>
      </c>
      <c r="K363" s="74"/>
      <c r="L363" s="74"/>
      <c r="M363" s="74"/>
      <c r="N363" s="74">
        <v>122300</v>
      </c>
      <c r="O363" s="74"/>
      <c r="P363" s="74">
        <f>N363</f>
        <v>122300</v>
      </c>
      <c r="EB363" s="186"/>
      <c r="EC363" s="186"/>
      <c r="ED363" s="186"/>
      <c r="EE363" s="186"/>
      <c r="EF363" s="186"/>
      <c r="EG363" s="186"/>
    </row>
    <row r="364" spans="1:137" s="185" customFormat="1" ht="11.25" hidden="1">
      <c r="A364" s="165" t="s">
        <v>275</v>
      </c>
      <c r="B364" s="184"/>
      <c r="C364" s="18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EB364" s="186"/>
      <c r="EC364" s="186"/>
      <c r="ED364" s="186"/>
      <c r="EE364" s="186"/>
      <c r="EF364" s="186"/>
      <c r="EG364" s="186"/>
    </row>
    <row r="365" spans="1:137" s="185" customFormat="1" ht="38.25" customHeight="1" hidden="1">
      <c r="A365" s="72" t="s">
        <v>545</v>
      </c>
      <c r="B365" s="184"/>
      <c r="C365" s="184"/>
      <c r="D365" s="74">
        <v>12</v>
      </c>
      <c r="E365" s="74"/>
      <c r="F365" s="74">
        <f>D365</f>
        <v>12</v>
      </c>
      <c r="G365" s="74">
        <v>12</v>
      </c>
      <c r="H365" s="74"/>
      <c r="I365" s="74"/>
      <c r="J365" s="74">
        <f>G365</f>
        <v>12</v>
      </c>
      <c r="K365" s="74"/>
      <c r="L365" s="74"/>
      <c r="M365" s="74"/>
      <c r="N365" s="74">
        <v>12</v>
      </c>
      <c r="O365" s="74"/>
      <c r="P365" s="74">
        <f>N365</f>
        <v>12</v>
      </c>
      <c r="EB365" s="186"/>
      <c r="EC365" s="186"/>
      <c r="ED365" s="186"/>
      <c r="EE365" s="186"/>
      <c r="EF365" s="186"/>
      <c r="EG365" s="186"/>
    </row>
    <row r="366" spans="1:137" s="185" customFormat="1" ht="11.25" hidden="1">
      <c r="A366" s="165" t="s">
        <v>226</v>
      </c>
      <c r="B366" s="184"/>
      <c r="C366" s="18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EB366" s="186"/>
      <c r="EC366" s="186"/>
      <c r="ED366" s="186"/>
      <c r="EE366" s="186"/>
      <c r="EF366" s="186"/>
      <c r="EG366" s="186"/>
    </row>
    <row r="367" spans="1:137" s="185" customFormat="1" ht="34.5" customHeight="1" hidden="1">
      <c r="A367" s="123" t="s">
        <v>370</v>
      </c>
      <c r="B367" s="184"/>
      <c r="C367" s="184"/>
      <c r="D367" s="74">
        <f>D363/D365</f>
        <v>7641.666666666667</v>
      </c>
      <c r="E367" s="74"/>
      <c r="F367" s="74">
        <f>D367</f>
        <v>7641.666666666667</v>
      </c>
      <c r="G367" s="74">
        <f>G363/G365</f>
        <v>9608.333333333334</v>
      </c>
      <c r="H367" s="74"/>
      <c r="I367" s="74"/>
      <c r="J367" s="74">
        <f>G367</f>
        <v>9608.333333333334</v>
      </c>
      <c r="K367" s="74"/>
      <c r="L367" s="74"/>
      <c r="M367" s="74"/>
      <c r="N367" s="74">
        <f>N363/N365</f>
        <v>10191.666666666666</v>
      </c>
      <c r="O367" s="74"/>
      <c r="P367" s="74">
        <f>N367</f>
        <v>10191.666666666666</v>
      </c>
      <c r="EB367" s="186"/>
      <c r="EC367" s="186"/>
      <c r="ED367" s="186"/>
      <c r="EE367" s="186"/>
      <c r="EF367" s="186"/>
      <c r="EG367" s="186"/>
    </row>
    <row r="368" spans="1:137" s="185" customFormat="1" ht="33.75" hidden="1">
      <c r="A368" s="85" t="s">
        <v>479</v>
      </c>
      <c r="B368" s="184"/>
      <c r="C368" s="184"/>
      <c r="D368" s="81">
        <f>D370</f>
        <v>110000</v>
      </c>
      <c r="E368" s="81"/>
      <c r="F368" s="81">
        <f>D368</f>
        <v>110000</v>
      </c>
      <c r="G368" s="81">
        <f>G370</f>
        <v>79400</v>
      </c>
      <c r="H368" s="81"/>
      <c r="I368" s="81"/>
      <c r="J368" s="81">
        <f>G368</f>
        <v>79400</v>
      </c>
      <c r="K368" s="81"/>
      <c r="L368" s="81"/>
      <c r="M368" s="81"/>
      <c r="N368" s="81">
        <f>N370</f>
        <v>84200</v>
      </c>
      <c r="O368" s="81"/>
      <c r="P368" s="81">
        <f>N368</f>
        <v>84200</v>
      </c>
      <c r="EB368" s="186"/>
      <c r="EC368" s="186"/>
      <c r="ED368" s="186"/>
      <c r="EE368" s="186"/>
      <c r="EF368" s="186"/>
      <c r="EG368" s="186"/>
    </row>
    <row r="369" spans="1:137" s="185" customFormat="1" ht="18" customHeight="1" hidden="1">
      <c r="A369" s="3" t="s">
        <v>77</v>
      </c>
      <c r="B369" s="184"/>
      <c r="C369" s="18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EB369" s="186"/>
      <c r="EC369" s="186"/>
      <c r="ED369" s="186"/>
      <c r="EE369" s="186"/>
      <c r="EF369" s="186"/>
      <c r="EG369" s="186"/>
    </row>
    <row r="370" spans="1:137" s="185" customFormat="1" ht="26.25" customHeight="1" hidden="1">
      <c r="A370" s="72" t="s">
        <v>452</v>
      </c>
      <c r="B370" s="184"/>
      <c r="C370" s="184"/>
      <c r="D370" s="74">
        <f>74400+35600</f>
        <v>110000</v>
      </c>
      <c r="E370" s="74"/>
      <c r="F370" s="74">
        <f>D370</f>
        <v>110000</v>
      </c>
      <c r="G370" s="74">
        <v>79400</v>
      </c>
      <c r="H370" s="74"/>
      <c r="I370" s="74"/>
      <c r="J370" s="74">
        <f>G370</f>
        <v>79400</v>
      </c>
      <c r="K370" s="74"/>
      <c r="L370" s="74"/>
      <c r="M370" s="74"/>
      <c r="N370" s="74">
        <v>84200</v>
      </c>
      <c r="O370" s="74"/>
      <c r="P370" s="74">
        <f>N370</f>
        <v>84200</v>
      </c>
      <c r="EB370" s="186"/>
      <c r="EC370" s="186"/>
      <c r="ED370" s="186"/>
      <c r="EE370" s="186"/>
      <c r="EF370" s="186"/>
      <c r="EG370" s="186"/>
    </row>
    <row r="371" spans="1:137" s="185" customFormat="1" ht="15.75" customHeight="1" hidden="1">
      <c r="A371" s="165" t="s">
        <v>275</v>
      </c>
      <c r="B371" s="184"/>
      <c r="C371" s="18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EB371" s="186"/>
      <c r="EC371" s="186"/>
      <c r="ED371" s="186"/>
      <c r="EE371" s="186"/>
      <c r="EF371" s="186"/>
      <c r="EG371" s="186"/>
    </row>
    <row r="372" spans="1:137" s="185" customFormat="1" ht="32.25" customHeight="1" hidden="1">
      <c r="A372" s="72" t="s">
        <v>453</v>
      </c>
      <c r="B372" s="184"/>
      <c r="C372" s="184"/>
      <c r="D372" s="176">
        <f>D370/D374</f>
        <v>33950.61728395062</v>
      </c>
      <c r="E372" s="74"/>
      <c r="F372" s="176">
        <f>D372</f>
        <v>33950.61728395062</v>
      </c>
      <c r="G372" s="176">
        <f>G370/G374</f>
        <v>23014.492753623188</v>
      </c>
      <c r="H372" s="176"/>
      <c r="I372" s="176"/>
      <c r="J372" s="176">
        <f>G372</f>
        <v>23014.492753623188</v>
      </c>
      <c r="K372" s="176"/>
      <c r="L372" s="176"/>
      <c r="M372" s="176"/>
      <c r="N372" s="176">
        <f>N370/N374</f>
        <v>23068.49315068493</v>
      </c>
      <c r="O372" s="176"/>
      <c r="P372" s="176">
        <f>N372</f>
        <v>23068.49315068493</v>
      </c>
      <c r="EB372" s="186"/>
      <c r="EC372" s="186"/>
      <c r="ED372" s="186"/>
      <c r="EE372" s="186"/>
      <c r="EF372" s="186"/>
      <c r="EG372" s="186"/>
    </row>
    <row r="373" spans="1:137" s="185" customFormat="1" ht="16.5" customHeight="1" hidden="1">
      <c r="A373" s="165" t="s">
        <v>226</v>
      </c>
      <c r="B373" s="184"/>
      <c r="C373" s="18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EB373" s="186"/>
      <c r="EC373" s="186"/>
      <c r="ED373" s="186"/>
      <c r="EE373" s="186"/>
      <c r="EF373" s="186"/>
      <c r="EG373" s="186"/>
    </row>
    <row r="374" spans="1:137" s="185" customFormat="1" ht="27.75" customHeight="1" hidden="1">
      <c r="A374" s="72" t="s">
        <v>454</v>
      </c>
      <c r="B374" s="184"/>
      <c r="C374" s="184"/>
      <c r="D374" s="74">
        <v>3.24</v>
      </c>
      <c r="E374" s="74"/>
      <c r="F374" s="74">
        <f>D374</f>
        <v>3.24</v>
      </c>
      <c r="G374" s="74">
        <v>3.45</v>
      </c>
      <c r="H374" s="74"/>
      <c r="I374" s="74"/>
      <c r="J374" s="74">
        <f>G374</f>
        <v>3.45</v>
      </c>
      <c r="K374" s="74"/>
      <c r="L374" s="74"/>
      <c r="M374" s="74"/>
      <c r="N374" s="74">
        <v>3.65</v>
      </c>
      <c r="O374" s="74"/>
      <c r="P374" s="74">
        <f>N374</f>
        <v>3.65</v>
      </c>
      <c r="EB374" s="186"/>
      <c r="EC374" s="186"/>
      <c r="ED374" s="186"/>
      <c r="EE374" s="186"/>
      <c r="EF374" s="186"/>
      <c r="EG374" s="186"/>
    </row>
    <row r="375" spans="1:137" s="118" customFormat="1" ht="22.5" hidden="1">
      <c r="A375" s="85" t="s">
        <v>455</v>
      </c>
      <c r="B375" s="77"/>
      <c r="C375" s="77"/>
      <c r="D375" s="81">
        <f>D376*D379+D377*D380</f>
        <v>2900000</v>
      </c>
      <c r="E375" s="81">
        <f>E376*E379+E377*E380</f>
        <v>0</v>
      </c>
      <c r="F375" s="81">
        <f>D375</f>
        <v>2900000</v>
      </c>
      <c r="G375" s="81">
        <f>G376*G379+G377*G380</f>
        <v>4660365</v>
      </c>
      <c r="H375" s="81">
        <f>H376*H379+H377*H380</f>
        <v>0</v>
      </c>
      <c r="I375" s="81">
        <v>0</v>
      </c>
      <c r="J375" s="81">
        <f>G375+H375</f>
        <v>4660365</v>
      </c>
      <c r="K375" s="81" t="e">
        <f>(K376*K379)+(K377*K380)+(#REF!*#REF!)</f>
        <v>#REF!</v>
      </c>
      <c r="L375" s="81" t="e">
        <f>(L376*L379)+(L377*L380)+(#REF!*#REF!)</f>
        <v>#REF!</v>
      </c>
      <c r="M375" s="81" t="e">
        <f>(M376*M379)+(M377*M380)+(#REF!*#REF!)</f>
        <v>#REF!</v>
      </c>
      <c r="N375" s="81">
        <f>N376*N379+N377*N380</f>
        <v>4072100</v>
      </c>
      <c r="O375" s="81">
        <f>O376*O379+O377*O380</f>
        <v>0</v>
      </c>
      <c r="P375" s="81">
        <f>N375+O375</f>
        <v>4072100</v>
      </c>
      <c r="Q375" s="81" t="e">
        <f>(Q376*Q379)+(Q377*Q380)+(#REF!*#REF!)</f>
        <v>#REF!</v>
      </c>
      <c r="EB375" s="87"/>
      <c r="EC375" s="87"/>
      <c r="ED375" s="87"/>
      <c r="EE375" s="87"/>
      <c r="EF375" s="87"/>
      <c r="EG375" s="87"/>
    </row>
    <row r="376" spans="1:137" s="185" customFormat="1" ht="22.5" hidden="1">
      <c r="A376" s="72" t="s">
        <v>55</v>
      </c>
      <c r="B376" s="73"/>
      <c r="C376" s="73"/>
      <c r="D376" s="74">
        <v>8</v>
      </c>
      <c r="E376" s="74"/>
      <c r="F376" s="74">
        <f>D376+E376</f>
        <v>8</v>
      </c>
      <c r="G376" s="74">
        <v>8</v>
      </c>
      <c r="H376" s="74"/>
      <c r="I376" s="74"/>
      <c r="J376" s="74">
        <f>G376+H376</f>
        <v>8</v>
      </c>
      <c r="K376" s="74"/>
      <c r="L376" s="74"/>
      <c r="M376" s="74"/>
      <c r="N376" s="74">
        <v>8</v>
      </c>
      <c r="O376" s="74"/>
      <c r="P376" s="74">
        <f>N376+O376</f>
        <v>8</v>
      </c>
      <c r="EB376" s="186"/>
      <c r="EC376" s="186"/>
      <c r="ED376" s="186"/>
      <c r="EE376" s="186"/>
      <c r="EF376" s="186"/>
      <c r="EG376" s="186"/>
    </row>
    <row r="377" spans="1:137" s="185" customFormat="1" ht="22.5" customHeight="1" hidden="1">
      <c r="A377" s="72" t="s">
        <v>56</v>
      </c>
      <c r="B377" s="73"/>
      <c r="C377" s="73"/>
      <c r="D377" s="74">
        <v>8</v>
      </c>
      <c r="E377" s="74"/>
      <c r="F377" s="74">
        <f>D377+E377</f>
        <v>8</v>
      </c>
      <c r="G377" s="74">
        <f>D377</f>
        <v>8</v>
      </c>
      <c r="H377" s="74"/>
      <c r="I377" s="74"/>
      <c r="J377" s="74">
        <f>G377+H377</f>
        <v>8</v>
      </c>
      <c r="K377" s="74"/>
      <c r="L377" s="74"/>
      <c r="M377" s="74"/>
      <c r="N377" s="74">
        <v>5</v>
      </c>
      <c r="O377" s="74"/>
      <c r="P377" s="74">
        <f>N377+O377</f>
        <v>5</v>
      </c>
      <c r="EB377" s="186"/>
      <c r="EC377" s="186"/>
      <c r="ED377" s="186"/>
      <c r="EE377" s="186"/>
      <c r="EF377" s="186"/>
      <c r="EG377" s="186"/>
    </row>
    <row r="378" spans="1:137" s="185" customFormat="1" ht="12" customHeight="1" hidden="1">
      <c r="A378" s="165" t="s">
        <v>5</v>
      </c>
      <c r="B378" s="83"/>
      <c r="C378" s="83"/>
      <c r="D378" s="84"/>
      <c r="E378" s="84"/>
      <c r="F378" s="74"/>
      <c r="G378" s="84"/>
      <c r="H378" s="84"/>
      <c r="I378" s="74"/>
      <c r="J378" s="74"/>
      <c r="K378" s="74"/>
      <c r="L378" s="74"/>
      <c r="M378" s="74"/>
      <c r="N378" s="84"/>
      <c r="O378" s="84"/>
      <c r="P378" s="74"/>
      <c r="EB378" s="186"/>
      <c r="EC378" s="186"/>
      <c r="ED378" s="186"/>
      <c r="EE378" s="186"/>
      <c r="EF378" s="186"/>
      <c r="EG378" s="186"/>
    </row>
    <row r="379" spans="1:137" s="185" customFormat="1" ht="22.5" customHeight="1" hidden="1">
      <c r="A379" s="72" t="s">
        <v>371</v>
      </c>
      <c r="B379" s="73"/>
      <c r="C379" s="73"/>
      <c r="D379" s="74">
        <v>191300</v>
      </c>
      <c r="E379" s="74"/>
      <c r="F379" s="74">
        <f>D379+E379</f>
        <v>191300</v>
      </c>
      <c r="G379" s="74">
        <v>299790.625</v>
      </c>
      <c r="H379" s="74"/>
      <c r="I379" s="74"/>
      <c r="J379" s="74">
        <f>G379+H379</f>
        <v>299790.625</v>
      </c>
      <c r="K379" s="74"/>
      <c r="L379" s="74"/>
      <c r="M379" s="74"/>
      <c r="N379" s="74">
        <v>321687.3125</v>
      </c>
      <c r="O379" s="74"/>
      <c r="P379" s="74">
        <f>N379+O379</f>
        <v>321687.3125</v>
      </c>
      <c r="EB379" s="186"/>
      <c r="EC379" s="186"/>
      <c r="ED379" s="186"/>
      <c r="EE379" s="186"/>
      <c r="EF379" s="186"/>
      <c r="EG379" s="186"/>
    </row>
    <row r="380" spans="1:137" s="185" customFormat="1" ht="22.5" customHeight="1" hidden="1">
      <c r="A380" s="72" t="s">
        <v>372</v>
      </c>
      <c r="B380" s="73"/>
      <c r="C380" s="73"/>
      <c r="D380" s="74">
        <v>171200</v>
      </c>
      <c r="E380" s="74"/>
      <c r="F380" s="74">
        <f>D380+E380</f>
        <v>171200</v>
      </c>
      <c r="G380" s="74">
        <v>282755</v>
      </c>
      <c r="H380" s="74"/>
      <c r="I380" s="74"/>
      <c r="J380" s="74">
        <f>G380+H380</f>
        <v>282755</v>
      </c>
      <c r="K380" s="74"/>
      <c r="L380" s="74"/>
      <c r="M380" s="74"/>
      <c r="N380" s="74">
        <v>299720.3</v>
      </c>
      <c r="O380" s="74"/>
      <c r="P380" s="74">
        <f>N380+O380</f>
        <v>299720.3</v>
      </c>
      <c r="EB380" s="186"/>
      <c r="EC380" s="186"/>
      <c r="ED380" s="186"/>
      <c r="EE380" s="186"/>
      <c r="EF380" s="186"/>
      <c r="EG380" s="186"/>
    </row>
    <row r="381" spans="1:137" s="185" customFormat="1" ht="11.25" hidden="1">
      <c r="A381" s="165" t="s">
        <v>4</v>
      </c>
      <c r="B381" s="73"/>
      <c r="C381" s="73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EB381" s="186"/>
      <c r="EC381" s="186"/>
      <c r="ED381" s="186"/>
      <c r="EE381" s="186"/>
      <c r="EF381" s="186"/>
      <c r="EG381" s="186"/>
    </row>
    <row r="382" spans="1:137" s="185" customFormat="1" ht="33.75" hidden="1">
      <c r="A382" s="72" t="s">
        <v>57</v>
      </c>
      <c r="B382" s="73"/>
      <c r="C382" s="73"/>
      <c r="D382" s="74"/>
      <c r="E382" s="74"/>
      <c r="F382" s="74">
        <f>D382+E382</f>
        <v>0</v>
      </c>
      <c r="G382" s="74">
        <f>G379/F379*100</f>
        <v>156.71229743857816</v>
      </c>
      <c r="H382" s="74"/>
      <c r="I382" s="74"/>
      <c r="J382" s="74">
        <f>G382+H382</f>
        <v>156.71229743857816</v>
      </c>
      <c r="K382" s="74"/>
      <c r="L382" s="74"/>
      <c r="M382" s="74"/>
      <c r="N382" s="74">
        <f>N379/J379*100</f>
        <v>107.30399341206885</v>
      </c>
      <c r="O382" s="74"/>
      <c r="P382" s="74">
        <f>N382+O382</f>
        <v>107.30399341206885</v>
      </c>
      <c r="EB382" s="186"/>
      <c r="EC382" s="186"/>
      <c r="ED382" s="186"/>
      <c r="EE382" s="186"/>
      <c r="EF382" s="186"/>
      <c r="EG382" s="186"/>
    </row>
    <row r="383" spans="1:137" s="185" customFormat="1" ht="33.75" hidden="1">
      <c r="A383" s="72" t="s">
        <v>58</v>
      </c>
      <c r="B383" s="73"/>
      <c r="C383" s="73"/>
      <c r="D383" s="74"/>
      <c r="E383" s="74"/>
      <c r="F383" s="74">
        <f>D383+E383</f>
        <v>0</v>
      </c>
      <c r="G383" s="74">
        <f>G380/D380*100</f>
        <v>165.1606308411215</v>
      </c>
      <c r="H383" s="74"/>
      <c r="I383" s="74"/>
      <c r="J383" s="74">
        <f>G383+H383</f>
        <v>165.1606308411215</v>
      </c>
      <c r="K383" s="74"/>
      <c r="L383" s="74"/>
      <c r="M383" s="74"/>
      <c r="N383" s="74">
        <f>N380/G380*100</f>
        <v>106</v>
      </c>
      <c r="O383" s="74"/>
      <c r="P383" s="74">
        <f>N383+O383</f>
        <v>106</v>
      </c>
      <c r="EB383" s="186"/>
      <c r="EC383" s="186"/>
      <c r="ED383" s="186"/>
      <c r="EE383" s="186"/>
      <c r="EF383" s="186"/>
      <c r="EG383" s="186"/>
    </row>
    <row r="384" spans="1:137" s="75" customFormat="1" ht="22.5" hidden="1">
      <c r="A384" s="85" t="s">
        <v>417</v>
      </c>
      <c r="B384" s="73"/>
      <c r="C384" s="73"/>
      <c r="D384" s="81">
        <f>D386</f>
        <v>1600000</v>
      </c>
      <c r="E384" s="81"/>
      <c r="F384" s="81">
        <f>D384</f>
        <v>1600000</v>
      </c>
      <c r="G384" s="81">
        <f>G386</f>
        <v>2216400</v>
      </c>
      <c r="H384" s="81"/>
      <c r="I384" s="81"/>
      <c r="J384" s="81">
        <f>G384</f>
        <v>2216400</v>
      </c>
      <c r="K384" s="81"/>
      <c r="L384" s="81"/>
      <c r="M384" s="81"/>
      <c r="N384" s="81">
        <f>N386</f>
        <v>2289700</v>
      </c>
      <c r="O384" s="81"/>
      <c r="P384" s="81">
        <f>N384</f>
        <v>2289700</v>
      </c>
      <c r="EB384" s="76"/>
      <c r="EC384" s="76"/>
      <c r="ED384" s="76"/>
      <c r="EE384" s="76"/>
      <c r="EF384" s="76"/>
      <c r="EG384" s="76"/>
    </row>
    <row r="385" spans="1:137" s="185" customFormat="1" ht="19.5" customHeight="1" hidden="1">
      <c r="A385" s="3" t="s">
        <v>77</v>
      </c>
      <c r="B385" s="184"/>
      <c r="C385" s="18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EB385" s="186"/>
      <c r="EC385" s="186"/>
      <c r="ED385" s="186"/>
      <c r="EE385" s="186"/>
      <c r="EF385" s="186"/>
      <c r="EG385" s="186"/>
    </row>
    <row r="386" spans="1:137" s="185" customFormat="1" ht="29.25" customHeight="1" hidden="1">
      <c r="A386" s="72" t="s">
        <v>375</v>
      </c>
      <c r="B386" s="184"/>
      <c r="C386" s="184"/>
      <c r="D386" s="74">
        <f>2140300-540300</f>
        <v>1600000</v>
      </c>
      <c r="E386" s="74"/>
      <c r="F386" s="74">
        <f>D386</f>
        <v>1600000</v>
      </c>
      <c r="G386" s="74">
        <v>2216400</v>
      </c>
      <c r="H386" s="74"/>
      <c r="I386" s="74"/>
      <c r="J386" s="74">
        <f>G386</f>
        <v>2216400</v>
      </c>
      <c r="K386" s="74"/>
      <c r="L386" s="74"/>
      <c r="M386" s="74"/>
      <c r="N386" s="74">
        <v>2289700</v>
      </c>
      <c r="O386" s="74"/>
      <c r="P386" s="74">
        <f>N386</f>
        <v>2289700</v>
      </c>
      <c r="EB386" s="186"/>
      <c r="EC386" s="186"/>
      <c r="ED386" s="186"/>
      <c r="EE386" s="186"/>
      <c r="EF386" s="186"/>
      <c r="EG386" s="186"/>
    </row>
    <row r="387" spans="1:137" s="185" customFormat="1" ht="11.25" hidden="1">
      <c r="A387" s="165" t="s">
        <v>275</v>
      </c>
      <c r="B387" s="184"/>
      <c r="C387" s="18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EB387" s="186"/>
      <c r="EC387" s="186"/>
      <c r="ED387" s="186"/>
      <c r="EE387" s="186"/>
      <c r="EF387" s="186"/>
      <c r="EG387" s="186"/>
    </row>
    <row r="388" spans="1:137" s="185" customFormat="1" ht="11.25" hidden="1">
      <c r="A388" s="72" t="s">
        <v>378</v>
      </c>
      <c r="B388" s="184"/>
      <c r="C388" s="184"/>
      <c r="D388" s="74">
        <v>7</v>
      </c>
      <c r="E388" s="74"/>
      <c r="F388" s="74">
        <f>D388</f>
        <v>7</v>
      </c>
      <c r="G388" s="74">
        <v>7</v>
      </c>
      <c r="H388" s="74"/>
      <c r="I388" s="74"/>
      <c r="J388" s="74">
        <f>G388</f>
        <v>7</v>
      </c>
      <c r="K388" s="74"/>
      <c r="L388" s="74"/>
      <c r="M388" s="74"/>
      <c r="N388" s="74">
        <v>7</v>
      </c>
      <c r="O388" s="74"/>
      <c r="P388" s="74">
        <f>N388</f>
        <v>7</v>
      </c>
      <c r="EB388" s="186"/>
      <c r="EC388" s="186"/>
      <c r="ED388" s="186"/>
      <c r="EE388" s="186"/>
      <c r="EF388" s="186"/>
      <c r="EG388" s="186"/>
    </row>
    <row r="389" spans="1:137" s="185" customFormat="1" ht="11.25" hidden="1">
      <c r="A389" s="165" t="s">
        <v>226</v>
      </c>
      <c r="B389" s="184"/>
      <c r="C389" s="18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EB389" s="186"/>
      <c r="EC389" s="186"/>
      <c r="ED389" s="186"/>
      <c r="EE389" s="186"/>
      <c r="EF389" s="186"/>
      <c r="EG389" s="186"/>
    </row>
    <row r="390" spans="1:137" s="185" customFormat="1" ht="29.25" customHeight="1" hidden="1">
      <c r="A390" s="72" t="s">
        <v>376</v>
      </c>
      <c r="B390" s="184"/>
      <c r="C390" s="184"/>
      <c r="D390" s="74">
        <f>D386/D388</f>
        <v>228571.42857142858</v>
      </c>
      <c r="E390" s="74"/>
      <c r="F390" s="74">
        <f>D390</f>
        <v>228571.42857142858</v>
      </c>
      <c r="G390" s="74">
        <f>G386/G388</f>
        <v>316628.5714285714</v>
      </c>
      <c r="H390" s="74"/>
      <c r="I390" s="74"/>
      <c r="J390" s="74">
        <f>G390</f>
        <v>316628.5714285714</v>
      </c>
      <c r="K390" s="74"/>
      <c r="L390" s="74"/>
      <c r="M390" s="74"/>
      <c r="N390" s="74">
        <f>N386/N388</f>
        <v>327100</v>
      </c>
      <c r="O390" s="74"/>
      <c r="P390" s="74">
        <f>N390</f>
        <v>327100</v>
      </c>
      <c r="EB390" s="186"/>
      <c r="EC390" s="186"/>
      <c r="ED390" s="186"/>
      <c r="EE390" s="186"/>
      <c r="EF390" s="186"/>
      <c r="EG390" s="186"/>
    </row>
    <row r="391" spans="1:137" s="185" customFormat="1" ht="16.5" customHeight="1" hidden="1">
      <c r="A391" s="165" t="s">
        <v>374</v>
      </c>
      <c r="B391" s="184"/>
      <c r="C391" s="18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EB391" s="186"/>
      <c r="EC391" s="186"/>
      <c r="ED391" s="186"/>
      <c r="EE391" s="186"/>
      <c r="EF391" s="186"/>
      <c r="EG391" s="186"/>
    </row>
    <row r="392" spans="1:137" s="185" customFormat="1" ht="33" customHeight="1" hidden="1">
      <c r="A392" s="72" t="s">
        <v>377</v>
      </c>
      <c r="B392" s="184"/>
      <c r="C392" s="184"/>
      <c r="D392" s="74"/>
      <c r="E392" s="74"/>
      <c r="F392" s="74"/>
      <c r="G392" s="74">
        <f>G390/D390*100</f>
        <v>138.52499999999998</v>
      </c>
      <c r="H392" s="74"/>
      <c r="I392" s="74"/>
      <c r="J392" s="74">
        <f>G392</f>
        <v>138.52499999999998</v>
      </c>
      <c r="K392" s="74"/>
      <c r="L392" s="74"/>
      <c r="M392" s="74"/>
      <c r="N392" s="74">
        <f>N390/G390*100</f>
        <v>103.30716477170185</v>
      </c>
      <c r="O392" s="74"/>
      <c r="P392" s="74">
        <f>N392</f>
        <v>103.30716477170185</v>
      </c>
      <c r="EB392" s="186"/>
      <c r="EC392" s="186"/>
      <c r="ED392" s="186"/>
      <c r="EE392" s="186"/>
      <c r="EF392" s="186"/>
      <c r="EG392" s="186"/>
    </row>
    <row r="393" spans="1:137" s="185" customFormat="1" ht="21" customHeight="1" hidden="1">
      <c r="A393" s="85" t="s">
        <v>418</v>
      </c>
      <c r="B393" s="184"/>
      <c r="C393" s="184"/>
      <c r="D393" s="81">
        <f>D395</f>
        <v>500000</v>
      </c>
      <c r="E393" s="81"/>
      <c r="F393" s="81">
        <f>D393</f>
        <v>500000</v>
      </c>
      <c r="G393" s="81">
        <f>G395</f>
        <v>550000</v>
      </c>
      <c r="H393" s="81"/>
      <c r="I393" s="81"/>
      <c r="J393" s="81">
        <f>G393</f>
        <v>550000</v>
      </c>
      <c r="K393" s="81"/>
      <c r="L393" s="81"/>
      <c r="M393" s="81"/>
      <c r="N393" s="81">
        <f>N395</f>
        <v>600000</v>
      </c>
      <c r="O393" s="81"/>
      <c r="P393" s="81">
        <f>N393</f>
        <v>600000</v>
      </c>
      <c r="EB393" s="186"/>
      <c r="EC393" s="186"/>
      <c r="ED393" s="186"/>
      <c r="EE393" s="186"/>
      <c r="EF393" s="186"/>
      <c r="EG393" s="186"/>
    </row>
    <row r="394" spans="1:137" s="185" customFormat="1" ht="16.5" customHeight="1" hidden="1">
      <c r="A394" s="3" t="s">
        <v>77</v>
      </c>
      <c r="B394" s="184"/>
      <c r="C394" s="18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EB394" s="186"/>
      <c r="EC394" s="186"/>
      <c r="ED394" s="186"/>
      <c r="EE394" s="186"/>
      <c r="EF394" s="186"/>
      <c r="EG394" s="186"/>
    </row>
    <row r="395" spans="1:137" s="185" customFormat="1" ht="29.25" customHeight="1" hidden="1">
      <c r="A395" s="72" t="s">
        <v>379</v>
      </c>
      <c r="B395" s="184"/>
      <c r="C395" s="184"/>
      <c r="D395" s="74">
        <v>500000</v>
      </c>
      <c r="E395" s="74"/>
      <c r="F395" s="74">
        <f>D395</f>
        <v>500000</v>
      </c>
      <c r="G395" s="74">
        <v>550000</v>
      </c>
      <c r="H395" s="74"/>
      <c r="I395" s="74"/>
      <c r="J395" s="74">
        <f>G395</f>
        <v>550000</v>
      </c>
      <c r="K395" s="74"/>
      <c r="L395" s="74"/>
      <c r="M395" s="74"/>
      <c r="N395" s="74">
        <v>600000</v>
      </c>
      <c r="O395" s="74"/>
      <c r="P395" s="74">
        <f>N395</f>
        <v>600000</v>
      </c>
      <c r="EB395" s="186"/>
      <c r="EC395" s="186"/>
      <c r="ED395" s="186"/>
      <c r="EE395" s="186"/>
      <c r="EF395" s="186"/>
      <c r="EG395" s="186"/>
    </row>
    <row r="396" spans="1:137" s="185" customFormat="1" ht="18.75" customHeight="1" hidden="1">
      <c r="A396" s="165" t="s">
        <v>275</v>
      </c>
      <c r="B396" s="184"/>
      <c r="C396" s="18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EB396" s="186"/>
      <c r="EC396" s="186"/>
      <c r="ED396" s="186"/>
      <c r="EE396" s="186"/>
      <c r="EF396" s="186"/>
      <c r="EG396" s="186"/>
    </row>
    <row r="397" spans="1:137" s="185" customFormat="1" ht="22.5" hidden="1">
      <c r="A397" s="72" t="s">
        <v>382</v>
      </c>
      <c r="B397" s="184"/>
      <c r="C397" s="184"/>
      <c r="D397" s="74">
        <f>D395/D399</f>
        <v>35971.22302158273</v>
      </c>
      <c r="E397" s="74"/>
      <c r="F397" s="74">
        <f>D397</f>
        <v>35971.22302158273</v>
      </c>
      <c r="G397" s="74">
        <v>35971.22</v>
      </c>
      <c r="H397" s="74"/>
      <c r="I397" s="74"/>
      <c r="J397" s="74">
        <f>G397</f>
        <v>35971.22</v>
      </c>
      <c r="K397" s="74"/>
      <c r="L397" s="74"/>
      <c r="M397" s="74"/>
      <c r="N397" s="74">
        <v>35971.22</v>
      </c>
      <c r="O397" s="74"/>
      <c r="P397" s="74">
        <f>N397</f>
        <v>35971.22</v>
      </c>
      <c r="EB397" s="186"/>
      <c r="EC397" s="186"/>
      <c r="ED397" s="186"/>
      <c r="EE397" s="186"/>
      <c r="EF397" s="186"/>
      <c r="EG397" s="186"/>
    </row>
    <row r="398" spans="1:137" s="185" customFormat="1" ht="11.25" hidden="1">
      <c r="A398" s="165" t="s">
        <v>226</v>
      </c>
      <c r="B398" s="184"/>
      <c r="C398" s="18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EB398" s="186"/>
      <c r="EC398" s="186"/>
      <c r="ED398" s="186"/>
      <c r="EE398" s="186"/>
      <c r="EF398" s="186"/>
      <c r="EG398" s="186"/>
    </row>
    <row r="399" spans="1:137" s="185" customFormat="1" ht="11.25" hidden="1">
      <c r="A399" s="72" t="s">
        <v>380</v>
      </c>
      <c r="B399" s="184"/>
      <c r="C399" s="184"/>
      <c r="D399" s="74">
        <v>13.9</v>
      </c>
      <c r="E399" s="74"/>
      <c r="F399" s="74">
        <f>D399</f>
        <v>13.9</v>
      </c>
      <c r="G399" s="74">
        <f>G395/G397</f>
        <v>15.290001284360107</v>
      </c>
      <c r="H399" s="74"/>
      <c r="I399" s="74"/>
      <c r="J399" s="74">
        <f>G399</f>
        <v>15.290001284360107</v>
      </c>
      <c r="K399" s="74"/>
      <c r="L399" s="74"/>
      <c r="M399" s="74"/>
      <c r="N399" s="74">
        <f>N395/N397</f>
        <v>16.680001401120116</v>
      </c>
      <c r="O399" s="74"/>
      <c r="P399" s="74">
        <f>N399</f>
        <v>16.680001401120116</v>
      </c>
      <c r="EB399" s="186"/>
      <c r="EC399" s="186"/>
      <c r="ED399" s="186"/>
      <c r="EE399" s="186"/>
      <c r="EF399" s="186"/>
      <c r="EG399" s="186"/>
    </row>
    <row r="400" spans="1:137" s="185" customFormat="1" ht="11.25" hidden="1">
      <c r="A400" s="165" t="s">
        <v>374</v>
      </c>
      <c r="B400" s="184"/>
      <c r="C400" s="18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EB400" s="186"/>
      <c r="EC400" s="186"/>
      <c r="ED400" s="186"/>
      <c r="EE400" s="186"/>
      <c r="EF400" s="186"/>
      <c r="EG400" s="186"/>
    </row>
    <row r="401" spans="1:137" s="185" customFormat="1" ht="29.25" customHeight="1" hidden="1">
      <c r="A401" s="72" t="s">
        <v>381</v>
      </c>
      <c r="B401" s="184"/>
      <c r="C401" s="184"/>
      <c r="D401" s="74"/>
      <c r="E401" s="74"/>
      <c r="F401" s="74"/>
      <c r="G401" s="74">
        <f>G399/D399*100</f>
        <v>110.00000924000078</v>
      </c>
      <c r="H401" s="74"/>
      <c r="I401" s="74"/>
      <c r="J401" s="74">
        <f>G401</f>
        <v>110.00000924000078</v>
      </c>
      <c r="K401" s="74"/>
      <c r="L401" s="74"/>
      <c r="M401" s="74"/>
      <c r="N401" s="74">
        <f>N399/G399*100</f>
        <v>109.09090909090908</v>
      </c>
      <c r="O401" s="74"/>
      <c r="P401" s="74">
        <f>N401</f>
        <v>109.09090909090908</v>
      </c>
      <c r="EB401" s="186"/>
      <c r="EC401" s="186"/>
      <c r="ED401" s="186"/>
      <c r="EE401" s="186"/>
      <c r="EF401" s="186"/>
      <c r="EG401" s="186"/>
    </row>
    <row r="402" spans="1:137" s="75" customFormat="1" ht="29.25" customHeight="1" hidden="1">
      <c r="A402" s="85" t="s">
        <v>419</v>
      </c>
      <c r="B402" s="73"/>
      <c r="C402" s="73"/>
      <c r="D402" s="81">
        <f>D404</f>
        <v>8200000</v>
      </c>
      <c r="E402" s="81"/>
      <c r="F402" s="81">
        <f>D402</f>
        <v>8200000</v>
      </c>
      <c r="G402" s="81">
        <f>G404</f>
        <v>2423200</v>
      </c>
      <c r="H402" s="81"/>
      <c r="I402" s="81"/>
      <c r="J402" s="81">
        <f>G402</f>
        <v>2423200</v>
      </c>
      <c r="K402" s="81"/>
      <c r="L402" s="81"/>
      <c r="M402" s="81"/>
      <c r="N402" s="81">
        <f>N404</f>
        <v>2568600</v>
      </c>
      <c r="O402" s="81"/>
      <c r="P402" s="81">
        <f>N402</f>
        <v>2568600</v>
      </c>
      <c r="EB402" s="76"/>
      <c r="EC402" s="76"/>
      <c r="ED402" s="76"/>
      <c r="EE402" s="76"/>
      <c r="EF402" s="76"/>
      <c r="EG402" s="76"/>
    </row>
    <row r="403" spans="1:137" s="185" customFormat="1" ht="20.25" customHeight="1" hidden="1">
      <c r="A403" s="3" t="s">
        <v>77</v>
      </c>
      <c r="B403" s="184"/>
      <c r="C403" s="18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EB403" s="186"/>
      <c r="EC403" s="186"/>
      <c r="ED403" s="186"/>
      <c r="EE403" s="186"/>
      <c r="EF403" s="186"/>
      <c r="EG403" s="186"/>
    </row>
    <row r="404" spans="1:137" s="185" customFormat="1" ht="29.25" customHeight="1" hidden="1">
      <c r="A404" s="72" t="s">
        <v>383</v>
      </c>
      <c r="B404" s="184"/>
      <c r="C404" s="184"/>
      <c r="D404" s="74">
        <f>2271100+300000+3579000+2049900</f>
        <v>8200000</v>
      </c>
      <c r="E404" s="74"/>
      <c r="F404" s="74">
        <f>D404</f>
        <v>8200000</v>
      </c>
      <c r="G404" s="74">
        <v>2423200</v>
      </c>
      <c r="H404" s="74"/>
      <c r="I404" s="74"/>
      <c r="J404" s="74">
        <f>G404</f>
        <v>2423200</v>
      </c>
      <c r="K404" s="74"/>
      <c r="L404" s="74"/>
      <c r="M404" s="74"/>
      <c r="N404" s="74">
        <v>2568600</v>
      </c>
      <c r="O404" s="74"/>
      <c r="P404" s="74">
        <f>N404</f>
        <v>2568600</v>
      </c>
      <c r="EB404" s="186"/>
      <c r="EC404" s="186"/>
      <c r="ED404" s="186"/>
      <c r="EE404" s="186"/>
      <c r="EF404" s="186"/>
      <c r="EG404" s="186"/>
    </row>
    <row r="405" spans="1:137" s="185" customFormat="1" ht="11.25" hidden="1">
      <c r="A405" s="165" t="s">
        <v>275</v>
      </c>
      <c r="B405" s="184"/>
      <c r="C405" s="18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EB405" s="186"/>
      <c r="EC405" s="186"/>
      <c r="ED405" s="186"/>
      <c r="EE405" s="186"/>
      <c r="EF405" s="186"/>
      <c r="EG405" s="186"/>
    </row>
    <row r="406" spans="1:137" s="185" customFormat="1" ht="29.25" customHeight="1" hidden="1">
      <c r="A406" s="72" t="s">
        <v>384</v>
      </c>
      <c r="B406" s="184"/>
      <c r="C406" s="184"/>
      <c r="D406" s="74">
        <v>186</v>
      </c>
      <c r="E406" s="74"/>
      <c r="F406" s="74">
        <f>D406</f>
        <v>186</v>
      </c>
      <c r="G406" s="74">
        <v>186</v>
      </c>
      <c r="H406" s="74"/>
      <c r="I406" s="74"/>
      <c r="J406" s="74">
        <f>G406</f>
        <v>186</v>
      </c>
      <c r="K406" s="74"/>
      <c r="L406" s="74"/>
      <c r="M406" s="74"/>
      <c r="N406" s="74">
        <v>186</v>
      </c>
      <c r="O406" s="74"/>
      <c r="P406" s="74">
        <f>N406</f>
        <v>186</v>
      </c>
      <c r="EB406" s="186"/>
      <c r="EC406" s="186"/>
      <c r="ED406" s="186"/>
      <c r="EE406" s="186"/>
      <c r="EF406" s="186"/>
      <c r="EG406" s="186"/>
    </row>
    <row r="407" spans="1:137" s="185" customFormat="1" ht="11.25" hidden="1">
      <c r="A407" s="165" t="s">
        <v>226</v>
      </c>
      <c r="B407" s="184"/>
      <c r="C407" s="18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EB407" s="186"/>
      <c r="EC407" s="186"/>
      <c r="ED407" s="186"/>
      <c r="EE407" s="186"/>
      <c r="EF407" s="186"/>
      <c r="EG407" s="186"/>
    </row>
    <row r="408" spans="1:137" s="185" customFormat="1" ht="29.25" customHeight="1" hidden="1">
      <c r="A408" s="72" t="s">
        <v>385</v>
      </c>
      <c r="B408" s="184"/>
      <c r="C408" s="184"/>
      <c r="D408" s="74">
        <f>D404/D406</f>
        <v>44086.021505376346</v>
      </c>
      <c r="E408" s="74"/>
      <c r="F408" s="74">
        <f>D408</f>
        <v>44086.021505376346</v>
      </c>
      <c r="G408" s="74">
        <f>G404/G406</f>
        <v>13027.956989247312</v>
      </c>
      <c r="H408" s="74"/>
      <c r="I408" s="74"/>
      <c r="J408" s="74">
        <f>G408</f>
        <v>13027.956989247312</v>
      </c>
      <c r="K408" s="74"/>
      <c r="L408" s="74"/>
      <c r="M408" s="74"/>
      <c r="N408" s="74">
        <f>N404/N406</f>
        <v>13809.677419354839</v>
      </c>
      <c r="O408" s="74"/>
      <c r="P408" s="74">
        <f>N408</f>
        <v>13809.677419354839</v>
      </c>
      <c r="EB408" s="186"/>
      <c r="EC408" s="186"/>
      <c r="ED408" s="186"/>
      <c r="EE408" s="186"/>
      <c r="EF408" s="186"/>
      <c r="EG408" s="186"/>
    </row>
    <row r="409" spans="1:137" s="185" customFormat="1" ht="11.25" hidden="1">
      <c r="A409" s="165" t="s">
        <v>374</v>
      </c>
      <c r="B409" s="184"/>
      <c r="C409" s="18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EB409" s="186"/>
      <c r="EC409" s="186"/>
      <c r="ED409" s="186"/>
      <c r="EE409" s="186"/>
      <c r="EF409" s="186"/>
      <c r="EG409" s="186"/>
    </row>
    <row r="410" spans="1:137" s="185" customFormat="1" ht="45" hidden="1">
      <c r="A410" s="72" t="s">
        <v>386</v>
      </c>
      <c r="B410" s="184"/>
      <c r="C410" s="184"/>
      <c r="D410" s="74"/>
      <c r="E410" s="74"/>
      <c r="F410" s="74"/>
      <c r="G410" s="74">
        <f>G408/D408*100</f>
        <v>29.55121951219512</v>
      </c>
      <c r="H410" s="74"/>
      <c r="I410" s="74"/>
      <c r="J410" s="74">
        <f>G410</f>
        <v>29.55121951219512</v>
      </c>
      <c r="K410" s="74"/>
      <c r="L410" s="74"/>
      <c r="M410" s="74"/>
      <c r="N410" s="74">
        <f>N408/G408*100</f>
        <v>106.00033014196104</v>
      </c>
      <c r="O410" s="74"/>
      <c r="P410" s="74">
        <f>N410</f>
        <v>106.00033014196104</v>
      </c>
      <c r="EB410" s="186"/>
      <c r="EC410" s="186"/>
      <c r="ED410" s="186"/>
      <c r="EE410" s="186"/>
      <c r="EF410" s="186"/>
      <c r="EG410" s="186"/>
    </row>
    <row r="411" spans="1:137" s="185" customFormat="1" ht="24" customHeight="1" hidden="1">
      <c r="A411" s="85" t="s">
        <v>456</v>
      </c>
      <c r="B411" s="184"/>
      <c r="C411" s="184"/>
      <c r="D411" s="81">
        <f>D413</f>
        <v>263000</v>
      </c>
      <c r="E411" s="81"/>
      <c r="F411" s="81">
        <f>D411</f>
        <v>263000</v>
      </c>
      <c r="G411" s="81">
        <f>G413</f>
        <v>350000</v>
      </c>
      <c r="H411" s="81"/>
      <c r="I411" s="81"/>
      <c r="J411" s="81">
        <f>G411</f>
        <v>350000</v>
      </c>
      <c r="K411" s="81"/>
      <c r="L411" s="81"/>
      <c r="M411" s="81"/>
      <c r="N411" s="81">
        <f>N413</f>
        <v>350000</v>
      </c>
      <c r="O411" s="81"/>
      <c r="P411" s="81">
        <f>N411</f>
        <v>350000</v>
      </c>
      <c r="Q411" s="75"/>
      <c r="R411" s="75"/>
      <c r="EB411" s="186"/>
      <c r="EC411" s="186"/>
      <c r="ED411" s="186"/>
      <c r="EE411" s="186"/>
      <c r="EF411" s="186"/>
      <c r="EG411" s="186"/>
    </row>
    <row r="412" spans="1:137" s="185" customFormat="1" ht="21.75" customHeight="1" hidden="1">
      <c r="A412" s="3" t="s">
        <v>77</v>
      </c>
      <c r="B412" s="184"/>
      <c r="C412" s="18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EB412" s="186"/>
      <c r="EC412" s="186"/>
      <c r="ED412" s="186"/>
      <c r="EE412" s="186"/>
      <c r="EF412" s="186"/>
      <c r="EG412" s="186"/>
    </row>
    <row r="413" spans="1:137" s="185" customFormat="1" ht="27.75" customHeight="1" hidden="1">
      <c r="A413" s="72" t="s">
        <v>373</v>
      </c>
      <c r="B413" s="184"/>
      <c r="C413" s="184"/>
      <c r="D413" s="74">
        <f>350000-87000</f>
        <v>263000</v>
      </c>
      <c r="E413" s="74"/>
      <c r="F413" s="74">
        <f>D413</f>
        <v>263000</v>
      </c>
      <c r="G413" s="74">
        <v>350000</v>
      </c>
      <c r="H413" s="74"/>
      <c r="I413" s="74"/>
      <c r="J413" s="74">
        <f>G413</f>
        <v>350000</v>
      </c>
      <c r="K413" s="74"/>
      <c r="L413" s="74"/>
      <c r="M413" s="74"/>
      <c r="N413" s="74">
        <v>350000</v>
      </c>
      <c r="O413" s="74"/>
      <c r="P413" s="74">
        <f>N413</f>
        <v>350000</v>
      </c>
      <c r="EB413" s="186"/>
      <c r="EC413" s="186"/>
      <c r="ED413" s="186"/>
      <c r="EE413" s="186"/>
      <c r="EF413" s="186"/>
      <c r="EG413" s="186"/>
    </row>
    <row r="414" spans="1:137" s="185" customFormat="1" ht="21" customHeight="1" hidden="1">
      <c r="A414" s="165" t="s">
        <v>275</v>
      </c>
      <c r="B414" s="184"/>
      <c r="C414" s="18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EB414" s="186"/>
      <c r="EC414" s="186"/>
      <c r="ED414" s="186"/>
      <c r="EE414" s="186"/>
      <c r="EF414" s="186"/>
      <c r="EG414" s="186"/>
    </row>
    <row r="415" spans="1:137" s="185" customFormat="1" ht="23.25" customHeight="1" hidden="1">
      <c r="A415" s="72" t="s">
        <v>82</v>
      </c>
      <c r="B415" s="184"/>
      <c r="C415" s="184"/>
      <c r="D415" s="74">
        <v>75</v>
      </c>
      <c r="E415" s="74"/>
      <c r="F415" s="74">
        <f>D415</f>
        <v>75</v>
      </c>
      <c r="G415" s="74">
        <v>90</v>
      </c>
      <c r="H415" s="74"/>
      <c r="I415" s="74"/>
      <c r="J415" s="74">
        <f>G415</f>
        <v>90</v>
      </c>
      <c r="K415" s="74"/>
      <c r="L415" s="74"/>
      <c r="M415" s="74"/>
      <c r="N415" s="74">
        <v>85</v>
      </c>
      <c r="O415" s="74"/>
      <c r="P415" s="74">
        <f>N415</f>
        <v>85</v>
      </c>
      <c r="EB415" s="186"/>
      <c r="EC415" s="186"/>
      <c r="ED415" s="186"/>
      <c r="EE415" s="186"/>
      <c r="EF415" s="186"/>
      <c r="EG415" s="186"/>
    </row>
    <row r="416" spans="1:137" s="185" customFormat="1" ht="15.75" customHeight="1" hidden="1">
      <c r="A416" s="165" t="s">
        <v>226</v>
      </c>
      <c r="B416" s="184"/>
      <c r="C416" s="18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EB416" s="186"/>
      <c r="EC416" s="186"/>
      <c r="ED416" s="186"/>
      <c r="EE416" s="186"/>
      <c r="EF416" s="186"/>
      <c r="EG416" s="186"/>
    </row>
    <row r="417" spans="1:137" s="185" customFormat="1" ht="29.25" customHeight="1" hidden="1">
      <c r="A417" s="72" t="s">
        <v>102</v>
      </c>
      <c r="B417" s="184"/>
      <c r="C417" s="184"/>
      <c r="D417" s="74">
        <f>D413/D415</f>
        <v>3506.6666666666665</v>
      </c>
      <c r="E417" s="74"/>
      <c r="F417" s="74">
        <f>D417</f>
        <v>3506.6666666666665</v>
      </c>
      <c r="G417" s="74">
        <f>G413/G415</f>
        <v>3888.8888888888887</v>
      </c>
      <c r="H417" s="74"/>
      <c r="I417" s="74"/>
      <c r="J417" s="74">
        <f>G417</f>
        <v>3888.8888888888887</v>
      </c>
      <c r="K417" s="74"/>
      <c r="L417" s="74"/>
      <c r="M417" s="74"/>
      <c r="N417" s="74">
        <f>N413/N415</f>
        <v>4117.64705882353</v>
      </c>
      <c r="O417" s="74"/>
      <c r="P417" s="74">
        <f>N417</f>
        <v>4117.64705882353</v>
      </c>
      <c r="EB417" s="186"/>
      <c r="EC417" s="186"/>
      <c r="ED417" s="186"/>
      <c r="EE417" s="186"/>
      <c r="EF417" s="186"/>
      <c r="EG417" s="186"/>
    </row>
    <row r="418" spans="1:137" s="185" customFormat="1" ht="15.75" customHeight="1" hidden="1">
      <c r="A418" s="165" t="s">
        <v>374</v>
      </c>
      <c r="B418" s="184"/>
      <c r="C418" s="18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EB418" s="186"/>
      <c r="EC418" s="186"/>
      <c r="ED418" s="186"/>
      <c r="EE418" s="186"/>
      <c r="EF418" s="186"/>
      <c r="EG418" s="186"/>
    </row>
    <row r="419" spans="1:137" s="185" customFormat="1" ht="29.25" customHeight="1" hidden="1">
      <c r="A419" s="72" t="s">
        <v>120</v>
      </c>
      <c r="B419" s="184"/>
      <c r="C419" s="184"/>
      <c r="D419" s="74"/>
      <c r="E419" s="74"/>
      <c r="F419" s="74"/>
      <c r="G419" s="74">
        <f>G417/D417*100</f>
        <v>110.8998732572877</v>
      </c>
      <c r="H419" s="74"/>
      <c r="I419" s="74"/>
      <c r="J419" s="74">
        <f>G419</f>
        <v>110.8998732572877</v>
      </c>
      <c r="K419" s="74"/>
      <c r="L419" s="74"/>
      <c r="M419" s="74"/>
      <c r="N419" s="74">
        <f>N417/G417*100</f>
        <v>105.88235294117649</v>
      </c>
      <c r="O419" s="74"/>
      <c r="P419" s="74">
        <f>N419</f>
        <v>105.88235294117649</v>
      </c>
      <c r="EB419" s="186"/>
      <c r="EC419" s="186"/>
      <c r="ED419" s="186"/>
      <c r="EE419" s="186"/>
      <c r="EF419" s="186"/>
      <c r="EG419" s="186"/>
    </row>
    <row r="420" spans="1:137" s="75" customFormat="1" ht="22.5" hidden="1">
      <c r="A420" s="85" t="s">
        <v>504</v>
      </c>
      <c r="B420" s="73"/>
      <c r="C420" s="73"/>
      <c r="D420" s="81">
        <f>D422</f>
        <v>339200</v>
      </c>
      <c r="E420" s="81"/>
      <c r="F420" s="81">
        <f>D420</f>
        <v>339200</v>
      </c>
      <c r="G420" s="81">
        <f>G422</f>
        <v>504700</v>
      </c>
      <c r="H420" s="81"/>
      <c r="I420" s="81"/>
      <c r="J420" s="81">
        <f>G420</f>
        <v>504700</v>
      </c>
      <c r="K420" s="81"/>
      <c r="L420" s="81"/>
      <c r="M420" s="81"/>
      <c r="N420" s="81">
        <f>N422</f>
        <v>564300</v>
      </c>
      <c r="O420" s="81"/>
      <c r="P420" s="81">
        <f>N420</f>
        <v>564300</v>
      </c>
      <c r="EB420" s="76"/>
      <c r="EC420" s="76"/>
      <c r="ED420" s="76"/>
      <c r="EE420" s="76"/>
      <c r="EF420" s="76"/>
      <c r="EG420" s="76"/>
    </row>
    <row r="421" spans="1:137" s="185" customFormat="1" ht="11.25" hidden="1">
      <c r="A421" s="3" t="s">
        <v>77</v>
      </c>
      <c r="B421" s="184"/>
      <c r="C421" s="18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EB421" s="186"/>
      <c r="EC421" s="186"/>
      <c r="ED421" s="186"/>
      <c r="EE421" s="186"/>
      <c r="EF421" s="186"/>
      <c r="EG421" s="186"/>
    </row>
    <row r="422" spans="1:137" s="185" customFormat="1" ht="22.5" hidden="1">
      <c r="A422" s="72" t="s">
        <v>390</v>
      </c>
      <c r="B422" s="184"/>
      <c r="C422" s="184"/>
      <c r="D422" s="74">
        <f>447100-107900</f>
        <v>339200</v>
      </c>
      <c r="E422" s="74"/>
      <c r="F422" s="74">
        <f>D422</f>
        <v>339200</v>
      </c>
      <c r="G422" s="74">
        <v>504700</v>
      </c>
      <c r="H422" s="74"/>
      <c r="I422" s="74"/>
      <c r="J422" s="74">
        <f>G422</f>
        <v>504700</v>
      </c>
      <c r="K422" s="74"/>
      <c r="L422" s="74"/>
      <c r="M422" s="74"/>
      <c r="N422" s="74">
        <v>564300</v>
      </c>
      <c r="O422" s="74"/>
      <c r="P422" s="74">
        <f>N422</f>
        <v>564300</v>
      </c>
      <c r="EB422" s="186"/>
      <c r="EC422" s="186"/>
      <c r="ED422" s="186"/>
      <c r="EE422" s="186"/>
      <c r="EF422" s="186"/>
      <c r="EG422" s="186"/>
    </row>
    <row r="423" spans="1:137" s="185" customFormat="1" ht="20.25" customHeight="1" hidden="1">
      <c r="A423" s="165" t="s">
        <v>275</v>
      </c>
      <c r="B423" s="184"/>
      <c r="C423" s="18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EB423" s="186"/>
      <c r="EC423" s="186"/>
      <c r="ED423" s="186"/>
      <c r="EE423" s="186"/>
      <c r="EF423" s="186"/>
      <c r="EG423" s="186"/>
    </row>
    <row r="424" spans="1:137" s="185" customFormat="1" ht="11.25" hidden="1">
      <c r="A424" s="6" t="s">
        <v>391</v>
      </c>
      <c r="B424" s="184"/>
      <c r="C424" s="184"/>
      <c r="D424" s="74">
        <v>1</v>
      </c>
      <c r="E424" s="74"/>
      <c r="F424" s="74">
        <f>D424</f>
        <v>1</v>
      </c>
      <c r="G424" s="74">
        <v>1</v>
      </c>
      <c r="H424" s="74"/>
      <c r="I424" s="74"/>
      <c r="J424" s="74">
        <f>G424</f>
        <v>1</v>
      </c>
      <c r="K424" s="74"/>
      <c r="L424" s="74"/>
      <c r="M424" s="74"/>
      <c r="N424" s="74">
        <v>1</v>
      </c>
      <c r="O424" s="74"/>
      <c r="P424" s="74">
        <f>N424</f>
        <v>1</v>
      </c>
      <c r="EB424" s="186"/>
      <c r="EC424" s="186"/>
      <c r="ED424" s="186"/>
      <c r="EE424" s="186"/>
      <c r="EF424" s="186"/>
      <c r="EG424" s="186"/>
    </row>
    <row r="425" spans="1:137" s="185" customFormat="1" ht="11.25" hidden="1">
      <c r="A425" s="165" t="s">
        <v>226</v>
      </c>
      <c r="B425" s="184"/>
      <c r="C425" s="18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EB425" s="186"/>
      <c r="EC425" s="186"/>
      <c r="ED425" s="186"/>
      <c r="EE425" s="186"/>
      <c r="EF425" s="186"/>
      <c r="EG425" s="186"/>
    </row>
    <row r="426" spans="1:137" s="185" customFormat="1" ht="22.5" hidden="1">
      <c r="A426" s="72" t="s">
        <v>546</v>
      </c>
      <c r="B426" s="184"/>
      <c r="C426" s="184"/>
      <c r="D426" s="74">
        <f>D422/D424/12</f>
        <v>28266.666666666668</v>
      </c>
      <c r="E426" s="74"/>
      <c r="F426" s="74">
        <f>D426</f>
        <v>28266.666666666668</v>
      </c>
      <c r="G426" s="74">
        <f>G422/G424/12</f>
        <v>42058.333333333336</v>
      </c>
      <c r="H426" s="74"/>
      <c r="I426" s="74"/>
      <c r="J426" s="74">
        <f>G426</f>
        <v>42058.333333333336</v>
      </c>
      <c r="K426" s="74"/>
      <c r="L426" s="74"/>
      <c r="M426" s="74"/>
      <c r="N426" s="74">
        <f>N422/N424/12</f>
        <v>47025</v>
      </c>
      <c r="O426" s="74"/>
      <c r="P426" s="74">
        <f>N426</f>
        <v>47025</v>
      </c>
      <c r="EB426" s="186"/>
      <c r="EC426" s="186"/>
      <c r="ED426" s="186"/>
      <c r="EE426" s="186"/>
      <c r="EF426" s="186"/>
      <c r="EG426" s="186"/>
    </row>
    <row r="427" spans="1:137" s="185" customFormat="1" ht="11.25" hidden="1">
      <c r="A427" s="165" t="s">
        <v>374</v>
      </c>
      <c r="B427" s="184"/>
      <c r="C427" s="18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EB427" s="186"/>
      <c r="EC427" s="186"/>
      <c r="ED427" s="186"/>
      <c r="EE427" s="186"/>
      <c r="EF427" s="186"/>
      <c r="EG427" s="186"/>
    </row>
    <row r="428" spans="1:137" s="185" customFormat="1" ht="33.75" hidden="1">
      <c r="A428" s="72" t="s">
        <v>392</v>
      </c>
      <c r="B428" s="184"/>
      <c r="C428" s="184"/>
      <c r="D428" s="74"/>
      <c r="E428" s="74"/>
      <c r="F428" s="74"/>
      <c r="G428" s="74">
        <f>G426/D426*100</f>
        <v>148.79127358490567</v>
      </c>
      <c r="H428" s="74"/>
      <c r="I428" s="74"/>
      <c r="J428" s="74">
        <f>G428</f>
        <v>148.79127358490567</v>
      </c>
      <c r="K428" s="74"/>
      <c r="L428" s="74"/>
      <c r="M428" s="74"/>
      <c r="N428" s="74">
        <f>N426/G426*100</f>
        <v>111.80899544283733</v>
      </c>
      <c r="O428" s="74"/>
      <c r="P428" s="74">
        <f>N428</f>
        <v>111.80899544283733</v>
      </c>
      <c r="EB428" s="186"/>
      <c r="EC428" s="186"/>
      <c r="ED428" s="186"/>
      <c r="EE428" s="186"/>
      <c r="EF428" s="186"/>
      <c r="EG428" s="186"/>
    </row>
    <row r="429" spans="1:137" s="75" customFormat="1" ht="34.5" customHeight="1" hidden="1">
      <c r="A429" s="85" t="s">
        <v>505</v>
      </c>
      <c r="B429" s="73"/>
      <c r="C429" s="73"/>
      <c r="D429" s="81">
        <f>D431</f>
        <v>341700</v>
      </c>
      <c r="E429" s="81"/>
      <c r="F429" s="81">
        <f>D429</f>
        <v>341700</v>
      </c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EB429" s="76"/>
      <c r="EC429" s="76"/>
      <c r="ED429" s="76"/>
      <c r="EE429" s="76"/>
      <c r="EF429" s="76"/>
      <c r="EG429" s="76"/>
    </row>
    <row r="430" spans="1:137" s="185" customFormat="1" ht="11.25" hidden="1">
      <c r="A430" s="3" t="s">
        <v>77</v>
      </c>
      <c r="B430" s="184"/>
      <c r="C430" s="18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EB430" s="186"/>
      <c r="EC430" s="186"/>
      <c r="ED430" s="186"/>
      <c r="EE430" s="186"/>
      <c r="EF430" s="186"/>
      <c r="EG430" s="186"/>
    </row>
    <row r="431" spans="1:137" s="185" customFormat="1" ht="34.5" customHeight="1" hidden="1">
      <c r="A431" s="72" t="s">
        <v>393</v>
      </c>
      <c r="B431" s="184"/>
      <c r="C431" s="184"/>
      <c r="D431" s="74">
        <v>341700</v>
      </c>
      <c r="E431" s="74"/>
      <c r="F431" s="74">
        <f>D431</f>
        <v>341700</v>
      </c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EB431" s="186"/>
      <c r="EC431" s="186"/>
      <c r="ED431" s="186"/>
      <c r="EE431" s="186"/>
      <c r="EF431" s="186"/>
      <c r="EG431" s="186"/>
    </row>
    <row r="432" spans="1:137" s="185" customFormat="1" ht="11.25" hidden="1">
      <c r="A432" s="165" t="s">
        <v>275</v>
      </c>
      <c r="B432" s="184"/>
      <c r="C432" s="18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EB432" s="186"/>
      <c r="EC432" s="186"/>
      <c r="ED432" s="186"/>
      <c r="EE432" s="186"/>
      <c r="EF432" s="186"/>
      <c r="EG432" s="186"/>
    </row>
    <row r="433" spans="1:137" s="185" customFormat="1" ht="22.5" hidden="1">
      <c r="A433" s="6" t="s">
        <v>394</v>
      </c>
      <c r="B433" s="184"/>
      <c r="C433" s="184"/>
      <c r="D433" s="74">
        <v>7</v>
      </c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EB433" s="186"/>
      <c r="EC433" s="186"/>
      <c r="ED433" s="186"/>
      <c r="EE433" s="186"/>
      <c r="EF433" s="186"/>
      <c r="EG433" s="186"/>
    </row>
    <row r="434" spans="1:137" s="185" customFormat="1" ht="11.25" hidden="1">
      <c r="A434" s="165" t="s">
        <v>226</v>
      </c>
      <c r="B434" s="184"/>
      <c r="C434" s="18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EB434" s="186"/>
      <c r="EC434" s="186"/>
      <c r="ED434" s="186"/>
      <c r="EE434" s="186"/>
      <c r="EF434" s="186"/>
      <c r="EG434" s="186"/>
    </row>
    <row r="435" spans="1:137" s="185" customFormat="1" ht="22.5" hidden="1">
      <c r="A435" s="72" t="s">
        <v>395</v>
      </c>
      <c r="B435" s="184"/>
      <c r="C435" s="184"/>
      <c r="D435" s="5">
        <f>D431/D433</f>
        <v>48814.28571428572</v>
      </c>
      <c r="E435" s="5"/>
      <c r="F435" s="5">
        <f>D435</f>
        <v>48814.28571428572</v>
      </c>
      <c r="G435" s="5"/>
      <c r="H435" s="5"/>
      <c r="I435" s="5"/>
      <c r="J435" s="5"/>
      <c r="K435" s="5"/>
      <c r="L435" s="5"/>
      <c r="M435" s="5"/>
      <c r="N435" s="5"/>
      <c r="O435" s="5"/>
      <c r="P435" s="5"/>
      <c r="EB435" s="186"/>
      <c r="EC435" s="186"/>
      <c r="ED435" s="186"/>
      <c r="EE435" s="186"/>
      <c r="EF435" s="186"/>
      <c r="EG435" s="186"/>
    </row>
    <row r="436" spans="1:137" s="185" customFormat="1" ht="22.5" hidden="1">
      <c r="A436" s="85" t="s">
        <v>506</v>
      </c>
      <c r="B436" s="184"/>
      <c r="C436" s="184"/>
      <c r="D436" s="84">
        <f>D438</f>
        <v>0</v>
      </c>
      <c r="E436" s="84"/>
      <c r="F436" s="84">
        <f>D436</f>
        <v>0</v>
      </c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EB436" s="186"/>
      <c r="EC436" s="186"/>
      <c r="ED436" s="186"/>
      <c r="EE436" s="186"/>
      <c r="EF436" s="186"/>
      <c r="EG436" s="186"/>
    </row>
    <row r="437" spans="1:137" s="185" customFormat="1" ht="22.5" customHeight="1" hidden="1">
      <c r="A437" s="3" t="s">
        <v>77</v>
      </c>
      <c r="B437" s="184"/>
      <c r="C437" s="18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EB437" s="186"/>
      <c r="EC437" s="186"/>
      <c r="ED437" s="186"/>
      <c r="EE437" s="186"/>
      <c r="EF437" s="186"/>
      <c r="EG437" s="186"/>
    </row>
    <row r="438" spans="1:137" s="185" customFormat="1" ht="22.5" hidden="1">
      <c r="A438" s="72" t="s">
        <v>396</v>
      </c>
      <c r="B438" s="184"/>
      <c r="C438" s="184"/>
      <c r="D438" s="74">
        <f>800000-800000</f>
        <v>0</v>
      </c>
      <c r="E438" s="74"/>
      <c r="F438" s="74">
        <f>D438</f>
        <v>0</v>
      </c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EB438" s="186"/>
      <c r="EC438" s="186"/>
      <c r="ED438" s="186"/>
      <c r="EE438" s="186"/>
      <c r="EF438" s="186"/>
      <c r="EG438" s="186"/>
    </row>
    <row r="439" spans="1:137" s="185" customFormat="1" ht="11.25" hidden="1">
      <c r="A439" s="165" t="s">
        <v>275</v>
      </c>
      <c r="B439" s="184"/>
      <c r="C439" s="18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EB439" s="186"/>
      <c r="EC439" s="186"/>
      <c r="ED439" s="186"/>
      <c r="EE439" s="186"/>
      <c r="EF439" s="186"/>
      <c r="EG439" s="186"/>
    </row>
    <row r="440" spans="1:137" s="185" customFormat="1" ht="22.5" hidden="1">
      <c r="A440" s="6" t="s">
        <v>397</v>
      </c>
      <c r="B440" s="184"/>
      <c r="C440" s="184"/>
      <c r="D440" s="74">
        <v>0</v>
      </c>
      <c r="E440" s="74"/>
      <c r="F440" s="74">
        <f>D440</f>
        <v>0</v>
      </c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EB440" s="186"/>
      <c r="EC440" s="186"/>
      <c r="ED440" s="186"/>
      <c r="EE440" s="186"/>
      <c r="EF440" s="186"/>
      <c r="EG440" s="186"/>
    </row>
    <row r="441" spans="1:137" s="185" customFormat="1" ht="11.25" hidden="1">
      <c r="A441" s="165" t="s">
        <v>226</v>
      </c>
      <c r="B441" s="184"/>
      <c r="C441" s="18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EB441" s="186"/>
      <c r="EC441" s="186"/>
      <c r="ED441" s="186"/>
      <c r="EE441" s="186"/>
      <c r="EF441" s="186"/>
      <c r="EG441" s="186"/>
    </row>
    <row r="442" spans="1:137" s="185" customFormat="1" ht="22.5" hidden="1">
      <c r="A442" s="72" t="s">
        <v>398</v>
      </c>
      <c r="B442" s="184"/>
      <c r="C442" s="184"/>
      <c r="D442" s="74" t="e">
        <f>D438/D440</f>
        <v>#DIV/0!</v>
      </c>
      <c r="E442" s="74"/>
      <c r="F442" s="74" t="e">
        <f>D442</f>
        <v>#DIV/0!</v>
      </c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EB442" s="186"/>
      <c r="EC442" s="186"/>
      <c r="ED442" s="186"/>
      <c r="EE442" s="186"/>
      <c r="EF442" s="186"/>
      <c r="EG442" s="186"/>
    </row>
    <row r="443" spans="1:137" s="116" customFormat="1" ht="25.5" hidden="1">
      <c r="A443" s="194" t="s">
        <v>420</v>
      </c>
      <c r="B443" s="115"/>
      <c r="C443" s="115"/>
      <c r="D443" s="193">
        <f>1775300-613300</f>
        <v>1162000</v>
      </c>
      <c r="E443" s="193"/>
      <c r="F443" s="193">
        <f>D443</f>
        <v>1162000</v>
      </c>
      <c r="G443" s="193">
        <v>1894300</v>
      </c>
      <c r="H443" s="193"/>
      <c r="I443" s="193"/>
      <c r="J443" s="193">
        <f>G443</f>
        <v>1894300</v>
      </c>
      <c r="K443" s="193">
        <f>(K445*K447)</f>
        <v>0</v>
      </c>
      <c r="L443" s="193">
        <f>(L445*L447)</f>
        <v>0</v>
      </c>
      <c r="M443" s="193">
        <f>(M445*M447)</f>
        <v>0</v>
      </c>
      <c r="N443" s="193">
        <v>2007900</v>
      </c>
      <c r="O443" s="193"/>
      <c r="P443" s="193">
        <f>N443</f>
        <v>2007900</v>
      </c>
      <c r="EB443" s="117"/>
      <c r="EC443" s="117"/>
      <c r="ED443" s="117"/>
      <c r="EE443" s="117"/>
      <c r="EF443" s="117"/>
      <c r="EG443" s="117"/>
    </row>
    <row r="444" spans="1:137" s="15" customFormat="1" ht="11.25" hidden="1">
      <c r="A444" s="3" t="s">
        <v>3</v>
      </c>
      <c r="B444" s="4"/>
      <c r="C444" s="4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EB444" s="34"/>
      <c r="EC444" s="34"/>
      <c r="ED444" s="34"/>
      <c r="EE444" s="34"/>
      <c r="EF444" s="34"/>
      <c r="EG444" s="34"/>
    </row>
    <row r="445" spans="1:137" s="15" customFormat="1" ht="33.75" hidden="1">
      <c r="A445" s="6" t="s">
        <v>125</v>
      </c>
      <c r="B445" s="4"/>
      <c r="C445" s="4"/>
      <c r="D445" s="5">
        <v>750</v>
      </c>
      <c r="E445" s="5"/>
      <c r="F445" s="5">
        <f>D445</f>
        <v>750</v>
      </c>
      <c r="G445" s="5">
        <v>700</v>
      </c>
      <c r="H445" s="5"/>
      <c r="I445" s="5"/>
      <c r="J445" s="5">
        <f>G445</f>
        <v>700</v>
      </c>
      <c r="K445" s="5"/>
      <c r="L445" s="5"/>
      <c r="M445" s="5"/>
      <c r="N445" s="5">
        <v>650</v>
      </c>
      <c r="O445" s="5"/>
      <c r="P445" s="5">
        <f>N445</f>
        <v>650</v>
      </c>
      <c r="EB445" s="34"/>
      <c r="EC445" s="34"/>
      <c r="ED445" s="34"/>
      <c r="EE445" s="34"/>
      <c r="EF445" s="34"/>
      <c r="EG445" s="34"/>
    </row>
    <row r="446" spans="1:137" s="15" customFormat="1" ht="11.25" hidden="1">
      <c r="A446" s="3" t="s">
        <v>5</v>
      </c>
      <c r="B446" s="4"/>
      <c r="C446" s="4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EB446" s="34"/>
      <c r="EC446" s="34"/>
      <c r="ED446" s="34"/>
      <c r="EE446" s="34"/>
      <c r="EF446" s="34"/>
      <c r="EG446" s="34"/>
    </row>
    <row r="447" spans="1:137" s="15" customFormat="1" ht="22.5" customHeight="1" hidden="1">
      <c r="A447" s="6" t="s">
        <v>126</v>
      </c>
      <c r="B447" s="4"/>
      <c r="C447" s="4"/>
      <c r="D447" s="5">
        <f>D443/D445</f>
        <v>1549.3333333333333</v>
      </c>
      <c r="E447" s="5"/>
      <c r="F447" s="5">
        <f>D447</f>
        <v>1549.3333333333333</v>
      </c>
      <c r="G447" s="5">
        <f>G443/G445</f>
        <v>2706.1428571428573</v>
      </c>
      <c r="H447" s="5"/>
      <c r="I447" s="5"/>
      <c r="J447" s="5">
        <f>G447</f>
        <v>2706.1428571428573</v>
      </c>
      <c r="K447" s="5"/>
      <c r="L447" s="5"/>
      <c r="M447" s="5"/>
      <c r="N447" s="5">
        <f>N443/N445</f>
        <v>3089.076923076923</v>
      </c>
      <c r="O447" s="5"/>
      <c r="P447" s="5">
        <f>N447</f>
        <v>3089.076923076923</v>
      </c>
      <c r="EB447" s="34"/>
      <c r="EC447" s="34"/>
      <c r="ED447" s="34"/>
      <c r="EE447" s="34"/>
      <c r="EF447" s="34"/>
      <c r="EG447" s="34"/>
    </row>
    <row r="448" spans="1:137" s="15" customFormat="1" ht="11.25" hidden="1">
      <c r="A448" s="3" t="s">
        <v>4</v>
      </c>
      <c r="B448" s="4"/>
      <c r="C448" s="4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EB448" s="34"/>
      <c r="EC448" s="34"/>
      <c r="ED448" s="34"/>
      <c r="EE448" s="34"/>
      <c r="EF448" s="34"/>
      <c r="EG448" s="34"/>
    </row>
    <row r="449" spans="1:137" s="15" customFormat="1" ht="24" customHeight="1" hidden="1">
      <c r="A449" s="6" t="s">
        <v>96</v>
      </c>
      <c r="B449" s="4"/>
      <c r="C449" s="4"/>
      <c r="D449" s="5"/>
      <c r="E449" s="5"/>
      <c r="F449" s="5"/>
      <c r="G449" s="5">
        <f>G445/D445*100</f>
        <v>93.33333333333333</v>
      </c>
      <c r="H449" s="5"/>
      <c r="I449" s="5"/>
      <c r="J449" s="5">
        <f>G449</f>
        <v>93.33333333333333</v>
      </c>
      <c r="K449" s="5"/>
      <c r="L449" s="5"/>
      <c r="M449" s="5"/>
      <c r="N449" s="5">
        <f>N445/G445*100</f>
        <v>92.85714285714286</v>
      </c>
      <c r="O449" s="5"/>
      <c r="P449" s="5">
        <f>N449</f>
        <v>92.85714285714286</v>
      </c>
      <c r="EB449" s="34"/>
      <c r="EC449" s="34"/>
      <c r="ED449" s="34"/>
      <c r="EE449" s="34"/>
      <c r="EF449" s="34"/>
      <c r="EG449" s="34"/>
    </row>
    <row r="450" spans="1:137" s="15" customFormat="1" ht="31.5" customHeight="1" hidden="1">
      <c r="A450" s="6" t="s">
        <v>97</v>
      </c>
      <c r="B450" s="4"/>
      <c r="C450" s="4"/>
      <c r="D450" s="5"/>
      <c r="E450" s="5"/>
      <c r="F450" s="5"/>
      <c r="G450" s="5">
        <f>G447/D447*100</f>
        <v>174.66498647651832</v>
      </c>
      <c r="H450" s="5"/>
      <c r="I450" s="5"/>
      <c r="J450" s="5">
        <f>G450</f>
        <v>174.66498647651832</v>
      </c>
      <c r="K450" s="5"/>
      <c r="L450" s="5"/>
      <c r="M450" s="5"/>
      <c r="N450" s="5">
        <f>N447/G447*100</f>
        <v>114.15054881242916</v>
      </c>
      <c r="O450" s="5"/>
      <c r="P450" s="5">
        <f>N450</f>
        <v>114.15054881242916</v>
      </c>
      <c r="EB450" s="34"/>
      <c r="EC450" s="34"/>
      <c r="ED450" s="34"/>
      <c r="EE450" s="34"/>
      <c r="EF450" s="34"/>
      <c r="EG450" s="34"/>
    </row>
    <row r="451" spans="1:137" s="196" customFormat="1" ht="36" customHeight="1" hidden="1">
      <c r="A451" s="194" t="s">
        <v>421</v>
      </c>
      <c r="B451" s="195"/>
      <c r="C451" s="195"/>
      <c r="D451" s="193"/>
      <c r="E451" s="193">
        <f>19786700-15786700</f>
        <v>4000000</v>
      </c>
      <c r="F451" s="193">
        <f>E451</f>
        <v>4000000</v>
      </c>
      <c r="G451" s="193">
        <f>G453*G455</f>
        <v>0</v>
      </c>
      <c r="H451" s="193">
        <v>21112400</v>
      </c>
      <c r="I451" s="193">
        <f>I453*I455</f>
        <v>0</v>
      </c>
      <c r="J451" s="193">
        <f>G451+H451</f>
        <v>21112400</v>
      </c>
      <c r="K451" s="193">
        <f>K453*K455</f>
        <v>0</v>
      </c>
      <c r="L451" s="193">
        <f>L453*L455</f>
        <v>0</v>
      </c>
      <c r="M451" s="193">
        <f>M453*M455</f>
        <v>0</v>
      </c>
      <c r="N451" s="193">
        <f>N453*N455</f>
        <v>0</v>
      </c>
      <c r="O451" s="193">
        <v>22379100</v>
      </c>
      <c r="P451" s="193">
        <f>N451+O451</f>
        <v>22379100</v>
      </c>
      <c r="EB451" s="197"/>
      <c r="EC451" s="197"/>
      <c r="ED451" s="197"/>
      <c r="EE451" s="197"/>
      <c r="EF451" s="197"/>
      <c r="EG451" s="197"/>
    </row>
    <row r="452" spans="1:137" s="15" customFormat="1" ht="11.25" hidden="1">
      <c r="A452" s="3" t="s">
        <v>3</v>
      </c>
      <c r="B452" s="25"/>
      <c r="C452" s="25"/>
      <c r="D452" s="18"/>
      <c r="E452" s="18"/>
      <c r="F452" s="5"/>
      <c r="G452" s="18"/>
      <c r="H452" s="18"/>
      <c r="I452" s="18"/>
      <c r="J452" s="5"/>
      <c r="K452" s="5"/>
      <c r="L452" s="5"/>
      <c r="M452" s="5"/>
      <c r="N452" s="18"/>
      <c r="O452" s="18"/>
      <c r="P452" s="5"/>
      <c r="EB452" s="34"/>
      <c r="EC452" s="34"/>
      <c r="ED452" s="34"/>
      <c r="EE452" s="34"/>
      <c r="EF452" s="34"/>
      <c r="EG452" s="34"/>
    </row>
    <row r="453" spans="1:137" s="15" customFormat="1" ht="21.75" customHeight="1" hidden="1">
      <c r="A453" s="6" t="s">
        <v>59</v>
      </c>
      <c r="B453" s="4"/>
      <c r="C453" s="4"/>
      <c r="D453" s="5"/>
      <c r="E453" s="5">
        <f>20+6-6</f>
        <v>20</v>
      </c>
      <c r="F453" s="5">
        <f>E453</f>
        <v>20</v>
      </c>
      <c r="G453" s="5"/>
      <c r="H453" s="5">
        <v>18</v>
      </c>
      <c r="I453" s="5"/>
      <c r="J453" s="5">
        <f>G453+H453</f>
        <v>18</v>
      </c>
      <c r="K453" s="5"/>
      <c r="L453" s="5"/>
      <c r="M453" s="5"/>
      <c r="N453" s="5"/>
      <c r="O453" s="5">
        <v>15</v>
      </c>
      <c r="P453" s="5">
        <f>O453</f>
        <v>15</v>
      </c>
      <c r="EB453" s="34"/>
      <c r="EC453" s="34"/>
      <c r="ED453" s="34"/>
      <c r="EE453" s="34"/>
      <c r="EF453" s="34"/>
      <c r="EG453" s="34"/>
    </row>
    <row r="454" spans="1:137" s="15" customFormat="1" ht="11.25" hidden="1">
      <c r="A454" s="3" t="s">
        <v>5</v>
      </c>
      <c r="B454" s="25"/>
      <c r="C454" s="25"/>
      <c r="D454" s="18"/>
      <c r="E454" s="18"/>
      <c r="F454" s="5"/>
      <c r="G454" s="18"/>
      <c r="H454" s="18"/>
      <c r="I454" s="18"/>
      <c r="J454" s="5"/>
      <c r="K454" s="5"/>
      <c r="L454" s="5"/>
      <c r="M454" s="5"/>
      <c r="N454" s="18"/>
      <c r="O454" s="18"/>
      <c r="P454" s="5"/>
      <c r="EB454" s="34"/>
      <c r="EC454" s="34"/>
      <c r="ED454" s="34"/>
      <c r="EE454" s="34"/>
      <c r="EF454" s="34"/>
      <c r="EG454" s="34"/>
    </row>
    <row r="455" spans="1:137" s="15" customFormat="1" ht="23.25" customHeight="1" hidden="1">
      <c r="A455" s="6" t="s">
        <v>60</v>
      </c>
      <c r="B455" s="4"/>
      <c r="C455" s="4"/>
      <c r="D455" s="5"/>
      <c r="E455" s="5">
        <f>E451/E453</f>
        <v>200000</v>
      </c>
      <c r="F455" s="5">
        <f>E455</f>
        <v>200000</v>
      </c>
      <c r="G455" s="5"/>
      <c r="H455" s="5">
        <f>H451/H453</f>
        <v>1172911.111111111</v>
      </c>
      <c r="I455" s="5"/>
      <c r="J455" s="5">
        <f>G455+H455</f>
        <v>1172911.111111111</v>
      </c>
      <c r="K455" s="5"/>
      <c r="L455" s="5"/>
      <c r="M455" s="5"/>
      <c r="N455" s="5"/>
      <c r="O455" s="5">
        <f>O451/O453</f>
        <v>1491940</v>
      </c>
      <c r="P455" s="5">
        <f>O455</f>
        <v>1491940</v>
      </c>
      <c r="EB455" s="34"/>
      <c r="EC455" s="34"/>
      <c r="ED455" s="34"/>
      <c r="EE455" s="34"/>
      <c r="EF455" s="34"/>
      <c r="EG455" s="34"/>
    </row>
    <row r="456" spans="1:137" s="15" customFormat="1" ht="11.25" hidden="1">
      <c r="A456" s="3" t="s">
        <v>4</v>
      </c>
      <c r="B456" s="4"/>
      <c r="C456" s="4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EB456" s="34"/>
      <c r="EC456" s="34"/>
      <c r="ED456" s="34"/>
      <c r="EE456" s="34"/>
      <c r="EF456" s="34"/>
      <c r="EG456" s="34"/>
    </row>
    <row r="457" spans="1:137" s="15" customFormat="1" ht="35.25" customHeight="1" hidden="1">
      <c r="A457" s="6" t="s">
        <v>61</v>
      </c>
      <c r="B457" s="4"/>
      <c r="C457" s="4"/>
      <c r="D457" s="5"/>
      <c r="E457" s="5">
        <v>0</v>
      </c>
      <c r="F457" s="5">
        <v>0</v>
      </c>
      <c r="G457" s="5"/>
      <c r="H457" s="5">
        <f>H455/E455*100</f>
        <v>586.4555555555555</v>
      </c>
      <c r="I457" s="5"/>
      <c r="J457" s="5">
        <f>G457+H457</f>
        <v>586.4555555555555</v>
      </c>
      <c r="K457" s="5"/>
      <c r="L457" s="5"/>
      <c r="M457" s="5"/>
      <c r="N457" s="5"/>
      <c r="O457" s="5">
        <f>O455/H455*100</f>
        <v>127.19974991000551</v>
      </c>
      <c r="P457" s="5">
        <f>O457</f>
        <v>127.19974991000551</v>
      </c>
      <c r="EB457" s="34"/>
      <c r="EC457" s="34"/>
      <c r="ED457" s="34"/>
      <c r="EE457" s="34"/>
      <c r="EF457" s="34"/>
      <c r="EG457" s="34"/>
    </row>
    <row r="458" spans="1:131" s="203" customFormat="1" ht="30" customHeight="1" hidden="1">
      <c r="A458" s="200" t="s">
        <v>249</v>
      </c>
      <c r="B458" s="200"/>
      <c r="C458" s="200"/>
      <c r="D458" s="201">
        <f>D460</f>
        <v>0</v>
      </c>
      <c r="E458" s="201">
        <f aca="true" t="shared" si="26" ref="E458:P458">E460</f>
        <v>9700300</v>
      </c>
      <c r="F458" s="201">
        <f t="shared" si="26"/>
        <v>9700300</v>
      </c>
      <c r="G458" s="201">
        <f t="shared" si="26"/>
        <v>0</v>
      </c>
      <c r="H458" s="201">
        <f t="shared" si="26"/>
        <v>19670400</v>
      </c>
      <c r="I458" s="201">
        <f t="shared" si="26"/>
        <v>0</v>
      </c>
      <c r="J458" s="201">
        <f t="shared" si="26"/>
        <v>19670400</v>
      </c>
      <c r="K458" s="201">
        <f t="shared" si="26"/>
        <v>21396.1614106831</v>
      </c>
      <c r="L458" s="201">
        <f t="shared" si="26"/>
        <v>1</v>
      </c>
      <c r="M458" s="201">
        <f t="shared" si="26"/>
        <v>1</v>
      </c>
      <c r="N458" s="201">
        <f t="shared" si="26"/>
        <v>0</v>
      </c>
      <c r="O458" s="201">
        <f t="shared" si="26"/>
        <v>20850600</v>
      </c>
      <c r="P458" s="201">
        <f t="shared" si="26"/>
        <v>20850600</v>
      </c>
      <c r="Q458" s="202"/>
      <c r="R458" s="202"/>
      <c r="S458" s="202"/>
      <c r="T458" s="202"/>
      <c r="U458" s="202"/>
      <c r="V458" s="202"/>
      <c r="W458" s="202"/>
      <c r="X458" s="202"/>
      <c r="Y458" s="202"/>
      <c r="Z458" s="202"/>
      <c r="AA458" s="202"/>
      <c r="AB458" s="202"/>
      <c r="AC458" s="202"/>
      <c r="AD458" s="202"/>
      <c r="AE458" s="202"/>
      <c r="AF458" s="202"/>
      <c r="AG458" s="202"/>
      <c r="AH458" s="202"/>
      <c r="AI458" s="202"/>
      <c r="AJ458" s="202"/>
      <c r="AK458" s="202"/>
      <c r="AL458" s="202"/>
      <c r="AM458" s="202"/>
      <c r="AN458" s="202"/>
      <c r="AO458" s="202"/>
      <c r="AP458" s="202"/>
      <c r="AQ458" s="202"/>
      <c r="AR458" s="202"/>
      <c r="AS458" s="202"/>
      <c r="AT458" s="202"/>
      <c r="AU458" s="202"/>
      <c r="AV458" s="202"/>
      <c r="AW458" s="202"/>
      <c r="AX458" s="202"/>
      <c r="AY458" s="202"/>
      <c r="AZ458" s="202"/>
      <c r="BA458" s="202"/>
      <c r="BB458" s="202"/>
      <c r="BC458" s="202"/>
      <c r="BD458" s="202"/>
      <c r="BE458" s="202"/>
      <c r="BF458" s="202"/>
      <c r="BG458" s="202"/>
      <c r="BH458" s="202"/>
      <c r="BI458" s="202"/>
      <c r="BJ458" s="202"/>
      <c r="BK458" s="202"/>
      <c r="BL458" s="202"/>
      <c r="BM458" s="202"/>
      <c r="BN458" s="202"/>
      <c r="BO458" s="202"/>
      <c r="BP458" s="202"/>
      <c r="BQ458" s="202"/>
      <c r="BR458" s="202"/>
      <c r="BS458" s="202"/>
      <c r="BT458" s="202"/>
      <c r="BU458" s="202"/>
      <c r="BV458" s="202"/>
      <c r="BW458" s="202"/>
      <c r="BX458" s="202"/>
      <c r="BY458" s="202"/>
      <c r="BZ458" s="202"/>
      <c r="CA458" s="202"/>
      <c r="CB458" s="202"/>
      <c r="CC458" s="202"/>
      <c r="CD458" s="202"/>
      <c r="CE458" s="202"/>
      <c r="CF458" s="202"/>
      <c r="CG458" s="202"/>
      <c r="CH458" s="202"/>
      <c r="CI458" s="202"/>
      <c r="CJ458" s="202"/>
      <c r="CK458" s="202"/>
      <c r="CL458" s="202"/>
      <c r="CM458" s="202"/>
      <c r="CN458" s="202"/>
      <c r="CO458" s="202"/>
      <c r="CP458" s="202"/>
      <c r="CQ458" s="202"/>
      <c r="CR458" s="202"/>
      <c r="CS458" s="202"/>
      <c r="CT458" s="202"/>
      <c r="CU458" s="202"/>
      <c r="CV458" s="202"/>
      <c r="CW458" s="202"/>
      <c r="CX458" s="202"/>
      <c r="CY458" s="202"/>
      <c r="CZ458" s="202"/>
      <c r="DA458" s="202"/>
      <c r="DB458" s="202"/>
      <c r="DC458" s="202"/>
      <c r="DD458" s="202"/>
      <c r="DE458" s="202"/>
      <c r="DF458" s="202"/>
      <c r="DG458" s="202"/>
      <c r="DH458" s="202"/>
      <c r="DI458" s="202"/>
      <c r="DJ458" s="202"/>
      <c r="DK458" s="202"/>
      <c r="DL458" s="202"/>
      <c r="DM458" s="202"/>
      <c r="DN458" s="202"/>
      <c r="DO458" s="202"/>
      <c r="DP458" s="202"/>
      <c r="DQ458" s="202"/>
      <c r="DR458" s="202"/>
      <c r="DS458" s="202"/>
      <c r="DT458" s="202"/>
      <c r="DU458" s="202"/>
      <c r="DV458" s="202"/>
      <c r="DW458" s="202"/>
      <c r="DX458" s="202"/>
      <c r="DY458" s="202"/>
      <c r="DZ458" s="202"/>
      <c r="EA458" s="202"/>
    </row>
    <row r="459" spans="1:16" ht="56.25" customHeight="1" hidden="1">
      <c r="A459" s="22" t="s">
        <v>250</v>
      </c>
      <c r="B459" s="4"/>
      <c r="C459" s="4"/>
      <c r="D459" s="5"/>
      <c r="E459" s="24"/>
      <c r="F459" s="24"/>
      <c r="G459" s="5"/>
      <c r="H459" s="24"/>
      <c r="I459" s="24"/>
      <c r="J459" s="24"/>
      <c r="K459" s="5" t="e">
        <f>H459/E459*100</f>
        <v>#DIV/0!</v>
      </c>
      <c r="L459" s="24"/>
      <c r="M459" s="24"/>
      <c r="N459" s="5"/>
      <c r="O459" s="24"/>
      <c r="P459" s="24"/>
    </row>
    <row r="460" spans="1:16" ht="32.25" customHeight="1" hidden="1">
      <c r="A460" s="188" t="s">
        <v>457</v>
      </c>
      <c r="B460" s="4"/>
      <c r="C460" s="4"/>
      <c r="D460" s="193">
        <f>D461+D470</f>
        <v>0</v>
      </c>
      <c r="E460" s="193">
        <f aca="true" t="shared" si="27" ref="E460:O460">E461+E470</f>
        <v>9700300</v>
      </c>
      <c r="F460" s="193">
        <f>D460+E460</f>
        <v>9700300</v>
      </c>
      <c r="G460" s="193">
        <f t="shared" si="27"/>
        <v>0</v>
      </c>
      <c r="H460" s="193">
        <f>H461+H470</f>
        <v>19670400</v>
      </c>
      <c r="I460" s="193">
        <f t="shared" si="27"/>
        <v>0</v>
      </c>
      <c r="J460" s="193">
        <f>G460+H460</f>
        <v>19670400</v>
      </c>
      <c r="K460" s="193">
        <f t="shared" si="27"/>
        <v>21396.1614106831</v>
      </c>
      <c r="L460" s="193">
        <f t="shared" si="27"/>
        <v>1</v>
      </c>
      <c r="M460" s="193">
        <f t="shared" si="27"/>
        <v>1</v>
      </c>
      <c r="N460" s="193">
        <f t="shared" si="27"/>
        <v>0</v>
      </c>
      <c r="O460" s="193">
        <f t="shared" si="27"/>
        <v>20850600</v>
      </c>
      <c r="P460" s="193">
        <f>N460+O460</f>
        <v>20850600</v>
      </c>
    </row>
    <row r="461" spans="1:131" s="87" customFormat="1" ht="22.5" hidden="1">
      <c r="A461" s="85" t="s">
        <v>423</v>
      </c>
      <c r="B461" s="77"/>
      <c r="C461" s="77"/>
      <c r="D461" s="81"/>
      <c r="E461" s="81">
        <f>13435300-6735000</f>
        <v>6700300</v>
      </c>
      <c r="F461" s="81">
        <f>E461</f>
        <v>6700300</v>
      </c>
      <c r="G461" s="81"/>
      <c r="H461" s="81">
        <v>14335400</v>
      </c>
      <c r="I461" s="81"/>
      <c r="J461" s="81">
        <f>H461</f>
        <v>14335400</v>
      </c>
      <c r="K461" s="81">
        <f>K465*K467</f>
        <v>21395.1614106831</v>
      </c>
      <c r="L461" s="81">
        <f>L465*L467</f>
        <v>0</v>
      </c>
      <c r="M461" s="81">
        <f>M465*M467</f>
        <v>0</v>
      </c>
      <c r="N461" s="81"/>
      <c r="O461" s="81">
        <v>15195500</v>
      </c>
      <c r="P461" s="81">
        <f>N461+O461</f>
        <v>15195500</v>
      </c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Q461" s="118"/>
      <c r="AR461" s="118"/>
      <c r="AS461" s="118"/>
      <c r="AT461" s="118"/>
      <c r="AU461" s="118"/>
      <c r="AV461" s="118"/>
      <c r="AW461" s="118"/>
      <c r="AX461" s="118"/>
      <c r="AY461" s="118"/>
      <c r="AZ461" s="118"/>
      <c r="BA461" s="118"/>
      <c r="BB461" s="118"/>
      <c r="BC461" s="118"/>
      <c r="BD461" s="118"/>
      <c r="BE461" s="118"/>
      <c r="BF461" s="118"/>
      <c r="BG461" s="118"/>
      <c r="BH461" s="118"/>
      <c r="BI461" s="118"/>
      <c r="BJ461" s="118"/>
      <c r="BK461" s="118"/>
      <c r="BL461" s="118"/>
      <c r="BM461" s="118"/>
      <c r="BN461" s="118"/>
      <c r="BO461" s="118"/>
      <c r="BP461" s="118"/>
      <c r="BQ461" s="118"/>
      <c r="BR461" s="118"/>
      <c r="BS461" s="118"/>
      <c r="BT461" s="118"/>
      <c r="BU461" s="118"/>
      <c r="BV461" s="118"/>
      <c r="BW461" s="118"/>
      <c r="BX461" s="118"/>
      <c r="BY461" s="118"/>
      <c r="BZ461" s="118"/>
      <c r="CA461" s="118"/>
      <c r="CB461" s="118"/>
      <c r="CC461" s="118"/>
      <c r="CD461" s="118"/>
      <c r="CE461" s="118"/>
      <c r="CF461" s="118"/>
      <c r="CG461" s="118"/>
      <c r="CH461" s="118"/>
      <c r="CI461" s="118"/>
      <c r="CJ461" s="118"/>
      <c r="CK461" s="118"/>
      <c r="CL461" s="118"/>
      <c r="CM461" s="118"/>
      <c r="CN461" s="118"/>
      <c r="CO461" s="118"/>
      <c r="CP461" s="118"/>
      <c r="CQ461" s="118"/>
      <c r="CR461" s="118"/>
      <c r="CS461" s="118"/>
      <c r="CT461" s="118"/>
      <c r="CU461" s="118"/>
      <c r="CV461" s="118"/>
      <c r="CW461" s="118"/>
      <c r="CX461" s="118"/>
      <c r="CY461" s="118"/>
      <c r="CZ461" s="118"/>
      <c r="DA461" s="118"/>
      <c r="DB461" s="118"/>
      <c r="DC461" s="118"/>
      <c r="DD461" s="118"/>
      <c r="DE461" s="118"/>
      <c r="DF461" s="118"/>
      <c r="DG461" s="118"/>
      <c r="DH461" s="118"/>
      <c r="DI461" s="118"/>
      <c r="DJ461" s="118"/>
      <c r="DK461" s="118"/>
      <c r="DL461" s="118"/>
      <c r="DM461" s="118"/>
      <c r="DN461" s="118"/>
      <c r="DO461" s="118"/>
      <c r="DP461" s="118"/>
      <c r="DQ461" s="118"/>
      <c r="DR461" s="118"/>
      <c r="DS461" s="118"/>
      <c r="DT461" s="118"/>
      <c r="DU461" s="118"/>
      <c r="DV461" s="118"/>
      <c r="DW461" s="118"/>
      <c r="DX461" s="118"/>
      <c r="DY461" s="118"/>
      <c r="DZ461" s="118"/>
      <c r="EA461" s="118"/>
    </row>
    <row r="462" spans="1:16" ht="11.25" hidden="1">
      <c r="A462" s="3" t="s">
        <v>2</v>
      </c>
      <c r="B462" s="25"/>
      <c r="C462" s="25"/>
      <c r="D462" s="5"/>
      <c r="E462" s="24"/>
      <c r="F462" s="24"/>
      <c r="G462" s="5"/>
      <c r="H462" s="24"/>
      <c r="I462" s="24"/>
      <c r="J462" s="24"/>
      <c r="K462" s="5"/>
      <c r="L462" s="24"/>
      <c r="M462" s="24"/>
      <c r="N462" s="5"/>
      <c r="O462" s="24"/>
      <c r="P462" s="24"/>
    </row>
    <row r="463" spans="1:16" ht="22.5" hidden="1">
      <c r="A463" s="6" t="s">
        <v>62</v>
      </c>
      <c r="B463" s="4"/>
      <c r="C463" s="4"/>
      <c r="D463" s="5"/>
      <c r="E463" s="74">
        <v>1032</v>
      </c>
      <c r="F463" s="74">
        <f>E463</f>
        <v>1032</v>
      </c>
      <c r="G463" s="74"/>
      <c r="H463" s="74">
        <v>1012</v>
      </c>
      <c r="I463" s="74"/>
      <c r="J463" s="74">
        <f>H463</f>
        <v>1012</v>
      </c>
      <c r="K463" s="175"/>
      <c r="L463" s="71"/>
      <c r="M463" s="71"/>
      <c r="N463" s="74"/>
      <c r="O463" s="74">
        <v>992</v>
      </c>
      <c r="P463" s="74">
        <f>O463</f>
        <v>992</v>
      </c>
    </row>
    <row r="464" spans="1:16" ht="11.25" hidden="1">
      <c r="A464" s="3" t="s">
        <v>3</v>
      </c>
      <c r="B464" s="25"/>
      <c r="C464" s="25"/>
      <c r="D464" s="5"/>
      <c r="E464" s="18"/>
      <c r="F464" s="18"/>
      <c r="G464" s="5"/>
      <c r="H464" s="18"/>
      <c r="I464" s="18"/>
      <c r="J464" s="18"/>
      <c r="K464" s="5" t="e">
        <f>H464/E464*100</f>
        <v>#DIV/0!</v>
      </c>
      <c r="L464" s="18"/>
      <c r="M464" s="18"/>
      <c r="N464" s="5"/>
      <c r="O464" s="18"/>
      <c r="P464" s="18"/>
    </row>
    <row r="465" spans="1:16" ht="22.5" hidden="1">
      <c r="A465" s="6" t="s">
        <v>63</v>
      </c>
      <c r="B465" s="4"/>
      <c r="C465" s="4"/>
      <c r="D465" s="5"/>
      <c r="E465" s="5">
        <v>86</v>
      </c>
      <c r="F465" s="5">
        <f>E465</f>
        <v>86</v>
      </c>
      <c r="G465" s="5"/>
      <c r="H465" s="5">
        <v>20</v>
      </c>
      <c r="I465" s="5"/>
      <c r="J465" s="5">
        <f>H465</f>
        <v>20</v>
      </c>
      <c r="K465" s="5">
        <f>H465/E465*100</f>
        <v>23.25581395348837</v>
      </c>
      <c r="L465" s="5"/>
      <c r="M465" s="5"/>
      <c r="N465" s="5"/>
      <c r="O465" s="5">
        <v>20</v>
      </c>
      <c r="P465" s="5">
        <f>O465</f>
        <v>20</v>
      </c>
    </row>
    <row r="466" spans="1:16" ht="11.25" hidden="1">
      <c r="A466" s="3" t="s">
        <v>5</v>
      </c>
      <c r="B466" s="25"/>
      <c r="C466" s="25"/>
      <c r="D466" s="5"/>
      <c r="E466" s="18"/>
      <c r="F466" s="18"/>
      <c r="G466" s="5"/>
      <c r="H466" s="18"/>
      <c r="I466" s="18"/>
      <c r="J466" s="18"/>
      <c r="K466" s="5" t="e">
        <f>H466/E466*100</f>
        <v>#DIV/0!</v>
      </c>
      <c r="L466" s="18"/>
      <c r="M466" s="18"/>
      <c r="N466" s="5"/>
      <c r="O466" s="18"/>
      <c r="P466" s="18"/>
    </row>
    <row r="467" spans="1:16" ht="24" customHeight="1" hidden="1">
      <c r="A467" s="6" t="s">
        <v>64</v>
      </c>
      <c r="B467" s="4"/>
      <c r="C467" s="4"/>
      <c r="D467" s="5"/>
      <c r="E467" s="5">
        <f>E461/E465</f>
        <v>77910.46511627907</v>
      </c>
      <c r="F467" s="5">
        <f>E467</f>
        <v>77910.46511627907</v>
      </c>
      <c r="G467" s="5"/>
      <c r="H467" s="5">
        <f>H461/H465</f>
        <v>716770</v>
      </c>
      <c r="I467" s="5"/>
      <c r="J467" s="5">
        <f>H467</f>
        <v>716770</v>
      </c>
      <c r="K467" s="5">
        <f>H467/E467*100</f>
        <v>919.9919406593734</v>
      </c>
      <c r="L467" s="5"/>
      <c r="M467" s="5"/>
      <c r="N467" s="5"/>
      <c r="O467" s="5">
        <f>O461/O465</f>
        <v>759775</v>
      </c>
      <c r="P467" s="5">
        <f>O467</f>
        <v>759775</v>
      </c>
    </row>
    <row r="468" spans="1:16" ht="11.25" hidden="1">
      <c r="A468" s="3" t="s">
        <v>4</v>
      </c>
      <c r="B468" s="25"/>
      <c r="C468" s="2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50.25" customHeight="1" hidden="1">
      <c r="A469" s="6" t="s">
        <v>65</v>
      </c>
      <c r="B469" s="4"/>
      <c r="C469" s="4"/>
      <c r="D469" s="5"/>
      <c r="E469" s="5">
        <f>E465/E463*100</f>
        <v>8.333333333333332</v>
      </c>
      <c r="F469" s="5">
        <f>D469+E469</f>
        <v>8.333333333333332</v>
      </c>
      <c r="G469" s="5"/>
      <c r="H469" s="5">
        <f>H465/H463*100</f>
        <v>1.9762845849802373</v>
      </c>
      <c r="I469" s="5"/>
      <c r="J469" s="5">
        <f>J465/J463*100</f>
        <v>1.9762845849802373</v>
      </c>
      <c r="K469" s="5" t="e">
        <f>K465/K463*100</f>
        <v>#DIV/0!</v>
      </c>
      <c r="L469" s="5" t="e">
        <f>L465/L463*100</f>
        <v>#DIV/0!</v>
      </c>
      <c r="M469" s="5" t="e">
        <f>M465/M463*100</f>
        <v>#DIV/0!</v>
      </c>
      <c r="N469" s="5"/>
      <c r="O469" s="5">
        <f>O465/O463*100</f>
        <v>2.0161290322580645</v>
      </c>
      <c r="P469" s="5">
        <f>P465/P463*100</f>
        <v>2.0161290322580645</v>
      </c>
    </row>
    <row r="470" spans="1:131" s="87" customFormat="1" ht="22.5" hidden="1">
      <c r="A470" s="85" t="s">
        <v>424</v>
      </c>
      <c r="B470" s="77"/>
      <c r="C470" s="77"/>
      <c r="D470" s="81"/>
      <c r="E470" s="81">
        <f>E474*E476</f>
        <v>3000000</v>
      </c>
      <c r="F470" s="81">
        <f>E470</f>
        <v>3000000</v>
      </c>
      <c r="G470" s="81"/>
      <c r="H470" s="81">
        <f>H474*H476</f>
        <v>5335000</v>
      </c>
      <c r="I470" s="81"/>
      <c r="J470" s="81">
        <f>H470</f>
        <v>5335000</v>
      </c>
      <c r="K470" s="81">
        <f>K474*K476+1</f>
        <v>1</v>
      </c>
      <c r="L470" s="81">
        <f>L474*L476+1</f>
        <v>1</v>
      </c>
      <c r="M470" s="81">
        <f>M474*M476+1</f>
        <v>1</v>
      </c>
      <c r="N470" s="81"/>
      <c r="O470" s="81">
        <f>O472</f>
        <v>5655100</v>
      </c>
      <c r="P470" s="81">
        <f>O470</f>
        <v>5655100</v>
      </c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Q470" s="118"/>
      <c r="AR470" s="118"/>
      <c r="AS470" s="118"/>
      <c r="AT470" s="118"/>
      <c r="AU470" s="118"/>
      <c r="AV470" s="118"/>
      <c r="AW470" s="118"/>
      <c r="AX470" s="118"/>
      <c r="AY470" s="118"/>
      <c r="AZ470" s="118"/>
      <c r="BA470" s="118"/>
      <c r="BB470" s="118"/>
      <c r="BC470" s="118"/>
      <c r="BD470" s="118"/>
      <c r="BE470" s="118"/>
      <c r="BF470" s="118"/>
      <c r="BG470" s="118"/>
      <c r="BH470" s="118"/>
      <c r="BI470" s="118"/>
      <c r="BJ470" s="118"/>
      <c r="BK470" s="118"/>
      <c r="BL470" s="118"/>
      <c r="BM470" s="118"/>
      <c r="BN470" s="118"/>
      <c r="BO470" s="118"/>
      <c r="BP470" s="118"/>
      <c r="BQ470" s="118"/>
      <c r="BR470" s="118"/>
      <c r="BS470" s="118"/>
      <c r="BT470" s="118"/>
      <c r="BU470" s="118"/>
      <c r="BV470" s="118"/>
      <c r="BW470" s="118"/>
      <c r="BX470" s="118"/>
      <c r="BY470" s="118"/>
      <c r="BZ470" s="118"/>
      <c r="CA470" s="118"/>
      <c r="CB470" s="118"/>
      <c r="CC470" s="118"/>
      <c r="CD470" s="118"/>
      <c r="CE470" s="118"/>
      <c r="CF470" s="118"/>
      <c r="CG470" s="118"/>
      <c r="CH470" s="118"/>
      <c r="CI470" s="118"/>
      <c r="CJ470" s="118"/>
      <c r="CK470" s="118"/>
      <c r="CL470" s="118"/>
      <c r="CM470" s="118"/>
      <c r="CN470" s="118"/>
      <c r="CO470" s="118"/>
      <c r="CP470" s="118"/>
      <c r="CQ470" s="118"/>
      <c r="CR470" s="118"/>
      <c r="CS470" s="118"/>
      <c r="CT470" s="118"/>
      <c r="CU470" s="118"/>
      <c r="CV470" s="118"/>
      <c r="CW470" s="118"/>
      <c r="CX470" s="118"/>
      <c r="CY470" s="118"/>
      <c r="CZ470" s="118"/>
      <c r="DA470" s="118"/>
      <c r="DB470" s="118"/>
      <c r="DC470" s="118"/>
      <c r="DD470" s="118"/>
      <c r="DE470" s="118"/>
      <c r="DF470" s="118"/>
      <c r="DG470" s="118"/>
      <c r="DH470" s="118"/>
      <c r="DI470" s="118"/>
      <c r="DJ470" s="118"/>
      <c r="DK470" s="118"/>
      <c r="DL470" s="118"/>
      <c r="DM470" s="118"/>
      <c r="DN470" s="118"/>
      <c r="DO470" s="118"/>
      <c r="DP470" s="118"/>
      <c r="DQ470" s="118"/>
      <c r="DR470" s="118"/>
      <c r="DS470" s="118"/>
      <c r="DT470" s="118"/>
      <c r="DU470" s="118"/>
      <c r="DV470" s="118"/>
      <c r="DW470" s="118"/>
      <c r="DX470" s="118"/>
      <c r="DY470" s="118"/>
      <c r="DZ470" s="118"/>
      <c r="EA470" s="118"/>
    </row>
    <row r="471" spans="1:131" s="76" customFormat="1" ht="11.25" hidden="1">
      <c r="A471" s="165" t="s">
        <v>2</v>
      </c>
      <c r="B471" s="73"/>
      <c r="C471" s="73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  <c r="AB471" s="75"/>
      <c r="AC471" s="75"/>
      <c r="AD471" s="75"/>
      <c r="AE471" s="75"/>
      <c r="AF471" s="75"/>
      <c r="AG471" s="75"/>
      <c r="AH471" s="75"/>
      <c r="AI471" s="75"/>
      <c r="AJ471" s="75"/>
      <c r="AK471" s="75"/>
      <c r="AL471" s="75"/>
      <c r="AM471" s="75"/>
      <c r="AN471" s="75"/>
      <c r="AO471" s="75"/>
      <c r="AP471" s="75"/>
      <c r="AQ471" s="75"/>
      <c r="AR471" s="75"/>
      <c r="AS471" s="75"/>
      <c r="AT471" s="75"/>
      <c r="AU471" s="75"/>
      <c r="AV471" s="75"/>
      <c r="AW471" s="75"/>
      <c r="AX471" s="75"/>
      <c r="AY471" s="75"/>
      <c r="AZ471" s="75"/>
      <c r="BA471" s="75"/>
      <c r="BB471" s="75"/>
      <c r="BC471" s="75"/>
      <c r="BD471" s="75"/>
      <c r="BE471" s="75"/>
      <c r="BF471" s="75"/>
      <c r="BG471" s="75"/>
      <c r="BH471" s="75"/>
      <c r="BI471" s="75"/>
      <c r="BJ471" s="75"/>
      <c r="BK471" s="75"/>
      <c r="BL471" s="75"/>
      <c r="BM471" s="75"/>
      <c r="BN471" s="75"/>
      <c r="BO471" s="75"/>
      <c r="BP471" s="75"/>
      <c r="BQ471" s="75"/>
      <c r="BR471" s="75"/>
      <c r="BS471" s="75"/>
      <c r="BT471" s="75"/>
      <c r="BU471" s="75"/>
      <c r="BV471" s="75"/>
      <c r="BW471" s="75"/>
      <c r="BX471" s="75"/>
      <c r="BY471" s="75"/>
      <c r="BZ471" s="75"/>
      <c r="CA471" s="75"/>
      <c r="CB471" s="75"/>
      <c r="CC471" s="75"/>
      <c r="CD471" s="75"/>
      <c r="CE471" s="75"/>
      <c r="CF471" s="75"/>
      <c r="CG471" s="75"/>
      <c r="CH471" s="75"/>
      <c r="CI471" s="75"/>
      <c r="CJ471" s="75"/>
      <c r="CK471" s="75"/>
      <c r="CL471" s="75"/>
      <c r="CM471" s="75"/>
      <c r="CN471" s="75"/>
      <c r="CO471" s="75"/>
      <c r="CP471" s="75"/>
      <c r="CQ471" s="75"/>
      <c r="CR471" s="75"/>
      <c r="CS471" s="75"/>
      <c r="CT471" s="75"/>
      <c r="CU471" s="75"/>
      <c r="CV471" s="75"/>
      <c r="CW471" s="75"/>
      <c r="CX471" s="75"/>
      <c r="CY471" s="75"/>
      <c r="CZ471" s="75"/>
      <c r="DA471" s="75"/>
      <c r="DB471" s="75"/>
      <c r="DC471" s="75"/>
      <c r="DD471" s="75"/>
      <c r="DE471" s="75"/>
      <c r="DF471" s="75"/>
      <c r="DG471" s="75"/>
      <c r="DH471" s="75"/>
      <c r="DI471" s="75"/>
      <c r="DJ471" s="75"/>
      <c r="DK471" s="75"/>
      <c r="DL471" s="75"/>
      <c r="DM471" s="75"/>
      <c r="DN471" s="75"/>
      <c r="DO471" s="75"/>
      <c r="DP471" s="75"/>
      <c r="DQ471" s="75"/>
      <c r="DR471" s="75"/>
      <c r="DS471" s="75"/>
      <c r="DT471" s="75"/>
      <c r="DU471" s="75"/>
      <c r="DV471" s="75"/>
      <c r="DW471" s="75"/>
      <c r="DX471" s="75"/>
      <c r="DY471" s="75"/>
      <c r="DZ471" s="75"/>
      <c r="EA471" s="75"/>
    </row>
    <row r="472" spans="1:131" s="76" customFormat="1" ht="22.5" hidden="1">
      <c r="A472" s="72" t="s">
        <v>251</v>
      </c>
      <c r="B472" s="73"/>
      <c r="C472" s="73"/>
      <c r="D472" s="74"/>
      <c r="E472" s="74">
        <f>5000000-2000000</f>
        <v>3000000</v>
      </c>
      <c r="F472" s="74">
        <f>E472</f>
        <v>3000000</v>
      </c>
      <c r="G472" s="74"/>
      <c r="H472" s="74">
        <v>5335000</v>
      </c>
      <c r="I472" s="74"/>
      <c r="J472" s="74">
        <f>H472</f>
        <v>5335000</v>
      </c>
      <c r="K472" s="74"/>
      <c r="L472" s="74"/>
      <c r="M472" s="74"/>
      <c r="N472" s="74"/>
      <c r="O472" s="74">
        <v>5655100</v>
      </c>
      <c r="P472" s="74">
        <f>O472</f>
        <v>5655100</v>
      </c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  <c r="AB472" s="75"/>
      <c r="AC472" s="75"/>
      <c r="AD472" s="75"/>
      <c r="AE472" s="75"/>
      <c r="AF472" s="75"/>
      <c r="AG472" s="75"/>
      <c r="AH472" s="75"/>
      <c r="AI472" s="75"/>
      <c r="AJ472" s="75"/>
      <c r="AK472" s="75"/>
      <c r="AL472" s="75"/>
      <c r="AM472" s="75"/>
      <c r="AN472" s="75"/>
      <c r="AO472" s="75"/>
      <c r="AP472" s="75"/>
      <c r="AQ472" s="75"/>
      <c r="AR472" s="75"/>
      <c r="AS472" s="75"/>
      <c r="AT472" s="75"/>
      <c r="AU472" s="75"/>
      <c r="AV472" s="75"/>
      <c r="AW472" s="75"/>
      <c r="AX472" s="75"/>
      <c r="AY472" s="75"/>
      <c r="AZ472" s="75"/>
      <c r="BA472" s="75"/>
      <c r="BB472" s="75"/>
      <c r="BC472" s="75"/>
      <c r="BD472" s="75"/>
      <c r="BE472" s="75"/>
      <c r="BF472" s="75"/>
      <c r="BG472" s="75"/>
      <c r="BH472" s="75"/>
      <c r="BI472" s="75"/>
      <c r="BJ472" s="75"/>
      <c r="BK472" s="75"/>
      <c r="BL472" s="75"/>
      <c r="BM472" s="75"/>
      <c r="BN472" s="75"/>
      <c r="BO472" s="75"/>
      <c r="BP472" s="75"/>
      <c r="BQ472" s="75"/>
      <c r="BR472" s="75"/>
      <c r="BS472" s="75"/>
      <c r="BT472" s="75"/>
      <c r="BU472" s="75"/>
      <c r="BV472" s="75"/>
      <c r="BW472" s="75"/>
      <c r="BX472" s="75"/>
      <c r="BY472" s="75"/>
      <c r="BZ472" s="75"/>
      <c r="CA472" s="75"/>
      <c r="CB472" s="75"/>
      <c r="CC472" s="75"/>
      <c r="CD472" s="75"/>
      <c r="CE472" s="75"/>
      <c r="CF472" s="75"/>
      <c r="CG472" s="75"/>
      <c r="CH472" s="75"/>
      <c r="CI472" s="75"/>
      <c r="CJ472" s="75"/>
      <c r="CK472" s="75"/>
      <c r="CL472" s="75"/>
      <c r="CM472" s="75"/>
      <c r="CN472" s="75"/>
      <c r="CO472" s="75"/>
      <c r="CP472" s="75"/>
      <c r="CQ472" s="75"/>
      <c r="CR472" s="75"/>
      <c r="CS472" s="75"/>
      <c r="CT472" s="75"/>
      <c r="CU472" s="75"/>
      <c r="CV472" s="75"/>
      <c r="CW472" s="75"/>
      <c r="CX472" s="75"/>
      <c r="CY472" s="75"/>
      <c r="CZ472" s="75"/>
      <c r="DA472" s="75"/>
      <c r="DB472" s="75"/>
      <c r="DC472" s="75"/>
      <c r="DD472" s="75"/>
      <c r="DE472" s="75"/>
      <c r="DF472" s="75"/>
      <c r="DG472" s="75"/>
      <c r="DH472" s="75"/>
      <c r="DI472" s="75"/>
      <c r="DJ472" s="75"/>
      <c r="DK472" s="75"/>
      <c r="DL472" s="75"/>
      <c r="DM472" s="75"/>
      <c r="DN472" s="75"/>
      <c r="DO472" s="75"/>
      <c r="DP472" s="75"/>
      <c r="DQ472" s="75"/>
      <c r="DR472" s="75"/>
      <c r="DS472" s="75"/>
      <c r="DT472" s="75"/>
      <c r="DU472" s="75"/>
      <c r="DV472" s="75"/>
      <c r="DW472" s="75"/>
      <c r="DX472" s="75"/>
      <c r="DY472" s="75"/>
      <c r="DZ472" s="75"/>
      <c r="EA472" s="75"/>
    </row>
    <row r="473" spans="1:131" s="76" customFormat="1" ht="11.25" hidden="1">
      <c r="A473" s="165" t="s">
        <v>3</v>
      </c>
      <c r="B473" s="73"/>
      <c r="C473" s="73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  <c r="AB473" s="75"/>
      <c r="AC473" s="75"/>
      <c r="AD473" s="75"/>
      <c r="AE473" s="75"/>
      <c r="AF473" s="75"/>
      <c r="AG473" s="75"/>
      <c r="AH473" s="75"/>
      <c r="AI473" s="75"/>
      <c r="AJ473" s="75"/>
      <c r="AK473" s="75"/>
      <c r="AL473" s="75"/>
      <c r="AM473" s="75"/>
      <c r="AN473" s="75"/>
      <c r="AO473" s="75"/>
      <c r="AP473" s="75"/>
      <c r="AQ473" s="75"/>
      <c r="AR473" s="75"/>
      <c r="AS473" s="75"/>
      <c r="AT473" s="75"/>
      <c r="AU473" s="75"/>
      <c r="AV473" s="75"/>
      <c r="AW473" s="75"/>
      <c r="AX473" s="75"/>
      <c r="AY473" s="75"/>
      <c r="AZ473" s="75"/>
      <c r="BA473" s="75"/>
      <c r="BB473" s="75"/>
      <c r="BC473" s="75"/>
      <c r="BD473" s="75"/>
      <c r="BE473" s="75"/>
      <c r="BF473" s="75"/>
      <c r="BG473" s="75"/>
      <c r="BH473" s="75"/>
      <c r="BI473" s="75"/>
      <c r="BJ473" s="75"/>
      <c r="BK473" s="75"/>
      <c r="BL473" s="75"/>
      <c r="BM473" s="75"/>
      <c r="BN473" s="75"/>
      <c r="BO473" s="75"/>
      <c r="BP473" s="75"/>
      <c r="BQ473" s="75"/>
      <c r="BR473" s="75"/>
      <c r="BS473" s="75"/>
      <c r="BT473" s="75"/>
      <c r="BU473" s="75"/>
      <c r="BV473" s="75"/>
      <c r="BW473" s="75"/>
      <c r="BX473" s="75"/>
      <c r="BY473" s="75"/>
      <c r="BZ473" s="75"/>
      <c r="CA473" s="75"/>
      <c r="CB473" s="75"/>
      <c r="CC473" s="75"/>
      <c r="CD473" s="75"/>
      <c r="CE473" s="75"/>
      <c r="CF473" s="75"/>
      <c r="CG473" s="75"/>
      <c r="CH473" s="75"/>
      <c r="CI473" s="75"/>
      <c r="CJ473" s="75"/>
      <c r="CK473" s="75"/>
      <c r="CL473" s="75"/>
      <c r="CM473" s="75"/>
      <c r="CN473" s="75"/>
      <c r="CO473" s="75"/>
      <c r="CP473" s="75"/>
      <c r="CQ473" s="75"/>
      <c r="CR473" s="75"/>
      <c r="CS473" s="75"/>
      <c r="CT473" s="75"/>
      <c r="CU473" s="75"/>
      <c r="CV473" s="75"/>
      <c r="CW473" s="75"/>
      <c r="CX473" s="75"/>
      <c r="CY473" s="75"/>
      <c r="CZ473" s="75"/>
      <c r="DA473" s="75"/>
      <c r="DB473" s="75"/>
      <c r="DC473" s="75"/>
      <c r="DD473" s="75"/>
      <c r="DE473" s="75"/>
      <c r="DF473" s="75"/>
      <c r="DG473" s="75"/>
      <c r="DH473" s="75"/>
      <c r="DI473" s="75"/>
      <c r="DJ473" s="75"/>
      <c r="DK473" s="75"/>
      <c r="DL473" s="75"/>
      <c r="DM473" s="75"/>
      <c r="DN473" s="75"/>
      <c r="DO473" s="75"/>
      <c r="DP473" s="75"/>
      <c r="DQ473" s="75"/>
      <c r="DR473" s="75"/>
      <c r="DS473" s="75"/>
      <c r="DT473" s="75"/>
      <c r="DU473" s="75"/>
      <c r="DV473" s="75"/>
      <c r="DW473" s="75"/>
      <c r="DX473" s="75"/>
      <c r="DY473" s="75"/>
      <c r="DZ473" s="75"/>
      <c r="EA473" s="75"/>
    </row>
    <row r="474" spans="1:131" s="76" customFormat="1" ht="22.5" hidden="1">
      <c r="A474" s="72" t="s">
        <v>109</v>
      </c>
      <c r="B474" s="73"/>
      <c r="C474" s="73"/>
      <c r="D474" s="74"/>
      <c r="E474" s="74">
        <v>12</v>
      </c>
      <c r="F474" s="74">
        <f>E474</f>
        <v>12</v>
      </c>
      <c r="G474" s="74"/>
      <c r="H474" s="74">
        <f>H472/H476</f>
        <v>20</v>
      </c>
      <c r="I474" s="74"/>
      <c r="J474" s="74">
        <f>H474</f>
        <v>20</v>
      </c>
      <c r="K474" s="74"/>
      <c r="L474" s="74"/>
      <c r="M474" s="74"/>
      <c r="N474" s="74"/>
      <c r="O474" s="74">
        <f>O472/O476</f>
        <v>20</v>
      </c>
      <c r="P474" s="74">
        <f>O474</f>
        <v>20</v>
      </c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  <c r="AB474" s="75"/>
      <c r="AC474" s="75"/>
      <c r="AD474" s="75"/>
      <c r="AE474" s="75"/>
      <c r="AF474" s="75"/>
      <c r="AG474" s="75"/>
      <c r="AH474" s="75"/>
      <c r="AI474" s="75"/>
      <c r="AJ474" s="75"/>
      <c r="AK474" s="75"/>
      <c r="AL474" s="75"/>
      <c r="AM474" s="75"/>
      <c r="AN474" s="75"/>
      <c r="AO474" s="75"/>
      <c r="AP474" s="75"/>
      <c r="AQ474" s="75"/>
      <c r="AR474" s="75"/>
      <c r="AS474" s="75"/>
      <c r="AT474" s="75"/>
      <c r="AU474" s="75"/>
      <c r="AV474" s="75"/>
      <c r="AW474" s="75"/>
      <c r="AX474" s="75"/>
      <c r="AY474" s="75"/>
      <c r="AZ474" s="75"/>
      <c r="BA474" s="75"/>
      <c r="BB474" s="75"/>
      <c r="BC474" s="75"/>
      <c r="BD474" s="75"/>
      <c r="BE474" s="75"/>
      <c r="BF474" s="75"/>
      <c r="BG474" s="75"/>
      <c r="BH474" s="75"/>
      <c r="BI474" s="75"/>
      <c r="BJ474" s="75"/>
      <c r="BK474" s="75"/>
      <c r="BL474" s="75"/>
      <c r="BM474" s="75"/>
      <c r="BN474" s="75"/>
      <c r="BO474" s="75"/>
      <c r="BP474" s="75"/>
      <c r="BQ474" s="75"/>
      <c r="BR474" s="75"/>
      <c r="BS474" s="75"/>
      <c r="BT474" s="75"/>
      <c r="BU474" s="75"/>
      <c r="BV474" s="75"/>
      <c r="BW474" s="75"/>
      <c r="BX474" s="75"/>
      <c r="BY474" s="75"/>
      <c r="BZ474" s="75"/>
      <c r="CA474" s="75"/>
      <c r="CB474" s="75"/>
      <c r="CC474" s="75"/>
      <c r="CD474" s="75"/>
      <c r="CE474" s="75"/>
      <c r="CF474" s="75"/>
      <c r="CG474" s="75"/>
      <c r="CH474" s="75"/>
      <c r="CI474" s="75"/>
      <c r="CJ474" s="75"/>
      <c r="CK474" s="75"/>
      <c r="CL474" s="75"/>
      <c r="CM474" s="75"/>
      <c r="CN474" s="75"/>
      <c r="CO474" s="75"/>
      <c r="CP474" s="75"/>
      <c r="CQ474" s="75"/>
      <c r="CR474" s="75"/>
      <c r="CS474" s="75"/>
      <c r="CT474" s="75"/>
      <c r="CU474" s="75"/>
      <c r="CV474" s="75"/>
      <c r="CW474" s="75"/>
      <c r="CX474" s="75"/>
      <c r="CY474" s="75"/>
      <c r="CZ474" s="75"/>
      <c r="DA474" s="75"/>
      <c r="DB474" s="75"/>
      <c r="DC474" s="75"/>
      <c r="DD474" s="75"/>
      <c r="DE474" s="75"/>
      <c r="DF474" s="75"/>
      <c r="DG474" s="75"/>
      <c r="DH474" s="75"/>
      <c r="DI474" s="75"/>
      <c r="DJ474" s="75"/>
      <c r="DK474" s="75"/>
      <c r="DL474" s="75"/>
      <c r="DM474" s="75"/>
      <c r="DN474" s="75"/>
      <c r="DO474" s="75"/>
      <c r="DP474" s="75"/>
      <c r="DQ474" s="75"/>
      <c r="DR474" s="75"/>
      <c r="DS474" s="75"/>
      <c r="DT474" s="75"/>
      <c r="DU474" s="75"/>
      <c r="DV474" s="75"/>
      <c r="DW474" s="75"/>
      <c r="DX474" s="75"/>
      <c r="DY474" s="75"/>
      <c r="DZ474" s="75"/>
      <c r="EA474" s="75"/>
    </row>
    <row r="475" spans="1:131" s="76" customFormat="1" ht="11.25" hidden="1">
      <c r="A475" s="165" t="s">
        <v>5</v>
      </c>
      <c r="B475" s="73"/>
      <c r="C475" s="73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L475" s="75"/>
      <c r="AM475" s="75"/>
      <c r="AN475" s="75"/>
      <c r="AO475" s="75"/>
      <c r="AP475" s="75"/>
      <c r="AQ475" s="75"/>
      <c r="AR475" s="75"/>
      <c r="AS475" s="75"/>
      <c r="AT475" s="75"/>
      <c r="AU475" s="75"/>
      <c r="AV475" s="75"/>
      <c r="AW475" s="75"/>
      <c r="AX475" s="75"/>
      <c r="AY475" s="75"/>
      <c r="AZ475" s="75"/>
      <c r="BA475" s="75"/>
      <c r="BB475" s="75"/>
      <c r="BC475" s="75"/>
      <c r="BD475" s="75"/>
      <c r="BE475" s="75"/>
      <c r="BF475" s="75"/>
      <c r="BG475" s="75"/>
      <c r="BH475" s="75"/>
      <c r="BI475" s="75"/>
      <c r="BJ475" s="75"/>
      <c r="BK475" s="75"/>
      <c r="BL475" s="75"/>
      <c r="BM475" s="75"/>
      <c r="BN475" s="75"/>
      <c r="BO475" s="75"/>
      <c r="BP475" s="75"/>
      <c r="BQ475" s="75"/>
      <c r="BR475" s="75"/>
      <c r="BS475" s="75"/>
      <c r="BT475" s="75"/>
      <c r="BU475" s="75"/>
      <c r="BV475" s="75"/>
      <c r="BW475" s="75"/>
      <c r="BX475" s="75"/>
      <c r="BY475" s="75"/>
      <c r="BZ475" s="75"/>
      <c r="CA475" s="75"/>
      <c r="CB475" s="75"/>
      <c r="CC475" s="75"/>
      <c r="CD475" s="75"/>
      <c r="CE475" s="75"/>
      <c r="CF475" s="75"/>
      <c r="CG475" s="75"/>
      <c r="CH475" s="75"/>
      <c r="CI475" s="75"/>
      <c r="CJ475" s="75"/>
      <c r="CK475" s="75"/>
      <c r="CL475" s="75"/>
      <c r="CM475" s="75"/>
      <c r="CN475" s="75"/>
      <c r="CO475" s="75"/>
      <c r="CP475" s="75"/>
      <c r="CQ475" s="75"/>
      <c r="CR475" s="75"/>
      <c r="CS475" s="75"/>
      <c r="CT475" s="75"/>
      <c r="CU475" s="75"/>
      <c r="CV475" s="75"/>
      <c r="CW475" s="75"/>
      <c r="CX475" s="75"/>
      <c r="CY475" s="75"/>
      <c r="CZ475" s="75"/>
      <c r="DA475" s="75"/>
      <c r="DB475" s="75"/>
      <c r="DC475" s="75"/>
      <c r="DD475" s="75"/>
      <c r="DE475" s="75"/>
      <c r="DF475" s="75"/>
      <c r="DG475" s="75"/>
      <c r="DH475" s="75"/>
      <c r="DI475" s="75"/>
      <c r="DJ475" s="75"/>
      <c r="DK475" s="75"/>
      <c r="DL475" s="75"/>
      <c r="DM475" s="75"/>
      <c r="DN475" s="75"/>
      <c r="DO475" s="75"/>
      <c r="DP475" s="75"/>
      <c r="DQ475" s="75"/>
      <c r="DR475" s="75"/>
      <c r="DS475" s="75"/>
      <c r="DT475" s="75"/>
      <c r="DU475" s="75"/>
      <c r="DV475" s="75"/>
      <c r="DW475" s="75"/>
      <c r="DX475" s="75"/>
      <c r="DY475" s="75"/>
      <c r="DZ475" s="75"/>
      <c r="EA475" s="75"/>
    </row>
    <row r="476" spans="1:131" s="76" customFormat="1" ht="22.5" hidden="1">
      <c r="A476" s="72" t="s">
        <v>64</v>
      </c>
      <c r="B476" s="73"/>
      <c r="C476" s="73"/>
      <c r="D476" s="74"/>
      <c r="E476" s="74">
        <v>250000</v>
      </c>
      <c r="F476" s="74">
        <f>E476</f>
        <v>250000</v>
      </c>
      <c r="G476" s="74"/>
      <c r="H476" s="74">
        <v>266750</v>
      </c>
      <c r="I476" s="74"/>
      <c r="J476" s="74">
        <f>H476</f>
        <v>266750</v>
      </c>
      <c r="K476" s="74"/>
      <c r="L476" s="74"/>
      <c r="M476" s="74"/>
      <c r="N476" s="74"/>
      <c r="O476" s="74">
        <v>282755</v>
      </c>
      <c r="P476" s="74">
        <f>O476</f>
        <v>282755</v>
      </c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L476" s="75"/>
      <c r="AM476" s="75"/>
      <c r="AN476" s="75"/>
      <c r="AO476" s="75"/>
      <c r="AP476" s="75"/>
      <c r="AQ476" s="75"/>
      <c r="AR476" s="75"/>
      <c r="AS476" s="75"/>
      <c r="AT476" s="75"/>
      <c r="AU476" s="75"/>
      <c r="AV476" s="75"/>
      <c r="AW476" s="75"/>
      <c r="AX476" s="75"/>
      <c r="AY476" s="75"/>
      <c r="AZ476" s="75"/>
      <c r="BA476" s="75"/>
      <c r="BB476" s="75"/>
      <c r="BC476" s="75"/>
      <c r="BD476" s="75"/>
      <c r="BE476" s="75"/>
      <c r="BF476" s="75"/>
      <c r="BG476" s="75"/>
      <c r="BH476" s="75"/>
      <c r="BI476" s="75"/>
      <c r="BJ476" s="75"/>
      <c r="BK476" s="75"/>
      <c r="BL476" s="75"/>
      <c r="BM476" s="75"/>
      <c r="BN476" s="75"/>
      <c r="BO476" s="75"/>
      <c r="BP476" s="75"/>
      <c r="BQ476" s="75"/>
      <c r="BR476" s="75"/>
      <c r="BS476" s="75"/>
      <c r="BT476" s="75"/>
      <c r="BU476" s="75"/>
      <c r="BV476" s="75"/>
      <c r="BW476" s="75"/>
      <c r="BX476" s="75"/>
      <c r="BY476" s="75"/>
      <c r="BZ476" s="75"/>
      <c r="CA476" s="75"/>
      <c r="CB476" s="75"/>
      <c r="CC476" s="75"/>
      <c r="CD476" s="75"/>
      <c r="CE476" s="75"/>
      <c r="CF476" s="75"/>
      <c r="CG476" s="75"/>
      <c r="CH476" s="75"/>
      <c r="CI476" s="75"/>
      <c r="CJ476" s="75"/>
      <c r="CK476" s="75"/>
      <c r="CL476" s="75"/>
      <c r="CM476" s="75"/>
      <c r="CN476" s="75"/>
      <c r="CO476" s="75"/>
      <c r="CP476" s="75"/>
      <c r="CQ476" s="75"/>
      <c r="CR476" s="75"/>
      <c r="CS476" s="75"/>
      <c r="CT476" s="75"/>
      <c r="CU476" s="75"/>
      <c r="CV476" s="75"/>
      <c r="CW476" s="75"/>
      <c r="CX476" s="75"/>
      <c r="CY476" s="75"/>
      <c r="CZ476" s="75"/>
      <c r="DA476" s="75"/>
      <c r="DB476" s="75"/>
      <c r="DC476" s="75"/>
      <c r="DD476" s="75"/>
      <c r="DE476" s="75"/>
      <c r="DF476" s="75"/>
      <c r="DG476" s="75"/>
      <c r="DH476" s="75"/>
      <c r="DI476" s="75"/>
      <c r="DJ476" s="75"/>
      <c r="DK476" s="75"/>
      <c r="DL476" s="75"/>
      <c r="DM476" s="75"/>
      <c r="DN476" s="75"/>
      <c r="DO476" s="75"/>
      <c r="DP476" s="75"/>
      <c r="DQ476" s="75"/>
      <c r="DR476" s="75"/>
      <c r="DS476" s="75"/>
      <c r="DT476" s="75"/>
      <c r="DU476" s="75"/>
      <c r="DV476" s="75"/>
      <c r="DW476" s="75"/>
      <c r="DX476" s="75"/>
      <c r="DY476" s="75"/>
      <c r="DZ476" s="75"/>
      <c r="EA476" s="75"/>
    </row>
    <row r="477" spans="1:131" s="203" customFormat="1" ht="33" customHeight="1" hidden="1">
      <c r="A477" s="200" t="s">
        <v>225</v>
      </c>
      <c r="B477" s="200"/>
      <c r="C477" s="200"/>
      <c r="D477" s="201">
        <f>D478+D479</f>
        <v>5805640</v>
      </c>
      <c r="E477" s="201">
        <f aca="true" t="shared" si="28" ref="E477:P477">E478+E479</f>
        <v>2008400</v>
      </c>
      <c r="F477" s="201">
        <f t="shared" si="28"/>
        <v>7814040</v>
      </c>
      <c r="G477" s="201">
        <f t="shared" si="28"/>
        <v>6442527</v>
      </c>
      <c r="H477" s="201">
        <f t="shared" si="28"/>
        <v>630370</v>
      </c>
      <c r="I477" s="201">
        <f t="shared" si="28"/>
        <v>0</v>
      </c>
      <c r="J477" s="201">
        <f t="shared" si="28"/>
        <v>7072897</v>
      </c>
      <c r="K477" s="201" t="e">
        <f t="shared" si="28"/>
        <v>#REF!</v>
      </c>
      <c r="L477" s="201" t="e">
        <f t="shared" si="28"/>
        <v>#REF!</v>
      </c>
      <c r="M477" s="201" t="e">
        <f t="shared" si="28"/>
        <v>#REF!</v>
      </c>
      <c r="N477" s="201">
        <f t="shared" si="28"/>
        <v>6701983</v>
      </c>
      <c r="O477" s="201">
        <f t="shared" si="28"/>
        <v>664380</v>
      </c>
      <c r="P477" s="201">
        <f t="shared" si="28"/>
        <v>7366363</v>
      </c>
      <c r="Q477" s="202"/>
      <c r="R477" s="202"/>
      <c r="S477" s="202"/>
      <c r="T477" s="202"/>
      <c r="U477" s="202"/>
      <c r="V477" s="202"/>
      <c r="W477" s="202"/>
      <c r="X477" s="202"/>
      <c r="Y477" s="202"/>
      <c r="Z477" s="202"/>
      <c r="AA477" s="202"/>
      <c r="AB477" s="202"/>
      <c r="AC477" s="202"/>
      <c r="AD477" s="202"/>
      <c r="AE477" s="202"/>
      <c r="AF477" s="202"/>
      <c r="AG477" s="202"/>
      <c r="AH477" s="202"/>
      <c r="AI477" s="202"/>
      <c r="AJ477" s="202"/>
      <c r="AK477" s="202"/>
      <c r="AL477" s="202"/>
      <c r="AM477" s="202"/>
      <c r="AN477" s="202"/>
      <c r="AO477" s="202"/>
      <c r="AP477" s="202"/>
      <c r="AQ477" s="202"/>
      <c r="AR477" s="202"/>
      <c r="AS477" s="202"/>
      <c r="AT477" s="202"/>
      <c r="AU477" s="202"/>
      <c r="AV477" s="202"/>
      <c r="AW477" s="202"/>
      <c r="AX477" s="202"/>
      <c r="AY477" s="202"/>
      <c r="AZ477" s="202"/>
      <c r="BA477" s="202"/>
      <c r="BB477" s="202"/>
      <c r="BC477" s="202"/>
      <c r="BD477" s="202"/>
      <c r="BE477" s="202"/>
      <c r="BF477" s="202"/>
      <c r="BG477" s="202"/>
      <c r="BH477" s="202"/>
      <c r="BI477" s="202"/>
      <c r="BJ477" s="202"/>
      <c r="BK477" s="202"/>
      <c r="BL477" s="202"/>
      <c r="BM477" s="202"/>
      <c r="BN477" s="202"/>
      <c r="BO477" s="202"/>
      <c r="BP477" s="202"/>
      <c r="BQ477" s="202"/>
      <c r="BR477" s="202"/>
      <c r="BS477" s="202"/>
      <c r="BT477" s="202"/>
      <c r="BU477" s="202"/>
      <c r="BV477" s="202"/>
      <c r="BW477" s="202"/>
      <c r="BX477" s="202"/>
      <c r="BY477" s="202"/>
      <c r="BZ477" s="202"/>
      <c r="CA477" s="202"/>
      <c r="CB477" s="202"/>
      <c r="CC477" s="202"/>
      <c r="CD477" s="202"/>
      <c r="CE477" s="202"/>
      <c r="CF477" s="202"/>
      <c r="CG477" s="202"/>
      <c r="CH477" s="202"/>
      <c r="CI477" s="202"/>
      <c r="CJ477" s="202"/>
      <c r="CK477" s="202"/>
      <c r="CL477" s="202"/>
      <c r="CM477" s="202"/>
      <c r="CN477" s="202"/>
      <c r="CO477" s="202"/>
      <c r="CP477" s="202"/>
      <c r="CQ477" s="202"/>
      <c r="CR477" s="202"/>
      <c r="CS477" s="202"/>
      <c r="CT477" s="202"/>
      <c r="CU477" s="202"/>
      <c r="CV477" s="202"/>
      <c r="CW477" s="202"/>
      <c r="CX477" s="202"/>
      <c r="CY477" s="202"/>
      <c r="CZ477" s="202"/>
      <c r="DA477" s="202"/>
      <c r="DB477" s="202"/>
      <c r="DC477" s="202"/>
      <c r="DD477" s="202"/>
      <c r="DE477" s="202"/>
      <c r="DF477" s="202"/>
      <c r="DG477" s="202"/>
      <c r="DH477" s="202"/>
      <c r="DI477" s="202"/>
      <c r="DJ477" s="202"/>
      <c r="DK477" s="202"/>
      <c r="DL477" s="202"/>
      <c r="DM477" s="202"/>
      <c r="DN477" s="202"/>
      <c r="DO477" s="202"/>
      <c r="DP477" s="202"/>
      <c r="DQ477" s="202"/>
      <c r="DR477" s="202"/>
      <c r="DS477" s="202"/>
      <c r="DT477" s="202"/>
      <c r="DU477" s="202"/>
      <c r="DV477" s="202"/>
      <c r="DW477" s="202"/>
      <c r="DX477" s="202"/>
      <c r="DY477" s="202"/>
      <c r="DZ477" s="202"/>
      <c r="EA477" s="202"/>
    </row>
    <row r="478" spans="1:16" ht="13.5" customHeight="1" hidden="1">
      <c r="A478" s="25" t="s">
        <v>31</v>
      </c>
      <c r="B478" s="25"/>
      <c r="C478" s="25"/>
      <c r="D478" s="18">
        <f>D481+D488</f>
        <v>5627900</v>
      </c>
      <c r="E478" s="18">
        <f aca="true" t="shared" si="29" ref="E478:O478">E481+E488</f>
        <v>1785000</v>
      </c>
      <c r="F478" s="18">
        <f>D478+E478</f>
        <v>7412900</v>
      </c>
      <c r="G478" s="18">
        <f t="shared" si="29"/>
        <v>6128797</v>
      </c>
      <c r="H478" s="18">
        <f t="shared" si="29"/>
        <v>0</v>
      </c>
      <c r="I478" s="18">
        <f t="shared" si="29"/>
        <v>0</v>
      </c>
      <c r="J478" s="18">
        <f>G478+H478</f>
        <v>6128797</v>
      </c>
      <c r="K478" s="18">
        <f t="shared" si="29"/>
        <v>0</v>
      </c>
      <c r="L478" s="18">
        <f t="shared" si="29"/>
        <v>0</v>
      </c>
      <c r="M478" s="18">
        <f t="shared" si="29"/>
        <v>0</v>
      </c>
      <c r="N478" s="18">
        <f t="shared" si="29"/>
        <v>6379973</v>
      </c>
      <c r="O478" s="18">
        <f t="shared" si="29"/>
        <v>0</v>
      </c>
      <c r="P478" s="18">
        <f>N478+O478</f>
        <v>6379973</v>
      </c>
    </row>
    <row r="479" spans="1:131" s="76" customFormat="1" ht="11.25" hidden="1">
      <c r="A479" s="83" t="s">
        <v>106</v>
      </c>
      <c r="B479" s="83"/>
      <c r="C479" s="83"/>
      <c r="D479" s="84">
        <f>D622</f>
        <v>177740</v>
      </c>
      <c r="E479" s="84">
        <f>E622</f>
        <v>223400</v>
      </c>
      <c r="F479" s="84">
        <f aca="true" t="shared" si="30" ref="F479:P479">F622</f>
        <v>401140</v>
      </c>
      <c r="G479" s="84">
        <f t="shared" si="30"/>
        <v>313730</v>
      </c>
      <c r="H479" s="84">
        <f t="shared" si="30"/>
        <v>630370</v>
      </c>
      <c r="I479" s="84">
        <f t="shared" si="30"/>
        <v>0</v>
      </c>
      <c r="J479" s="84">
        <f t="shared" si="30"/>
        <v>944100</v>
      </c>
      <c r="K479" s="84" t="e">
        <f t="shared" si="30"/>
        <v>#REF!</v>
      </c>
      <c r="L479" s="84" t="e">
        <f t="shared" si="30"/>
        <v>#REF!</v>
      </c>
      <c r="M479" s="84" t="e">
        <f t="shared" si="30"/>
        <v>#REF!</v>
      </c>
      <c r="N479" s="84">
        <f t="shared" si="30"/>
        <v>322010</v>
      </c>
      <c r="O479" s="84">
        <f t="shared" si="30"/>
        <v>664380</v>
      </c>
      <c r="P479" s="84">
        <f t="shared" si="30"/>
        <v>986390</v>
      </c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  <c r="AC479" s="75"/>
      <c r="AD479" s="75"/>
      <c r="AE479" s="75"/>
      <c r="AF479" s="75"/>
      <c r="AG479" s="75"/>
      <c r="AH479" s="75"/>
      <c r="AI479" s="75"/>
      <c r="AJ479" s="75"/>
      <c r="AK479" s="75"/>
      <c r="AL479" s="75"/>
      <c r="AM479" s="75"/>
      <c r="AN479" s="75"/>
      <c r="AO479" s="75"/>
      <c r="AP479" s="75"/>
      <c r="AQ479" s="75"/>
      <c r="AR479" s="75"/>
      <c r="AS479" s="75"/>
      <c r="AT479" s="75"/>
      <c r="AU479" s="75"/>
      <c r="AV479" s="75"/>
      <c r="AW479" s="75"/>
      <c r="AX479" s="75"/>
      <c r="AY479" s="75"/>
      <c r="AZ479" s="75"/>
      <c r="BA479" s="75"/>
      <c r="BB479" s="75"/>
      <c r="BC479" s="75"/>
      <c r="BD479" s="75"/>
      <c r="BE479" s="75"/>
      <c r="BF479" s="75"/>
      <c r="BG479" s="75"/>
      <c r="BH479" s="75"/>
      <c r="BI479" s="75"/>
      <c r="BJ479" s="75"/>
      <c r="BK479" s="75"/>
      <c r="BL479" s="75"/>
      <c r="BM479" s="75"/>
      <c r="BN479" s="75"/>
      <c r="BO479" s="75"/>
      <c r="BP479" s="75"/>
      <c r="BQ479" s="75"/>
      <c r="BR479" s="75"/>
      <c r="BS479" s="75"/>
      <c r="BT479" s="75"/>
      <c r="BU479" s="75"/>
      <c r="BV479" s="75"/>
      <c r="BW479" s="75"/>
      <c r="BX479" s="75"/>
      <c r="BY479" s="75"/>
      <c r="BZ479" s="75"/>
      <c r="CA479" s="75"/>
      <c r="CB479" s="75"/>
      <c r="CC479" s="75"/>
      <c r="CD479" s="75"/>
      <c r="CE479" s="75"/>
      <c r="CF479" s="75"/>
      <c r="CG479" s="75"/>
      <c r="CH479" s="75"/>
      <c r="CI479" s="75"/>
      <c r="CJ479" s="75"/>
      <c r="CK479" s="75"/>
      <c r="CL479" s="75"/>
      <c r="CM479" s="75"/>
      <c r="CN479" s="75"/>
      <c r="CO479" s="75"/>
      <c r="CP479" s="75"/>
      <c r="CQ479" s="75"/>
      <c r="CR479" s="75"/>
      <c r="CS479" s="75"/>
      <c r="CT479" s="75"/>
      <c r="CU479" s="75"/>
      <c r="CV479" s="75"/>
      <c r="CW479" s="75"/>
      <c r="CX479" s="75"/>
      <c r="CY479" s="75"/>
      <c r="CZ479" s="75"/>
      <c r="DA479" s="75"/>
      <c r="DB479" s="75"/>
      <c r="DC479" s="75"/>
      <c r="DD479" s="75"/>
      <c r="DE479" s="75"/>
      <c r="DF479" s="75"/>
      <c r="DG479" s="75"/>
      <c r="DH479" s="75"/>
      <c r="DI479" s="75"/>
      <c r="DJ479" s="75"/>
      <c r="DK479" s="75"/>
      <c r="DL479" s="75"/>
      <c r="DM479" s="75"/>
      <c r="DN479" s="75"/>
      <c r="DO479" s="75"/>
      <c r="DP479" s="75"/>
      <c r="DQ479" s="75"/>
      <c r="DR479" s="75"/>
      <c r="DS479" s="75"/>
      <c r="DT479" s="75"/>
      <c r="DU479" s="75"/>
      <c r="DV479" s="75"/>
      <c r="DW479" s="75"/>
      <c r="DX479" s="75"/>
      <c r="DY479" s="75"/>
      <c r="DZ479" s="75"/>
      <c r="EA479" s="75"/>
    </row>
    <row r="480" spans="1:16" ht="51.75" customHeight="1" hidden="1">
      <c r="A480" s="6" t="s">
        <v>248</v>
      </c>
      <c r="B480" s="4"/>
      <c r="C480" s="4"/>
      <c r="D480" s="24"/>
      <c r="E480" s="24"/>
      <c r="F480" s="24"/>
      <c r="G480" s="24"/>
      <c r="H480" s="24"/>
      <c r="I480" s="24"/>
      <c r="J480" s="24"/>
      <c r="K480" s="5"/>
      <c r="L480" s="24"/>
      <c r="M480" s="24"/>
      <c r="N480" s="24"/>
      <c r="O480" s="24"/>
      <c r="P480" s="24"/>
    </row>
    <row r="481" spans="1:131" s="197" customFormat="1" ht="71.25" customHeight="1" hidden="1">
      <c r="A481" s="194" t="s">
        <v>425</v>
      </c>
      <c r="B481" s="195"/>
      <c r="C481" s="195"/>
      <c r="D481" s="193">
        <f>D483</f>
        <v>3175000</v>
      </c>
      <c r="E481" s="193">
        <f>E483</f>
        <v>0</v>
      </c>
      <c r="F481" s="193">
        <f>D481+E481</f>
        <v>3175000</v>
      </c>
      <c r="G481" s="193">
        <f>G483</f>
        <v>2995300</v>
      </c>
      <c r="H481" s="193"/>
      <c r="I481" s="193"/>
      <c r="J481" s="193">
        <f>J483</f>
        <v>2995300</v>
      </c>
      <c r="K481" s="193"/>
      <c r="L481" s="193"/>
      <c r="M481" s="193"/>
      <c r="N481" s="193">
        <f>N483</f>
        <v>3248700</v>
      </c>
      <c r="O481" s="193"/>
      <c r="P481" s="193">
        <f>N481</f>
        <v>3248700</v>
      </c>
      <c r="Q481" s="196"/>
      <c r="R481" s="196"/>
      <c r="S481" s="196"/>
      <c r="T481" s="196"/>
      <c r="U481" s="196"/>
      <c r="V481" s="196"/>
      <c r="W481" s="196"/>
      <c r="X481" s="196"/>
      <c r="Y481" s="196"/>
      <c r="Z481" s="196"/>
      <c r="AA481" s="196"/>
      <c r="AB481" s="196"/>
      <c r="AC481" s="196"/>
      <c r="AD481" s="196"/>
      <c r="AE481" s="196"/>
      <c r="AF481" s="196"/>
      <c r="AG481" s="196"/>
      <c r="AH481" s="196"/>
      <c r="AI481" s="196"/>
      <c r="AJ481" s="196"/>
      <c r="AK481" s="196"/>
      <c r="AL481" s="196"/>
      <c r="AM481" s="196"/>
      <c r="AN481" s="196"/>
      <c r="AO481" s="196"/>
      <c r="AP481" s="196"/>
      <c r="AQ481" s="196"/>
      <c r="AR481" s="196"/>
      <c r="AS481" s="196"/>
      <c r="AT481" s="196"/>
      <c r="AU481" s="196"/>
      <c r="AV481" s="196"/>
      <c r="AW481" s="196"/>
      <c r="AX481" s="196"/>
      <c r="AY481" s="196"/>
      <c r="AZ481" s="196"/>
      <c r="BA481" s="196"/>
      <c r="BB481" s="196"/>
      <c r="BC481" s="196"/>
      <c r="BD481" s="196"/>
      <c r="BE481" s="196"/>
      <c r="BF481" s="196"/>
      <c r="BG481" s="196"/>
      <c r="BH481" s="196"/>
      <c r="BI481" s="196"/>
      <c r="BJ481" s="196"/>
      <c r="BK481" s="196"/>
      <c r="BL481" s="196"/>
      <c r="BM481" s="196"/>
      <c r="BN481" s="196"/>
      <c r="BO481" s="196"/>
      <c r="BP481" s="196"/>
      <c r="BQ481" s="196"/>
      <c r="BR481" s="196"/>
      <c r="BS481" s="196"/>
      <c r="BT481" s="196"/>
      <c r="BU481" s="196"/>
      <c r="BV481" s="196"/>
      <c r="BW481" s="196"/>
      <c r="BX481" s="196"/>
      <c r="BY481" s="196"/>
      <c r="BZ481" s="196"/>
      <c r="CA481" s="196"/>
      <c r="CB481" s="196"/>
      <c r="CC481" s="196"/>
      <c r="CD481" s="196"/>
      <c r="CE481" s="196"/>
      <c r="CF481" s="196"/>
      <c r="CG481" s="196"/>
      <c r="CH481" s="196"/>
      <c r="CI481" s="196"/>
      <c r="CJ481" s="196"/>
      <c r="CK481" s="196"/>
      <c r="CL481" s="196"/>
      <c r="CM481" s="196"/>
      <c r="CN481" s="196"/>
      <c r="CO481" s="196"/>
      <c r="CP481" s="196"/>
      <c r="CQ481" s="196"/>
      <c r="CR481" s="196"/>
      <c r="CS481" s="196"/>
      <c r="CT481" s="196"/>
      <c r="CU481" s="196"/>
      <c r="CV481" s="196"/>
      <c r="CW481" s="196"/>
      <c r="CX481" s="196"/>
      <c r="CY481" s="196"/>
      <c r="CZ481" s="196"/>
      <c r="DA481" s="196"/>
      <c r="DB481" s="196"/>
      <c r="DC481" s="196"/>
      <c r="DD481" s="196"/>
      <c r="DE481" s="196"/>
      <c r="DF481" s="196"/>
      <c r="DG481" s="196"/>
      <c r="DH481" s="196"/>
      <c r="DI481" s="196"/>
      <c r="DJ481" s="196"/>
      <c r="DK481" s="196"/>
      <c r="DL481" s="196"/>
      <c r="DM481" s="196"/>
      <c r="DN481" s="196"/>
      <c r="DO481" s="196"/>
      <c r="DP481" s="196"/>
      <c r="DQ481" s="196"/>
      <c r="DR481" s="196"/>
      <c r="DS481" s="196"/>
      <c r="DT481" s="196"/>
      <c r="DU481" s="196"/>
      <c r="DV481" s="196"/>
      <c r="DW481" s="196"/>
      <c r="DX481" s="196"/>
      <c r="DY481" s="196"/>
      <c r="DZ481" s="196"/>
      <c r="EA481" s="196"/>
    </row>
    <row r="482" spans="1:16" ht="11.25" hidden="1">
      <c r="A482" s="3" t="s">
        <v>20</v>
      </c>
      <c r="B482" s="25"/>
      <c r="C482" s="25"/>
      <c r="D482" s="18"/>
      <c r="E482" s="18"/>
      <c r="F482" s="81"/>
      <c r="G482" s="18"/>
      <c r="H482" s="18"/>
      <c r="I482" s="18"/>
      <c r="J482" s="18"/>
      <c r="K482" s="5"/>
      <c r="L482" s="18"/>
      <c r="M482" s="18"/>
      <c r="N482" s="18"/>
      <c r="O482" s="18"/>
      <c r="P482" s="18"/>
    </row>
    <row r="483" spans="1:16" ht="23.25" customHeight="1" hidden="1">
      <c r="A483" s="6" t="s">
        <v>140</v>
      </c>
      <c r="B483" s="4"/>
      <c r="C483" s="4"/>
      <c r="D483" s="5">
        <f>3544000-100000-254000-15000</f>
        <v>3175000</v>
      </c>
      <c r="E483" s="5">
        <f>1330000-1200000-130000</f>
        <v>0</v>
      </c>
      <c r="F483" s="81">
        <f>D483+E483</f>
        <v>3175000</v>
      </c>
      <c r="G483" s="5">
        <v>2995300</v>
      </c>
      <c r="H483" s="5"/>
      <c r="I483" s="5"/>
      <c r="J483" s="5">
        <f>G483</f>
        <v>2995300</v>
      </c>
      <c r="K483" s="5">
        <f>G483/D483*100</f>
        <v>94.34015748031496</v>
      </c>
      <c r="L483" s="5"/>
      <c r="M483" s="5"/>
      <c r="N483" s="5">
        <v>3248700</v>
      </c>
      <c r="O483" s="5"/>
      <c r="P483" s="5">
        <f>N483</f>
        <v>3248700</v>
      </c>
    </row>
    <row r="484" spans="1:16" ht="11.25" hidden="1">
      <c r="A484" s="3" t="s">
        <v>3</v>
      </c>
      <c r="B484" s="25"/>
      <c r="C484" s="25"/>
      <c r="D484" s="18"/>
      <c r="E484" s="18"/>
      <c r="F484" s="81"/>
      <c r="G484" s="18"/>
      <c r="H484" s="18"/>
      <c r="I484" s="18"/>
      <c r="J484" s="5"/>
      <c r="K484" s="5"/>
      <c r="L484" s="18"/>
      <c r="M484" s="18"/>
      <c r="N484" s="18"/>
      <c r="O484" s="18"/>
      <c r="P484" s="5"/>
    </row>
    <row r="485" spans="1:16" ht="22.5" hidden="1">
      <c r="A485" s="6" t="s">
        <v>139</v>
      </c>
      <c r="B485" s="4"/>
      <c r="C485" s="4"/>
      <c r="D485" s="74">
        <v>10</v>
      </c>
      <c r="E485" s="5">
        <v>0</v>
      </c>
      <c r="F485" s="81">
        <f>D485+E485</f>
        <v>10</v>
      </c>
      <c r="G485" s="5">
        <v>10</v>
      </c>
      <c r="H485" s="5"/>
      <c r="I485" s="5"/>
      <c r="J485" s="5">
        <f>G485</f>
        <v>10</v>
      </c>
      <c r="K485" s="5">
        <f>G485/D485*100</f>
        <v>100</v>
      </c>
      <c r="L485" s="5"/>
      <c r="M485" s="5"/>
      <c r="N485" s="5">
        <v>10</v>
      </c>
      <c r="O485" s="5"/>
      <c r="P485" s="5">
        <f>N485</f>
        <v>10</v>
      </c>
    </row>
    <row r="486" spans="1:16" ht="11.25" hidden="1">
      <c r="A486" s="3" t="s">
        <v>5</v>
      </c>
      <c r="B486" s="25"/>
      <c r="C486" s="25"/>
      <c r="D486" s="18"/>
      <c r="E486" s="18"/>
      <c r="F486" s="81"/>
      <c r="G486" s="18"/>
      <c r="H486" s="18"/>
      <c r="I486" s="18"/>
      <c r="J486" s="5"/>
      <c r="K486" s="5"/>
      <c r="L486" s="18"/>
      <c r="M486" s="18"/>
      <c r="N486" s="18"/>
      <c r="O486" s="18"/>
      <c r="P486" s="5"/>
    </row>
    <row r="487" spans="1:16" ht="22.5" hidden="1">
      <c r="A487" s="204" t="s">
        <v>141</v>
      </c>
      <c r="B487" s="205"/>
      <c r="C487" s="205"/>
      <c r="D487" s="13">
        <f>D483/D485</f>
        <v>317500</v>
      </c>
      <c r="E487" s="13" t="e">
        <f>E483/E485</f>
        <v>#DIV/0!</v>
      </c>
      <c r="F487" s="206" t="e">
        <f>D487+E487</f>
        <v>#DIV/0!</v>
      </c>
      <c r="G487" s="13">
        <f>G483/G485</f>
        <v>299530</v>
      </c>
      <c r="H487" s="13"/>
      <c r="I487" s="13"/>
      <c r="J487" s="13">
        <f>G487</f>
        <v>299530</v>
      </c>
      <c r="K487" s="13">
        <f>G487/D487*100</f>
        <v>94.34015748031496</v>
      </c>
      <c r="L487" s="13"/>
      <c r="M487" s="13"/>
      <c r="N487" s="13">
        <f>N483/N485</f>
        <v>324870</v>
      </c>
      <c r="O487" s="13"/>
      <c r="P487" s="13">
        <f>N487</f>
        <v>324870</v>
      </c>
    </row>
    <row r="488" spans="1:131" s="208" customFormat="1" ht="40.5" customHeight="1" hidden="1">
      <c r="A488" s="194" t="s">
        <v>523</v>
      </c>
      <c r="B488" s="195"/>
      <c r="C488" s="195"/>
      <c r="D488" s="193">
        <f>D489+D496+D503+D510+D515+D522+D529+D536+D543+D550+D557+D564+D571+D578+D585+D592+D599+D606+D613</f>
        <v>2452900</v>
      </c>
      <c r="E488" s="193">
        <f aca="true" t="shared" si="31" ref="E488:P488">E489+E496+E503+E510+E515+E522+E529+E536+E543+E550+E557+E564+E571+E578+E585+E592+E599+E606+E613</f>
        <v>1785000</v>
      </c>
      <c r="F488" s="193">
        <f t="shared" si="31"/>
        <v>4237900</v>
      </c>
      <c r="G488" s="193">
        <f t="shared" si="31"/>
        <v>3133497</v>
      </c>
      <c r="H488" s="193">
        <f t="shared" si="31"/>
        <v>0</v>
      </c>
      <c r="I488" s="193">
        <f t="shared" si="31"/>
        <v>0</v>
      </c>
      <c r="J488" s="193">
        <f t="shared" si="31"/>
        <v>3133497</v>
      </c>
      <c r="K488" s="193">
        <f t="shared" si="31"/>
        <v>0</v>
      </c>
      <c r="L488" s="193">
        <f t="shared" si="31"/>
        <v>0</v>
      </c>
      <c r="M488" s="193">
        <f t="shared" si="31"/>
        <v>0</v>
      </c>
      <c r="N488" s="193">
        <f t="shared" si="31"/>
        <v>3131273</v>
      </c>
      <c r="O488" s="193">
        <f t="shared" si="31"/>
        <v>0</v>
      </c>
      <c r="P488" s="193">
        <f t="shared" si="31"/>
        <v>3131273</v>
      </c>
      <c r="Q488" s="193">
        <f>Q489+Q496+Q503+Q510+Q515+Q522+Q529+Q536+Q543+Q550+Q557+Q564+Q571+Q578+Q585+Q592+Q599+Q606</f>
        <v>0</v>
      </c>
      <c r="R488" s="207"/>
      <c r="S488" s="207"/>
      <c r="T488" s="207"/>
      <c r="U488" s="207"/>
      <c r="V488" s="207"/>
      <c r="W488" s="207"/>
      <c r="X488" s="207"/>
      <c r="Y488" s="207"/>
      <c r="Z488" s="207"/>
      <c r="AA488" s="207"/>
      <c r="AB488" s="207"/>
      <c r="AC488" s="207"/>
      <c r="AD488" s="207"/>
      <c r="AE488" s="207"/>
      <c r="AF488" s="207"/>
      <c r="AG488" s="207"/>
      <c r="AH488" s="207"/>
      <c r="AI488" s="207"/>
      <c r="AJ488" s="207"/>
      <c r="AK488" s="207"/>
      <c r="AL488" s="207"/>
      <c r="AM488" s="207"/>
      <c r="AN488" s="207"/>
      <c r="AO488" s="207"/>
      <c r="AP488" s="207"/>
      <c r="AQ488" s="207"/>
      <c r="AR488" s="207"/>
      <c r="AS488" s="207"/>
      <c r="AT488" s="207"/>
      <c r="AU488" s="207"/>
      <c r="AV488" s="207"/>
      <c r="AW488" s="207"/>
      <c r="AX488" s="207"/>
      <c r="AY488" s="207"/>
      <c r="AZ488" s="207"/>
      <c r="BA488" s="207"/>
      <c r="BB488" s="207"/>
      <c r="BC488" s="207"/>
      <c r="BD488" s="207"/>
      <c r="BE488" s="207"/>
      <c r="BF488" s="207"/>
      <c r="BG488" s="207"/>
      <c r="BH488" s="207"/>
      <c r="BI488" s="207"/>
      <c r="BJ488" s="207"/>
      <c r="BK488" s="207"/>
      <c r="BL488" s="207"/>
      <c r="BM488" s="207"/>
      <c r="BN488" s="207"/>
      <c r="BO488" s="207"/>
      <c r="BP488" s="207"/>
      <c r="BQ488" s="207"/>
      <c r="BR488" s="207"/>
      <c r="BS488" s="207"/>
      <c r="BT488" s="207"/>
      <c r="BU488" s="207"/>
      <c r="BV488" s="207"/>
      <c r="BW488" s="207"/>
      <c r="BX488" s="207"/>
      <c r="BY488" s="207"/>
      <c r="BZ488" s="207"/>
      <c r="CA488" s="207"/>
      <c r="CB488" s="207"/>
      <c r="CC488" s="207"/>
      <c r="CD488" s="207"/>
      <c r="CE488" s="207"/>
      <c r="CF488" s="207"/>
      <c r="CG488" s="207"/>
      <c r="CH488" s="207"/>
      <c r="CI488" s="207"/>
      <c r="CJ488" s="207"/>
      <c r="CK488" s="207"/>
      <c r="CL488" s="207"/>
      <c r="CM488" s="207"/>
      <c r="CN488" s="207"/>
      <c r="CO488" s="207"/>
      <c r="CP488" s="207"/>
      <c r="CQ488" s="207"/>
      <c r="CR488" s="207"/>
      <c r="CS488" s="207"/>
      <c r="CT488" s="207"/>
      <c r="CU488" s="207"/>
      <c r="CV488" s="207"/>
      <c r="CW488" s="207"/>
      <c r="CX488" s="207"/>
      <c r="CY488" s="207"/>
      <c r="CZ488" s="207"/>
      <c r="DA488" s="207"/>
      <c r="DB488" s="207"/>
      <c r="DC488" s="207"/>
      <c r="DD488" s="207"/>
      <c r="DE488" s="207"/>
      <c r="DF488" s="207"/>
      <c r="DG488" s="207"/>
      <c r="DH488" s="207"/>
      <c r="DI488" s="207"/>
      <c r="DJ488" s="207"/>
      <c r="DK488" s="207"/>
      <c r="DL488" s="207"/>
      <c r="DM488" s="207"/>
      <c r="DN488" s="207"/>
      <c r="DO488" s="207"/>
      <c r="DP488" s="207"/>
      <c r="DQ488" s="207"/>
      <c r="DR488" s="207"/>
      <c r="DS488" s="207"/>
      <c r="DT488" s="207"/>
      <c r="DU488" s="207"/>
      <c r="DV488" s="207"/>
      <c r="DW488" s="207"/>
      <c r="DX488" s="207"/>
      <c r="DY488" s="207"/>
      <c r="DZ488" s="207"/>
      <c r="EA488" s="207"/>
    </row>
    <row r="489" spans="1:131" s="27" customFormat="1" ht="39" customHeight="1" hidden="1">
      <c r="A489" s="22" t="s">
        <v>458</v>
      </c>
      <c r="B489" s="7"/>
      <c r="C489" s="7"/>
      <c r="D489" s="8">
        <f>D491</f>
        <v>50000</v>
      </c>
      <c r="E489" s="8"/>
      <c r="F489" s="8">
        <f>D489</f>
        <v>50000</v>
      </c>
      <c r="G489" s="8">
        <f>G491</f>
        <v>382200</v>
      </c>
      <c r="H489" s="8"/>
      <c r="I489" s="8"/>
      <c r="J489" s="8">
        <f>G489</f>
        <v>382200</v>
      </c>
      <c r="K489" s="8"/>
      <c r="L489" s="8"/>
      <c r="M489" s="8"/>
      <c r="N489" s="8">
        <f>N491</f>
        <v>427300</v>
      </c>
      <c r="O489" s="8"/>
      <c r="P489" s="8">
        <f>N489</f>
        <v>427300</v>
      </c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</row>
    <row r="490" spans="1:16" ht="11.25" hidden="1">
      <c r="A490" s="3" t="s">
        <v>2</v>
      </c>
      <c r="B490" s="9"/>
      <c r="C490" s="9"/>
      <c r="D490" s="29"/>
      <c r="E490" s="29"/>
      <c r="F490" s="29"/>
      <c r="G490" s="29"/>
      <c r="H490" s="29"/>
      <c r="I490" s="29"/>
      <c r="J490" s="29"/>
      <c r="K490" s="36"/>
      <c r="L490" s="36"/>
      <c r="M490" s="36"/>
      <c r="N490" s="29"/>
      <c r="O490" s="29"/>
      <c r="P490" s="29"/>
    </row>
    <row r="491" spans="1:16" ht="11.25" hidden="1">
      <c r="A491" s="6" t="s">
        <v>23</v>
      </c>
      <c r="B491" s="9"/>
      <c r="C491" s="9"/>
      <c r="D491" s="36">
        <f>338500-288500</f>
        <v>50000</v>
      </c>
      <c r="E491" s="36"/>
      <c r="F491" s="36">
        <f>D491</f>
        <v>50000</v>
      </c>
      <c r="G491" s="29">
        <v>382200</v>
      </c>
      <c r="H491" s="29"/>
      <c r="I491" s="29"/>
      <c r="J491" s="29">
        <f>G491</f>
        <v>382200</v>
      </c>
      <c r="K491" s="36"/>
      <c r="L491" s="36"/>
      <c r="M491" s="36"/>
      <c r="N491" s="29">
        <v>427300</v>
      </c>
      <c r="O491" s="29"/>
      <c r="P491" s="29">
        <f>N491</f>
        <v>427300</v>
      </c>
    </row>
    <row r="492" spans="1:16" ht="11.25" hidden="1">
      <c r="A492" s="3" t="s">
        <v>3</v>
      </c>
      <c r="B492" s="9"/>
      <c r="C492" s="9"/>
      <c r="D492" s="36"/>
      <c r="E492" s="36"/>
      <c r="F492" s="36"/>
      <c r="G492" s="29"/>
      <c r="H492" s="29"/>
      <c r="I492" s="29"/>
      <c r="J492" s="29"/>
      <c r="K492" s="36"/>
      <c r="L492" s="36"/>
      <c r="M492" s="36"/>
      <c r="N492" s="29"/>
      <c r="O492" s="29"/>
      <c r="P492" s="29"/>
    </row>
    <row r="493" spans="1:16" ht="11.25" hidden="1">
      <c r="A493" s="6" t="s">
        <v>171</v>
      </c>
      <c r="B493" s="9"/>
      <c r="C493" s="9"/>
      <c r="D493" s="36">
        <v>200</v>
      </c>
      <c r="E493" s="36"/>
      <c r="F493" s="36">
        <f>D493</f>
        <v>200</v>
      </c>
      <c r="G493" s="37">
        <f>G491/G495</f>
        <v>529.1430153675758</v>
      </c>
      <c r="H493" s="29"/>
      <c r="I493" s="29"/>
      <c r="J493" s="37">
        <f>G493</f>
        <v>529.1430153675758</v>
      </c>
      <c r="K493" s="36"/>
      <c r="L493" s="36"/>
      <c r="M493" s="36"/>
      <c r="N493" s="37">
        <f>N491/N495</f>
        <v>558.1243469174503</v>
      </c>
      <c r="O493" s="37"/>
      <c r="P493" s="37">
        <f>N493</f>
        <v>558.1243469174503</v>
      </c>
    </row>
    <row r="494" spans="1:16" ht="11.25" hidden="1">
      <c r="A494" s="3" t="s">
        <v>5</v>
      </c>
      <c r="B494" s="9"/>
      <c r="C494" s="9"/>
      <c r="D494" s="36"/>
      <c r="E494" s="36"/>
      <c r="F494" s="36"/>
      <c r="G494" s="29"/>
      <c r="H494" s="29"/>
      <c r="I494" s="29"/>
      <c r="J494" s="29"/>
      <c r="K494" s="36"/>
      <c r="L494" s="36"/>
      <c r="M494" s="36"/>
      <c r="N494" s="29"/>
      <c r="O494" s="29"/>
      <c r="P494" s="29"/>
    </row>
    <row r="495" spans="1:16" ht="11.25" hidden="1">
      <c r="A495" s="6" t="s">
        <v>153</v>
      </c>
      <c r="B495" s="9"/>
      <c r="C495" s="9"/>
      <c r="D495" s="36">
        <f>D491/D493</f>
        <v>250</v>
      </c>
      <c r="E495" s="36"/>
      <c r="F495" s="36">
        <f>D495</f>
        <v>250</v>
      </c>
      <c r="G495" s="29">
        <v>722.3</v>
      </c>
      <c r="H495" s="29"/>
      <c r="I495" s="29"/>
      <c r="J495" s="29">
        <f>G495</f>
        <v>722.3</v>
      </c>
      <c r="K495" s="36"/>
      <c r="L495" s="36"/>
      <c r="M495" s="36"/>
      <c r="N495" s="29">
        <v>765.6</v>
      </c>
      <c r="O495" s="29"/>
      <c r="P495" s="29">
        <f>N495</f>
        <v>765.6</v>
      </c>
    </row>
    <row r="496" spans="1:131" s="33" customFormat="1" ht="33.75" hidden="1">
      <c r="A496" s="254" t="s">
        <v>459</v>
      </c>
      <c r="B496" s="10"/>
      <c r="C496" s="10"/>
      <c r="D496" s="8">
        <v>4000</v>
      </c>
      <c r="E496" s="8"/>
      <c r="F496" s="8">
        <f>D496</f>
        <v>4000</v>
      </c>
      <c r="G496" s="8">
        <v>4000</v>
      </c>
      <c r="H496" s="8"/>
      <c r="I496" s="8"/>
      <c r="J496" s="8">
        <f>G496</f>
        <v>4000</v>
      </c>
      <c r="K496" s="209"/>
      <c r="L496" s="209"/>
      <c r="M496" s="209"/>
      <c r="N496" s="8">
        <v>4000</v>
      </c>
      <c r="O496" s="8"/>
      <c r="P496" s="8">
        <f>N496</f>
        <v>4000</v>
      </c>
      <c r="Q496" s="210"/>
      <c r="R496" s="210"/>
      <c r="S496" s="210"/>
      <c r="T496" s="210"/>
      <c r="U496" s="210"/>
      <c r="V496" s="210"/>
      <c r="W496" s="210"/>
      <c r="X496" s="210"/>
      <c r="Y496" s="210"/>
      <c r="Z496" s="210"/>
      <c r="AA496" s="210"/>
      <c r="AB496" s="210"/>
      <c r="AC496" s="210"/>
      <c r="AD496" s="210"/>
      <c r="AE496" s="210"/>
      <c r="AF496" s="210"/>
      <c r="AG496" s="210"/>
      <c r="AH496" s="210"/>
      <c r="AI496" s="210"/>
      <c r="AJ496" s="210"/>
      <c r="AK496" s="210"/>
      <c r="AL496" s="210"/>
      <c r="AM496" s="210"/>
      <c r="AN496" s="210"/>
      <c r="AO496" s="210"/>
      <c r="AP496" s="210"/>
      <c r="AQ496" s="210"/>
      <c r="AR496" s="210"/>
      <c r="AS496" s="210"/>
      <c r="AT496" s="210"/>
      <c r="AU496" s="210"/>
      <c r="AV496" s="210"/>
      <c r="AW496" s="210"/>
      <c r="AX496" s="210"/>
      <c r="AY496" s="210"/>
      <c r="AZ496" s="210"/>
      <c r="BA496" s="210"/>
      <c r="BB496" s="210"/>
      <c r="BC496" s="210"/>
      <c r="BD496" s="210"/>
      <c r="BE496" s="210"/>
      <c r="BF496" s="210"/>
      <c r="BG496" s="210"/>
      <c r="BH496" s="210"/>
      <c r="BI496" s="210"/>
      <c r="BJ496" s="210"/>
      <c r="BK496" s="210"/>
      <c r="BL496" s="210"/>
      <c r="BM496" s="210"/>
      <c r="BN496" s="210"/>
      <c r="BO496" s="210"/>
      <c r="BP496" s="210"/>
      <c r="BQ496" s="210"/>
      <c r="BR496" s="210"/>
      <c r="BS496" s="210"/>
      <c r="BT496" s="210"/>
      <c r="BU496" s="210"/>
      <c r="BV496" s="210"/>
      <c r="BW496" s="210"/>
      <c r="BX496" s="210"/>
      <c r="BY496" s="210"/>
      <c r="BZ496" s="210"/>
      <c r="CA496" s="210"/>
      <c r="CB496" s="210"/>
      <c r="CC496" s="210"/>
      <c r="CD496" s="210"/>
      <c r="CE496" s="210"/>
      <c r="CF496" s="210"/>
      <c r="CG496" s="210"/>
      <c r="CH496" s="210"/>
      <c r="CI496" s="210"/>
      <c r="CJ496" s="210"/>
      <c r="CK496" s="210"/>
      <c r="CL496" s="210"/>
      <c r="CM496" s="210"/>
      <c r="CN496" s="210"/>
      <c r="CO496" s="210"/>
      <c r="CP496" s="210"/>
      <c r="CQ496" s="210"/>
      <c r="CR496" s="210"/>
      <c r="CS496" s="210"/>
      <c r="CT496" s="210"/>
      <c r="CU496" s="210"/>
      <c r="CV496" s="210"/>
      <c r="CW496" s="210"/>
      <c r="CX496" s="210"/>
      <c r="CY496" s="210"/>
      <c r="CZ496" s="210"/>
      <c r="DA496" s="210"/>
      <c r="DB496" s="210"/>
      <c r="DC496" s="210"/>
      <c r="DD496" s="210"/>
      <c r="DE496" s="210"/>
      <c r="DF496" s="210"/>
      <c r="DG496" s="210"/>
      <c r="DH496" s="210"/>
      <c r="DI496" s="210"/>
      <c r="DJ496" s="210"/>
      <c r="DK496" s="210"/>
      <c r="DL496" s="210"/>
      <c r="DM496" s="210"/>
      <c r="DN496" s="210"/>
      <c r="DO496" s="210"/>
      <c r="DP496" s="210"/>
      <c r="DQ496" s="210"/>
      <c r="DR496" s="210"/>
      <c r="DS496" s="210"/>
      <c r="DT496" s="210"/>
      <c r="DU496" s="210"/>
      <c r="DV496" s="210"/>
      <c r="DW496" s="210"/>
      <c r="DX496" s="210"/>
      <c r="DY496" s="210"/>
      <c r="DZ496" s="210"/>
      <c r="EA496" s="210"/>
    </row>
    <row r="497" spans="1:131" s="169" customFormat="1" ht="11.25" hidden="1">
      <c r="A497" s="165" t="s">
        <v>2</v>
      </c>
      <c r="B497" s="166"/>
      <c r="C497" s="166"/>
      <c r="D497" s="82"/>
      <c r="E497" s="82"/>
      <c r="F497" s="82"/>
      <c r="G497" s="82"/>
      <c r="H497" s="82"/>
      <c r="I497" s="82"/>
      <c r="J497" s="82"/>
      <c r="K497" s="167"/>
      <c r="L497" s="167"/>
      <c r="M497" s="167"/>
      <c r="N497" s="82"/>
      <c r="O497" s="82"/>
      <c r="P497" s="82"/>
      <c r="Q497" s="168"/>
      <c r="R497" s="168"/>
      <c r="S497" s="168"/>
      <c r="T497" s="168"/>
      <c r="U497" s="168"/>
      <c r="V497" s="168"/>
      <c r="W497" s="168"/>
      <c r="X497" s="168"/>
      <c r="Y497" s="168"/>
      <c r="Z497" s="168"/>
      <c r="AA497" s="168"/>
      <c r="AB497" s="168"/>
      <c r="AC497" s="168"/>
      <c r="AD497" s="168"/>
      <c r="AE497" s="168"/>
      <c r="AF497" s="168"/>
      <c r="AG497" s="168"/>
      <c r="AH497" s="168"/>
      <c r="AI497" s="168"/>
      <c r="AJ497" s="168"/>
      <c r="AK497" s="168"/>
      <c r="AL497" s="168"/>
      <c r="AM497" s="168"/>
      <c r="AN497" s="168"/>
      <c r="AO497" s="168"/>
      <c r="AP497" s="168"/>
      <c r="AQ497" s="168"/>
      <c r="AR497" s="168"/>
      <c r="AS497" s="168"/>
      <c r="AT497" s="168"/>
      <c r="AU497" s="168"/>
      <c r="AV497" s="168"/>
      <c r="AW497" s="168"/>
      <c r="AX497" s="168"/>
      <c r="AY497" s="168"/>
      <c r="AZ497" s="168"/>
      <c r="BA497" s="168"/>
      <c r="BB497" s="168"/>
      <c r="BC497" s="168"/>
      <c r="BD497" s="168"/>
      <c r="BE497" s="168"/>
      <c r="BF497" s="168"/>
      <c r="BG497" s="168"/>
      <c r="BH497" s="168"/>
      <c r="BI497" s="168"/>
      <c r="BJ497" s="168"/>
      <c r="BK497" s="168"/>
      <c r="BL497" s="168"/>
      <c r="BM497" s="168"/>
      <c r="BN497" s="168"/>
      <c r="BO497" s="168"/>
      <c r="BP497" s="168"/>
      <c r="BQ497" s="168"/>
      <c r="BR497" s="168"/>
      <c r="BS497" s="168"/>
      <c r="BT497" s="168"/>
      <c r="BU497" s="168"/>
      <c r="BV497" s="168"/>
      <c r="BW497" s="168"/>
      <c r="BX497" s="168"/>
      <c r="BY497" s="168"/>
      <c r="BZ497" s="168"/>
      <c r="CA497" s="168"/>
      <c r="CB497" s="168"/>
      <c r="CC497" s="168"/>
      <c r="CD497" s="168"/>
      <c r="CE497" s="168"/>
      <c r="CF497" s="168"/>
      <c r="CG497" s="168"/>
      <c r="CH497" s="168"/>
      <c r="CI497" s="168"/>
      <c r="CJ497" s="168"/>
      <c r="CK497" s="168"/>
      <c r="CL497" s="168"/>
      <c r="CM497" s="168"/>
      <c r="CN497" s="168"/>
      <c r="CO497" s="168"/>
      <c r="CP497" s="168"/>
      <c r="CQ497" s="168"/>
      <c r="CR497" s="168"/>
      <c r="CS497" s="168"/>
      <c r="CT497" s="168"/>
      <c r="CU497" s="168"/>
      <c r="CV497" s="168"/>
      <c r="CW497" s="168"/>
      <c r="CX497" s="168"/>
      <c r="CY497" s="168"/>
      <c r="CZ497" s="168"/>
      <c r="DA497" s="168"/>
      <c r="DB497" s="168"/>
      <c r="DC497" s="168"/>
      <c r="DD497" s="168"/>
      <c r="DE497" s="168"/>
      <c r="DF497" s="168"/>
      <c r="DG497" s="168"/>
      <c r="DH497" s="168"/>
      <c r="DI497" s="168"/>
      <c r="DJ497" s="168"/>
      <c r="DK497" s="168"/>
      <c r="DL497" s="168"/>
      <c r="DM497" s="168"/>
      <c r="DN497" s="168"/>
      <c r="DO497" s="168"/>
      <c r="DP497" s="168"/>
      <c r="DQ497" s="168"/>
      <c r="DR497" s="168"/>
      <c r="DS497" s="168"/>
      <c r="DT497" s="168"/>
      <c r="DU497" s="168"/>
      <c r="DV497" s="168"/>
      <c r="DW497" s="168"/>
      <c r="DX497" s="168"/>
      <c r="DY497" s="168"/>
      <c r="DZ497" s="168"/>
      <c r="EA497" s="168"/>
    </row>
    <row r="498" spans="1:131" s="169" customFormat="1" ht="11.25" hidden="1">
      <c r="A498" s="72" t="s">
        <v>23</v>
      </c>
      <c r="B498" s="166"/>
      <c r="C498" s="166"/>
      <c r="D498" s="163">
        <f>D496</f>
        <v>4000</v>
      </c>
      <c r="E498" s="163"/>
      <c r="F498" s="163">
        <f>D498</f>
        <v>4000</v>
      </c>
      <c r="G498" s="163">
        <f>G496</f>
        <v>4000</v>
      </c>
      <c r="H498" s="163"/>
      <c r="I498" s="163"/>
      <c r="J498" s="163">
        <f>G498</f>
        <v>4000</v>
      </c>
      <c r="K498" s="163"/>
      <c r="L498" s="163"/>
      <c r="M498" s="163"/>
      <c r="N498" s="163">
        <f>N496</f>
        <v>4000</v>
      </c>
      <c r="O498" s="163"/>
      <c r="P498" s="163">
        <f>P496</f>
        <v>4000</v>
      </c>
      <c r="Q498" s="168"/>
      <c r="R498" s="168"/>
      <c r="S498" s="168"/>
      <c r="T498" s="168"/>
      <c r="U498" s="168"/>
      <c r="V498" s="168"/>
      <c r="W498" s="168"/>
      <c r="X498" s="168"/>
      <c r="Y498" s="168"/>
      <c r="Z498" s="168"/>
      <c r="AA498" s="168"/>
      <c r="AB498" s="168"/>
      <c r="AC498" s="168"/>
      <c r="AD498" s="168"/>
      <c r="AE498" s="168"/>
      <c r="AF498" s="168"/>
      <c r="AG498" s="168"/>
      <c r="AH498" s="168"/>
      <c r="AI498" s="168"/>
      <c r="AJ498" s="168"/>
      <c r="AK498" s="168"/>
      <c r="AL498" s="168"/>
      <c r="AM498" s="168"/>
      <c r="AN498" s="168"/>
      <c r="AO498" s="168"/>
      <c r="AP498" s="168"/>
      <c r="AQ498" s="168"/>
      <c r="AR498" s="168"/>
      <c r="AS498" s="168"/>
      <c r="AT498" s="168"/>
      <c r="AU498" s="168"/>
      <c r="AV498" s="168"/>
      <c r="AW498" s="168"/>
      <c r="AX498" s="168"/>
      <c r="AY498" s="168"/>
      <c r="AZ498" s="168"/>
      <c r="BA498" s="168"/>
      <c r="BB498" s="168"/>
      <c r="BC498" s="168"/>
      <c r="BD498" s="168"/>
      <c r="BE498" s="168"/>
      <c r="BF498" s="168"/>
      <c r="BG498" s="168"/>
      <c r="BH498" s="168"/>
      <c r="BI498" s="168"/>
      <c r="BJ498" s="168"/>
      <c r="BK498" s="168"/>
      <c r="BL498" s="168"/>
      <c r="BM498" s="168"/>
      <c r="BN498" s="168"/>
      <c r="BO498" s="168"/>
      <c r="BP498" s="168"/>
      <c r="BQ498" s="168"/>
      <c r="BR498" s="168"/>
      <c r="BS498" s="168"/>
      <c r="BT498" s="168"/>
      <c r="BU498" s="168"/>
      <c r="BV498" s="168"/>
      <c r="BW498" s="168"/>
      <c r="BX498" s="168"/>
      <c r="BY498" s="168"/>
      <c r="BZ498" s="168"/>
      <c r="CA498" s="168"/>
      <c r="CB498" s="168"/>
      <c r="CC498" s="168"/>
      <c r="CD498" s="168"/>
      <c r="CE498" s="168"/>
      <c r="CF498" s="168"/>
      <c r="CG498" s="168"/>
      <c r="CH498" s="168"/>
      <c r="CI498" s="168"/>
      <c r="CJ498" s="168"/>
      <c r="CK498" s="168"/>
      <c r="CL498" s="168"/>
      <c r="CM498" s="168"/>
      <c r="CN498" s="168"/>
      <c r="CO498" s="168"/>
      <c r="CP498" s="168"/>
      <c r="CQ498" s="168"/>
      <c r="CR498" s="168"/>
      <c r="CS498" s="168"/>
      <c r="CT498" s="168"/>
      <c r="CU498" s="168"/>
      <c r="CV498" s="168"/>
      <c r="CW498" s="168"/>
      <c r="CX498" s="168"/>
      <c r="CY498" s="168"/>
      <c r="CZ498" s="168"/>
      <c r="DA498" s="168"/>
      <c r="DB498" s="168"/>
      <c r="DC498" s="168"/>
      <c r="DD498" s="168"/>
      <c r="DE498" s="168"/>
      <c r="DF498" s="168"/>
      <c r="DG498" s="168"/>
      <c r="DH498" s="168"/>
      <c r="DI498" s="168"/>
      <c r="DJ498" s="168"/>
      <c r="DK498" s="168"/>
      <c r="DL498" s="168"/>
      <c r="DM498" s="168"/>
      <c r="DN498" s="168"/>
      <c r="DO498" s="168"/>
      <c r="DP498" s="168"/>
      <c r="DQ498" s="168"/>
      <c r="DR498" s="168"/>
      <c r="DS498" s="168"/>
      <c r="DT498" s="168"/>
      <c r="DU498" s="168"/>
      <c r="DV498" s="168"/>
      <c r="DW498" s="168"/>
      <c r="DX498" s="168"/>
      <c r="DY498" s="168"/>
      <c r="DZ498" s="168"/>
      <c r="EA498" s="168"/>
    </row>
    <row r="499" spans="1:16" ht="11.25" hidden="1">
      <c r="A499" s="3" t="s">
        <v>3</v>
      </c>
      <c r="B499" s="9"/>
      <c r="C499" s="9"/>
      <c r="D499" s="29"/>
      <c r="E499" s="29"/>
      <c r="F499" s="29"/>
      <c r="G499" s="29"/>
      <c r="H499" s="29"/>
      <c r="I499" s="29"/>
      <c r="J499" s="29"/>
      <c r="K499" s="36"/>
      <c r="L499" s="36"/>
      <c r="M499" s="36"/>
      <c r="N499" s="29"/>
      <c r="O499" s="29"/>
      <c r="P499" s="29"/>
    </row>
    <row r="500" spans="1:16" ht="33.75" hidden="1">
      <c r="A500" s="255" t="s">
        <v>547</v>
      </c>
      <c r="B500" s="9"/>
      <c r="C500" s="9"/>
      <c r="D500" s="29">
        <v>12</v>
      </c>
      <c r="E500" s="29"/>
      <c r="F500" s="29">
        <f>D500</f>
        <v>12</v>
      </c>
      <c r="G500" s="29">
        <v>12</v>
      </c>
      <c r="H500" s="29"/>
      <c r="I500" s="29"/>
      <c r="J500" s="29">
        <f>G500</f>
        <v>12</v>
      </c>
      <c r="K500" s="36"/>
      <c r="L500" s="36"/>
      <c r="M500" s="36"/>
      <c r="N500" s="29">
        <v>12</v>
      </c>
      <c r="O500" s="29"/>
      <c r="P500" s="29">
        <f>N500</f>
        <v>12</v>
      </c>
    </row>
    <row r="501" spans="1:16" ht="11.25" hidden="1">
      <c r="A501" s="10" t="s">
        <v>226</v>
      </c>
      <c r="B501" s="9"/>
      <c r="C501" s="9"/>
      <c r="D501" s="29"/>
      <c r="E501" s="29"/>
      <c r="F501" s="29"/>
      <c r="G501" s="29"/>
      <c r="H501" s="29"/>
      <c r="I501" s="29"/>
      <c r="J501" s="29"/>
      <c r="K501" s="36"/>
      <c r="L501" s="36"/>
      <c r="M501" s="36"/>
      <c r="N501" s="29"/>
      <c r="O501" s="29"/>
      <c r="P501" s="29"/>
    </row>
    <row r="502" spans="1:16" ht="22.5" hidden="1">
      <c r="A502" s="256" t="s">
        <v>227</v>
      </c>
      <c r="B502" s="9"/>
      <c r="C502" s="9"/>
      <c r="D502" s="29">
        <f>D496/D500</f>
        <v>333.3333333333333</v>
      </c>
      <c r="E502" s="29"/>
      <c r="F502" s="29">
        <f>D502</f>
        <v>333.3333333333333</v>
      </c>
      <c r="G502" s="29">
        <f>G496/G500</f>
        <v>333.3333333333333</v>
      </c>
      <c r="H502" s="29"/>
      <c r="I502" s="29"/>
      <c r="J502" s="29">
        <f>G502</f>
        <v>333.3333333333333</v>
      </c>
      <c r="K502" s="36"/>
      <c r="L502" s="36"/>
      <c r="M502" s="36"/>
      <c r="N502" s="29">
        <f>N496/N500</f>
        <v>333.3333333333333</v>
      </c>
      <c r="O502" s="29"/>
      <c r="P502" s="29">
        <f>N502</f>
        <v>333.3333333333333</v>
      </c>
    </row>
    <row r="503" spans="1:16" ht="34.5" customHeight="1" hidden="1">
      <c r="A503" s="7" t="s">
        <v>460</v>
      </c>
      <c r="B503" s="9"/>
      <c r="C503" s="9"/>
      <c r="D503" s="8">
        <v>96000</v>
      </c>
      <c r="E503" s="8"/>
      <c r="F503" s="8">
        <f>D503</f>
        <v>96000</v>
      </c>
      <c r="G503" s="8">
        <v>101728</v>
      </c>
      <c r="H503" s="8"/>
      <c r="I503" s="8"/>
      <c r="J503" s="8">
        <f>G503</f>
        <v>101728</v>
      </c>
      <c r="K503" s="36"/>
      <c r="L503" s="36"/>
      <c r="M503" s="36"/>
      <c r="N503" s="29"/>
      <c r="O503" s="29"/>
      <c r="P503" s="29"/>
    </row>
    <row r="504" spans="1:131" s="76" customFormat="1" ht="11.25" hidden="1">
      <c r="A504" s="3" t="s">
        <v>2</v>
      </c>
      <c r="B504" s="162"/>
      <c r="C504" s="162"/>
      <c r="D504" s="82"/>
      <c r="E504" s="82"/>
      <c r="F504" s="82"/>
      <c r="G504" s="82"/>
      <c r="H504" s="82"/>
      <c r="I504" s="82"/>
      <c r="J504" s="82"/>
      <c r="K504" s="163"/>
      <c r="L504" s="163"/>
      <c r="M504" s="163"/>
      <c r="N504" s="164"/>
      <c r="O504" s="164"/>
      <c r="P504" s="164"/>
      <c r="Q504" s="75"/>
      <c r="R504" s="75"/>
      <c r="S504" s="75"/>
      <c r="T504" s="75"/>
      <c r="U504" s="75"/>
      <c r="V504" s="75"/>
      <c r="W504" s="75"/>
      <c r="X504" s="75"/>
      <c r="Y504" s="75"/>
      <c r="Z504" s="75"/>
      <c r="AA504" s="75"/>
      <c r="AB504" s="75"/>
      <c r="AC504" s="75"/>
      <c r="AD504" s="75"/>
      <c r="AE504" s="75"/>
      <c r="AF504" s="75"/>
      <c r="AG504" s="75"/>
      <c r="AH504" s="75"/>
      <c r="AI504" s="75"/>
      <c r="AJ504" s="75"/>
      <c r="AK504" s="75"/>
      <c r="AL504" s="75"/>
      <c r="AM504" s="75"/>
      <c r="AN504" s="75"/>
      <c r="AO504" s="75"/>
      <c r="AP504" s="75"/>
      <c r="AQ504" s="75"/>
      <c r="AR504" s="75"/>
      <c r="AS504" s="75"/>
      <c r="AT504" s="75"/>
      <c r="AU504" s="75"/>
      <c r="AV504" s="75"/>
      <c r="AW504" s="75"/>
      <c r="AX504" s="75"/>
      <c r="AY504" s="75"/>
      <c r="AZ504" s="75"/>
      <c r="BA504" s="75"/>
      <c r="BB504" s="75"/>
      <c r="BC504" s="75"/>
      <c r="BD504" s="75"/>
      <c r="BE504" s="75"/>
      <c r="BF504" s="75"/>
      <c r="BG504" s="75"/>
      <c r="BH504" s="75"/>
      <c r="BI504" s="75"/>
      <c r="BJ504" s="75"/>
      <c r="BK504" s="75"/>
      <c r="BL504" s="75"/>
      <c r="BM504" s="75"/>
      <c r="BN504" s="75"/>
      <c r="BO504" s="75"/>
      <c r="BP504" s="75"/>
      <c r="BQ504" s="75"/>
      <c r="BR504" s="75"/>
      <c r="BS504" s="75"/>
      <c r="BT504" s="75"/>
      <c r="BU504" s="75"/>
      <c r="BV504" s="75"/>
      <c r="BW504" s="75"/>
      <c r="BX504" s="75"/>
      <c r="BY504" s="75"/>
      <c r="BZ504" s="75"/>
      <c r="CA504" s="75"/>
      <c r="CB504" s="75"/>
      <c r="CC504" s="75"/>
      <c r="CD504" s="75"/>
      <c r="CE504" s="75"/>
      <c r="CF504" s="75"/>
      <c r="CG504" s="75"/>
      <c r="CH504" s="75"/>
      <c r="CI504" s="75"/>
      <c r="CJ504" s="75"/>
      <c r="CK504" s="75"/>
      <c r="CL504" s="75"/>
      <c r="CM504" s="75"/>
      <c r="CN504" s="75"/>
      <c r="CO504" s="75"/>
      <c r="CP504" s="75"/>
      <c r="CQ504" s="75"/>
      <c r="CR504" s="75"/>
      <c r="CS504" s="75"/>
      <c r="CT504" s="75"/>
      <c r="CU504" s="75"/>
      <c r="CV504" s="75"/>
      <c r="CW504" s="75"/>
      <c r="CX504" s="75"/>
      <c r="CY504" s="75"/>
      <c r="CZ504" s="75"/>
      <c r="DA504" s="75"/>
      <c r="DB504" s="75"/>
      <c r="DC504" s="75"/>
      <c r="DD504" s="75"/>
      <c r="DE504" s="75"/>
      <c r="DF504" s="75"/>
      <c r="DG504" s="75"/>
      <c r="DH504" s="75"/>
      <c r="DI504" s="75"/>
      <c r="DJ504" s="75"/>
      <c r="DK504" s="75"/>
      <c r="DL504" s="75"/>
      <c r="DM504" s="75"/>
      <c r="DN504" s="75"/>
      <c r="DO504" s="75"/>
      <c r="DP504" s="75"/>
      <c r="DQ504" s="75"/>
      <c r="DR504" s="75"/>
      <c r="DS504" s="75"/>
      <c r="DT504" s="75"/>
      <c r="DU504" s="75"/>
      <c r="DV504" s="75"/>
      <c r="DW504" s="75"/>
      <c r="DX504" s="75"/>
      <c r="DY504" s="75"/>
      <c r="DZ504" s="75"/>
      <c r="EA504" s="75"/>
    </row>
    <row r="505" spans="1:131" s="76" customFormat="1" ht="11.25" hidden="1">
      <c r="A505" s="6" t="s">
        <v>23</v>
      </c>
      <c r="B505" s="162"/>
      <c r="C505" s="162"/>
      <c r="D505" s="163">
        <f>D503</f>
        <v>96000</v>
      </c>
      <c r="E505" s="163"/>
      <c r="F505" s="163">
        <f>D505</f>
        <v>96000</v>
      </c>
      <c r="G505" s="163">
        <f>G503</f>
        <v>101728</v>
      </c>
      <c r="H505" s="163"/>
      <c r="I505" s="163"/>
      <c r="J505" s="163">
        <f>G505</f>
        <v>101728</v>
      </c>
      <c r="K505" s="163"/>
      <c r="L505" s="163"/>
      <c r="M505" s="163"/>
      <c r="N505" s="164"/>
      <c r="O505" s="164"/>
      <c r="P505" s="164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  <c r="AB505" s="75"/>
      <c r="AC505" s="75"/>
      <c r="AD505" s="75"/>
      <c r="AE505" s="75"/>
      <c r="AF505" s="75"/>
      <c r="AG505" s="75"/>
      <c r="AH505" s="75"/>
      <c r="AI505" s="75"/>
      <c r="AJ505" s="75"/>
      <c r="AK505" s="75"/>
      <c r="AL505" s="75"/>
      <c r="AM505" s="75"/>
      <c r="AN505" s="75"/>
      <c r="AO505" s="75"/>
      <c r="AP505" s="75"/>
      <c r="AQ505" s="75"/>
      <c r="AR505" s="75"/>
      <c r="AS505" s="75"/>
      <c r="AT505" s="75"/>
      <c r="AU505" s="75"/>
      <c r="AV505" s="75"/>
      <c r="AW505" s="75"/>
      <c r="AX505" s="75"/>
      <c r="AY505" s="75"/>
      <c r="AZ505" s="75"/>
      <c r="BA505" s="75"/>
      <c r="BB505" s="75"/>
      <c r="BC505" s="75"/>
      <c r="BD505" s="75"/>
      <c r="BE505" s="75"/>
      <c r="BF505" s="75"/>
      <c r="BG505" s="75"/>
      <c r="BH505" s="75"/>
      <c r="BI505" s="75"/>
      <c r="BJ505" s="75"/>
      <c r="BK505" s="75"/>
      <c r="BL505" s="75"/>
      <c r="BM505" s="75"/>
      <c r="BN505" s="75"/>
      <c r="BO505" s="75"/>
      <c r="BP505" s="75"/>
      <c r="BQ505" s="75"/>
      <c r="BR505" s="75"/>
      <c r="BS505" s="75"/>
      <c r="BT505" s="75"/>
      <c r="BU505" s="75"/>
      <c r="BV505" s="75"/>
      <c r="BW505" s="75"/>
      <c r="BX505" s="75"/>
      <c r="BY505" s="75"/>
      <c r="BZ505" s="75"/>
      <c r="CA505" s="75"/>
      <c r="CB505" s="75"/>
      <c r="CC505" s="75"/>
      <c r="CD505" s="75"/>
      <c r="CE505" s="75"/>
      <c r="CF505" s="75"/>
      <c r="CG505" s="75"/>
      <c r="CH505" s="75"/>
      <c r="CI505" s="75"/>
      <c r="CJ505" s="75"/>
      <c r="CK505" s="75"/>
      <c r="CL505" s="75"/>
      <c r="CM505" s="75"/>
      <c r="CN505" s="75"/>
      <c r="CO505" s="75"/>
      <c r="CP505" s="75"/>
      <c r="CQ505" s="75"/>
      <c r="CR505" s="75"/>
      <c r="CS505" s="75"/>
      <c r="CT505" s="75"/>
      <c r="CU505" s="75"/>
      <c r="CV505" s="75"/>
      <c r="CW505" s="75"/>
      <c r="CX505" s="75"/>
      <c r="CY505" s="75"/>
      <c r="CZ505" s="75"/>
      <c r="DA505" s="75"/>
      <c r="DB505" s="75"/>
      <c r="DC505" s="75"/>
      <c r="DD505" s="75"/>
      <c r="DE505" s="75"/>
      <c r="DF505" s="75"/>
      <c r="DG505" s="75"/>
      <c r="DH505" s="75"/>
      <c r="DI505" s="75"/>
      <c r="DJ505" s="75"/>
      <c r="DK505" s="75"/>
      <c r="DL505" s="75"/>
      <c r="DM505" s="75"/>
      <c r="DN505" s="75"/>
      <c r="DO505" s="75"/>
      <c r="DP505" s="75"/>
      <c r="DQ505" s="75"/>
      <c r="DR505" s="75"/>
      <c r="DS505" s="75"/>
      <c r="DT505" s="75"/>
      <c r="DU505" s="75"/>
      <c r="DV505" s="75"/>
      <c r="DW505" s="75"/>
      <c r="DX505" s="75"/>
      <c r="DY505" s="75"/>
      <c r="DZ505" s="75"/>
      <c r="EA505" s="75"/>
    </row>
    <row r="506" spans="1:16" ht="11.25" hidden="1">
      <c r="A506" s="3" t="s">
        <v>3</v>
      </c>
      <c r="B506" s="9"/>
      <c r="C506" s="9"/>
      <c r="D506" s="29"/>
      <c r="E506" s="29"/>
      <c r="F506" s="29"/>
      <c r="G506" s="29"/>
      <c r="H506" s="29"/>
      <c r="I506" s="29"/>
      <c r="J506" s="29"/>
      <c r="K506" s="36"/>
      <c r="L506" s="36"/>
      <c r="M506" s="36"/>
      <c r="N506" s="29"/>
      <c r="O506" s="29"/>
      <c r="P506" s="29"/>
    </row>
    <row r="507" spans="1:16" ht="22.5" hidden="1">
      <c r="A507" s="6" t="s">
        <v>168</v>
      </c>
      <c r="B507" s="9"/>
      <c r="C507" s="9"/>
      <c r="D507" s="29">
        <v>9</v>
      </c>
      <c r="E507" s="29"/>
      <c r="F507" s="29">
        <f>D507</f>
        <v>9</v>
      </c>
      <c r="G507" s="29">
        <v>9</v>
      </c>
      <c r="H507" s="29"/>
      <c r="I507" s="29"/>
      <c r="J507" s="29">
        <f>G507</f>
        <v>9</v>
      </c>
      <c r="K507" s="36"/>
      <c r="L507" s="36"/>
      <c r="M507" s="36"/>
      <c r="N507" s="29"/>
      <c r="O507" s="29"/>
      <c r="P507" s="29"/>
    </row>
    <row r="508" spans="1:16" ht="11.25" hidden="1">
      <c r="A508" s="10" t="s">
        <v>5</v>
      </c>
      <c r="B508" s="9"/>
      <c r="C508" s="9"/>
      <c r="D508" s="29"/>
      <c r="E508" s="29"/>
      <c r="F508" s="29"/>
      <c r="G508" s="29"/>
      <c r="H508" s="29"/>
      <c r="I508" s="29"/>
      <c r="J508" s="29"/>
      <c r="K508" s="36"/>
      <c r="L508" s="36"/>
      <c r="M508" s="36"/>
      <c r="N508" s="29"/>
      <c r="O508" s="29"/>
      <c r="P508" s="29"/>
    </row>
    <row r="509" spans="1:16" ht="15.75" customHeight="1" hidden="1">
      <c r="A509" s="9" t="s">
        <v>169</v>
      </c>
      <c r="B509" s="9"/>
      <c r="C509" s="9"/>
      <c r="D509" s="29">
        <f>D503/D507</f>
        <v>10666.666666666666</v>
      </c>
      <c r="E509" s="29"/>
      <c r="F509" s="29">
        <f>D509</f>
        <v>10666.666666666666</v>
      </c>
      <c r="G509" s="29">
        <f>G503/G507</f>
        <v>11303.111111111111</v>
      </c>
      <c r="H509" s="29"/>
      <c r="I509" s="29"/>
      <c r="J509" s="29">
        <f>G509</f>
        <v>11303.111111111111</v>
      </c>
      <c r="K509" s="36"/>
      <c r="L509" s="36"/>
      <c r="M509" s="36"/>
      <c r="N509" s="29"/>
      <c r="O509" s="29"/>
      <c r="P509" s="29"/>
    </row>
    <row r="510" spans="1:131" s="27" customFormat="1" ht="24.75" customHeight="1" hidden="1">
      <c r="A510" s="7" t="s">
        <v>461</v>
      </c>
      <c r="B510" s="7"/>
      <c r="C510" s="7"/>
      <c r="D510" s="82">
        <f>24500+25500</f>
        <v>50000</v>
      </c>
      <c r="E510" s="8"/>
      <c r="F510" s="8">
        <f>D510</f>
        <v>50000</v>
      </c>
      <c r="G510" s="8">
        <v>26144</v>
      </c>
      <c r="H510" s="8"/>
      <c r="I510" s="8"/>
      <c r="J510" s="8">
        <f>G510</f>
        <v>26144</v>
      </c>
      <c r="K510" s="8"/>
      <c r="L510" s="8"/>
      <c r="M510" s="8"/>
      <c r="N510" s="8">
        <v>27700</v>
      </c>
      <c r="O510" s="8"/>
      <c r="P510" s="8">
        <f>N510</f>
        <v>27700</v>
      </c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</row>
    <row r="511" spans="1:16" ht="12.75" customHeight="1" hidden="1">
      <c r="A511" s="10" t="s">
        <v>77</v>
      </c>
      <c r="B511" s="7"/>
      <c r="C511" s="7"/>
      <c r="D511" s="8"/>
      <c r="E511" s="8"/>
      <c r="F511" s="8"/>
      <c r="G511" s="8"/>
      <c r="H511" s="8"/>
      <c r="I511" s="8"/>
      <c r="J511" s="8"/>
      <c r="K511" s="36"/>
      <c r="L511" s="8"/>
      <c r="M511" s="8"/>
      <c r="N511" s="8"/>
      <c r="O511" s="8"/>
      <c r="P511" s="8"/>
    </row>
    <row r="512" spans="1:16" ht="24" customHeight="1" hidden="1">
      <c r="A512" s="6" t="s">
        <v>76</v>
      </c>
      <c r="B512" s="9"/>
      <c r="C512" s="9"/>
      <c r="D512" s="29">
        <v>3350</v>
      </c>
      <c r="E512" s="29"/>
      <c r="F512" s="29">
        <f>D512</f>
        <v>3350</v>
      </c>
      <c r="G512" s="29">
        <v>3350</v>
      </c>
      <c r="H512" s="29"/>
      <c r="I512" s="29"/>
      <c r="J512" s="29">
        <f>G512</f>
        <v>3350</v>
      </c>
      <c r="K512" s="36"/>
      <c r="L512" s="36"/>
      <c r="M512" s="36"/>
      <c r="N512" s="29">
        <v>3350</v>
      </c>
      <c r="O512" s="29"/>
      <c r="P512" s="29">
        <f>N512</f>
        <v>3350</v>
      </c>
    </row>
    <row r="513" spans="1:16" ht="11.25" hidden="1">
      <c r="A513" s="10" t="s">
        <v>285</v>
      </c>
      <c r="B513" s="9"/>
      <c r="C513" s="9"/>
      <c r="D513" s="29"/>
      <c r="E513" s="29"/>
      <c r="F513" s="29"/>
      <c r="G513" s="29"/>
      <c r="H513" s="29"/>
      <c r="I513" s="29"/>
      <c r="J513" s="29"/>
      <c r="K513" s="36"/>
      <c r="L513" s="36"/>
      <c r="M513" s="36"/>
      <c r="N513" s="29"/>
      <c r="O513" s="29"/>
      <c r="P513" s="29"/>
    </row>
    <row r="514" spans="1:131" s="76" customFormat="1" ht="26.25" customHeight="1" hidden="1">
      <c r="A514" s="177" t="s">
        <v>284</v>
      </c>
      <c r="B514" s="177"/>
      <c r="C514" s="177"/>
      <c r="D514" s="178">
        <f>D510/D512</f>
        <v>14.925373134328359</v>
      </c>
      <c r="E514" s="178"/>
      <c r="F514" s="178">
        <f>D514</f>
        <v>14.925373134328359</v>
      </c>
      <c r="G514" s="178">
        <f>G510/G512</f>
        <v>7.804179104477612</v>
      </c>
      <c r="H514" s="178"/>
      <c r="I514" s="178"/>
      <c r="J514" s="178">
        <f>G514</f>
        <v>7.804179104477612</v>
      </c>
      <c r="K514" s="179"/>
      <c r="L514" s="179"/>
      <c r="M514" s="179"/>
      <c r="N514" s="178">
        <f>N510/N512</f>
        <v>8.26865671641791</v>
      </c>
      <c r="O514" s="178"/>
      <c r="P514" s="178">
        <f>N514</f>
        <v>8.26865671641791</v>
      </c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  <c r="AB514" s="75"/>
      <c r="AC514" s="75"/>
      <c r="AD514" s="75"/>
      <c r="AE514" s="75"/>
      <c r="AF514" s="75"/>
      <c r="AG514" s="75"/>
      <c r="AH514" s="75"/>
      <c r="AI514" s="75"/>
      <c r="AJ514" s="75"/>
      <c r="AK514" s="75"/>
      <c r="AL514" s="75"/>
      <c r="AM514" s="75"/>
      <c r="AN514" s="75"/>
      <c r="AO514" s="75"/>
      <c r="AP514" s="75"/>
      <c r="AQ514" s="75"/>
      <c r="AR514" s="75"/>
      <c r="AS514" s="75"/>
      <c r="AT514" s="75"/>
      <c r="AU514" s="75"/>
      <c r="AV514" s="75"/>
      <c r="AW514" s="75"/>
      <c r="AX514" s="75"/>
      <c r="AY514" s="75"/>
      <c r="AZ514" s="75"/>
      <c r="BA514" s="75"/>
      <c r="BB514" s="75"/>
      <c r="BC514" s="75"/>
      <c r="BD514" s="75"/>
      <c r="BE514" s="75"/>
      <c r="BF514" s="75"/>
      <c r="BG514" s="75"/>
      <c r="BH514" s="75"/>
      <c r="BI514" s="75"/>
      <c r="BJ514" s="75"/>
      <c r="BK514" s="75"/>
      <c r="BL514" s="75"/>
      <c r="BM514" s="75"/>
      <c r="BN514" s="75"/>
      <c r="BO514" s="75"/>
      <c r="BP514" s="75"/>
      <c r="BQ514" s="75"/>
      <c r="BR514" s="75"/>
      <c r="BS514" s="75"/>
      <c r="BT514" s="75"/>
      <c r="BU514" s="75"/>
      <c r="BV514" s="75"/>
      <c r="BW514" s="75"/>
      <c r="BX514" s="75"/>
      <c r="BY514" s="75"/>
      <c r="BZ514" s="75"/>
      <c r="CA514" s="75"/>
      <c r="CB514" s="75"/>
      <c r="CC514" s="75"/>
      <c r="CD514" s="75"/>
      <c r="CE514" s="75"/>
      <c r="CF514" s="75"/>
      <c r="CG514" s="75"/>
      <c r="CH514" s="75"/>
      <c r="CI514" s="75"/>
      <c r="CJ514" s="75"/>
      <c r="CK514" s="75"/>
      <c r="CL514" s="75"/>
      <c r="CM514" s="75"/>
      <c r="CN514" s="75"/>
      <c r="CO514" s="75"/>
      <c r="CP514" s="75"/>
      <c r="CQ514" s="75"/>
      <c r="CR514" s="75"/>
      <c r="CS514" s="75"/>
      <c r="CT514" s="75"/>
      <c r="CU514" s="75"/>
      <c r="CV514" s="75"/>
      <c r="CW514" s="75"/>
      <c r="CX514" s="75"/>
      <c r="CY514" s="75"/>
      <c r="CZ514" s="75"/>
      <c r="DA514" s="75"/>
      <c r="DB514" s="75"/>
      <c r="DC514" s="75"/>
      <c r="DD514" s="75"/>
      <c r="DE514" s="75"/>
      <c r="DF514" s="75"/>
      <c r="DG514" s="75"/>
      <c r="DH514" s="75"/>
      <c r="DI514" s="75"/>
      <c r="DJ514" s="75"/>
      <c r="DK514" s="75"/>
      <c r="DL514" s="75"/>
      <c r="DM514" s="75"/>
      <c r="DN514" s="75"/>
      <c r="DO514" s="75"/>
      <c r="DP514" s="75"/>
      <c r="DQ514" s="75"/>
      <c r="DR514" s="75"/>
      <c r="DS514" s="75"/>
      <c r="DT514" s="75"/>
      <c r="DU514" s="75"/>
      <c r="DV514" s="75"/>
      <c r="DW514" s="75"/>
      <c r="DX514" s="75"/>
      <c r="DY514" s="75"/>
      <c r="DZ514" s="75"/>
      <c r="EA514" s="75"/>
    </row>
    <row r="515" spans="1:16" ht="21" customHeight="1" hidden="1">
      <c r="A515" s="22" t="s">
        <v>524</v>
      </c>
      <c r="B515" s="9"/>
      <c r="C515" s="9"/>
      <c r="D515" s="8">
        <f>D517</f>
        <v>460000</v>
      </c>
      <c r="E515" s="8"/>
      <c r="F515" s="8">
        <f>D515</f>
        <v>460000</v>
      </c>
      <c r="G515" s="8">
        <f>G517</f>
        <v>96000</v>
      </c>
      <c r="H515" s="8"/>
      <c r="I515" s="8"/>
      <c r="J515" s="8">
        <f>J517</f>
        <v>96000</v>
      </c>
      <c r="K515" s="209"/>
      <c r="L515" s="209"/>
      <c r="M515" s="209"/>
      <c r="N515" s="8">
        <f>N517</f>
        <v>101800</v>
      </c>
      <c r="O515" s="8"/>
      <c r="P515" s="8">
        <f>N515</f>
        <v>101800</v>
      </c>
    </row>
    <row r="516" spans="1:16" ht="11.25" hidden="1">
      <c r="A516" s="3" t="s">
        <v>2</v>
      </c>
      <c r="B516" s="9"/>
      <c r="C516" s="9"/>
      <c r="D516" s="29"/>
      <c r="E516" s="29"/>
      <c r="F516" s="29"/>
      <c r="G516" s="29"/>
      <c r="H516" s="29"/>
      <c r="I516" s="29"/>
      <c r="J516" s="29"/>
      <c r="K516" s="36"/>
      <c r="L516" s="36"/>
      <c r="M516" s="36"/>
      <c r="N516" s="29"/>
      <c r="O516" s="29"/>
      <c r="P516" s="29"/>
    </row>
    <row r="517" spans="1:16" ht="11.25" hidden="1">
      <c r="A517" s="6" t="s">
        <v>23</v>
      </c>
      <c r="B517" s="9"/>
      <c r="C517" s="9"/>
      <c r="D517" s="29">
        <f>250000+210000</f>
        <v>460000</v>
      </c>
      <c r="E517" s="29"/>
      <c r="F517" s="29">
        <f>D517</f>
        <v>460000</v>
      </c>
      <c r="G517" s="29">
        <v>96000</v>
      </c>
      <c r="H517" s="29"/>
      <c r="I517" s="29"/>
      <c r="J517" s="29">
        <f>G517</f>
        <v>96000</v>
      </c>
      <c r="K517" s="36"/>
      <c r="L517" s="36"/>
      <c r="M517" s="36"/>
      <c r="N517" s="29">
        <v>101800</v>
      </c>
      <c r="O517" s="29"/>
      <c r="P517" s="29">
        <f>N517</f>
        <v>101800</v>
      </c>
    </row>
    <row r="518" spans="1:16" ht="11.25" hidden="1">
      <c r="A518" s="3" t="s">
        <v>3</v>
      </c>
      <c r="B518" s="9"/>
      <c r="C518" s="9"/>
      <c r="D518" s="29"/>
      <c r="E518" s="29"/>
      <c r="F518" s="29"/>
      <c r="G518" s="29"/>
      <c r="H518" s="29"/>
      <c r="I518" s="29"/>
      <c r="J518" s="29"/>
      <c r="K518" s="36"/>
      <c r="L518" s="36"/>
      <c r="M518" s="36"/>
      <c r="N518" s="29"/>
      <c r="O518" s="29"/>
      <c r="P518" s="29"/>
    </row>
    <row r="519" spans="1:16" ht="22.5" hidden="1">
      <c r="A519" s="6" t="s">
        <v>283</v>
      </c>
      <c r="B519" s="9"/>
      <c r="C519" s="9"/>
      <c r="D519" s="37">
        <f>D517/D521</f>
        <v>131.42857142857142</v>
      </c>
      <c r="E519" s="29"/>
      <c r="F519" s="37">
        <f>D519</f>
        <v>131.42857142857142</v>
      </c>
      <c r="G519" s="37">
        <f>G517/G521</f>
        <v>24</v>
      </c>
      <c r="H519" s="37"/>
      <c r="I519" s="37"/>
      <c r="J519" s="37">
        <f>G519</f>
        <v>24</v>
      </c>
      <c r="K519" s="174"/>
      <c r="L519" s="174"/>
      <c r="M519" s="174"/>
      <c r="N519" s="37">
        <f>N517/N521</f>
        <v>22.622222222222224</v>
      </c>
      <c r="O519" s="37"/>
      <c r="P519" s="37">
        <f>N519</f>
        <v>22.622222222222224</v>
      </c>
    </row>
    <row r="520" spans="1:16" ht="11.25" hidden="1">
      <c r="A520" s="3" t="s">
        <v>5</v>
      </c>
      <c r="B520" s="9"/>
      <c r="C520" s="9"/>
      <c r="D520" s="29"/>
      <c r="E520" s="29"/>
      <c r="F520" s="29"/>
      <c r="G520" s="29"/>
      <c r="H520" s="29"/>
      <c r="I520" s="29"/>
      <c r="J520" s="29"/>
      <c r="K520" s="36"/>
      <c r="L520" s="36"/>
      <c r="M520" s="36"/>
      <c r="N520" s="29"/>
      <c r="O520" s="29"/>
      <c r="P520" s="29"/>
    </row>
    <row r="521" spans="1:16" ht="11.25" hidden="1">
      <c r="A521" s="6" t="s">
        <v>228</v>
      </c>
      <c r="B521" s="9"/>
      <c r="C521" s="9"/>
      <c r="D521" s="29">
        <v>3500</v>
      </c>
      <c r="E521" s="29"/>
      <c r="F521" s="29">
        <f>D521</f>
        <v>3500</v>
      </c>
      <c r="G521" s="29">
        <v>4000</v>
      </c>
      <c r="H521" s="29"/>
      <c r="I521" s="29"/>
      <c r="J521" s="29">
        <f>G521</f>
        <v>4000</v>
      </c>
      <c r="K521" s="36"/>
      <c r="L521" s="36"/>
      <c r="M521" s="36"/>
      <c r="N521" s="29">
        <v>4500</v>
      </c>
      <c r="O521" s="29"/>
      <c r="P521" s="29">
        <f>N521</f>
        <v>4500</v>
      </c>
    </row>
    <row r="522" spans="1:16" ht="33.75" hidden="1">
      <c r="A522" s="22" t="s">
        <v>525</v>
      </c>
      <c r="B522" s="9"/>
      <c r="C522" s="9"/>
      <c r="D522" s="8">
        <f>D524</f>
        <v>330000</v>
      </c>
      <c r="E522" s="8"/>
      <c r="F522" s="8">
        <f>D522</f>
        <v>330000</v>
      </c>
      <c r="G522" s="8">
        <f>G524</f>
        <v>213400</v>
      </c>
      <c r="H522" s="8"/>
      <c r="I522" s="8"/>
      <c r="J522" s="8">
        <f>G522</f>
        <v>213400</v>
      </c>
      <c r="K522" s="209"/>
      <c r="L522" s="209"/>
      <c r="M522" s="209"/>
      <c r="N522" s="8">
        <f>N524</f>
        <v>226200</v>
      </c>
      <c r="O522" s="8"/>
      <c r="P522" s="8">
        <f>N522</f>
        <v>226200</v>
      </c>
    </row>
    <row r="523" spans="1:16" ht="11.25" hidden="1">
      <c r="A523" s="3" t="s">
        <v>2</v>
      </c>
      <c r="B523" s="9"/>
      <c r="C523" s="9"/>
      <c r="D523" s="29"/>
      <c r="E523" s="29"/>
      <c r="F523" s="29"/>
      <c r="G523" s="29"/>
      <c r="H523" s="29"/>
      <c r="I523" s="29"/>
      <c r="J523" s="29"/>
      <c r="K523" s="36"/>
      <c r="L523" s="36"/>
      <c r="M523" s="36"/>
      <c r="N523" s="29"/>
      <c r="O523" s="29"/>
      <c r="P523" s="29"/>
    </row>
    <row r="524" spans="1:16" ht="11.25" hidden="1">
      <c r="A524" s="6" t="s">
        <v>23</v>
      </c>
      <c r="B524" s="9"/>
      <c r="C524" s="9"/>
      <c r="D524" s="29">
        <f>520000-190000</f>
        <v>330000</v>
      </c>
      <c r="E524" s="29"/>
      <c r="F524" s="29">
        <f>D524</f>
        <v>330000</v>
      </c>
      <c r="G524" s="29">
        <v>213400</v>
      </c>
      <c r="H524" s="29"/>
      <c r="I524" s="29"/>
      <c r="J524" s="29">
        <f>G524</f>
        <v>213400</v>
      </c>
      <c r="K524" s="36"/>
      <c r="L524" s="36"/>
      <c r="M524" s="36"/>
      <c r="N524" s="29">
        <v>226200</v>
      </c>
      <c r="O524" s="29"/>
      <c r="P524" s="29">
        <f>N524</f>
        <v>226200</v>
      </c>
    </row>
    <row r="525" spans="1:16" ht="11.25" hidden="1">
      <c r="A525" s="3" t="s">
        <v>3</v>
      </c>
      <c r="B525" s="9"/>
      <c r="C525" s="9"/>
      <c r="D525" s="29"/>
      <c r="E525" s="29"/>
      <c r="F525" s="29"/>
      <c r="G525" s="29"/>
      <c r="H525" s="29"/>
      <c r="I525" s="29"/>
      <c r="J525" s="29"/>
      <c r="K525" s="36"/>
      <c r="L525" s="36"/>
      <c r="M525" s="36"/>
      <c r="N525" s="29"/>
      <c r="O525" s="29"/>
      <c r="P525" s="29"/>
    </row>
    <row r="526" spans="1:16" ht="22.5" hidden="1">
      <c r="A526" s="6" t="s">
        <v>230</v>
      </c>
      <c r="B526" s="9"/>
      <c r="C526" s="9"/>
      <c r="D526" s="29">
        <f>D524/D528</f>
        <v>33</v>
      </c>
      <c r="E526" s="29"/>
      <c r="F526" s="29">
        <f>D526</f>
        <v>33</v>
      </c>
      <c r="G526" s="29">
        <f>G524/G528</f>
        <v>20</v>
      </c>
      <c r="H526" s="29"/>
      <c r="I526" s="29"/>
      <c r="J526" s="29">
        <f>G526</f>
        <v>20</v>
      </c>
      <c r="K526" s="36"/>
      <c r="L526" s="36"/>
      <c r="M526" s="36"/>
      <c r="N526" s="29">
        <v>20</v>
      </c>
      <c r="O526" s="29"/>
      <c r="P526" s="29">
        <f>N526</f>
        <v>20</v>
      </c>
    </row>
    <row r="527" spans="1:16" ht="11.25" hidden="1">
      <c r="A527" s="3" t="s">
        <v>5</v>
      </c>
      <c r="B527" s="9"/>
      <c r="C527" s="9"/>
      <c r="D527" s="29"/>
      <c r="E527" s="29"/>
      <c r="F527" s="29"/>
      <c r="G527" s="29"/>
      <c r="H527" s="29"/>
      <c r="I527" s="29"/>
      <c r="J527" s="29"/>
      <c r="K527" s="36"/>
      <c r="L527" s="36"/>
      <c r="M527" s="36"/>
      <c r="N527" s="29"/>
      <c r="O527" s="29"/>
      <c r="P527" s="29"/>
    </row>
    <row r="528" spans="1:16" ht="22.5" hidden="1">
      <c r="A528" s="6" t="s">
        <v>229</v>
      </c>
      <c r="B528" s="9"/>
      <c r="C528" s="9"/>
      <c r="D528" s="29">
        <v>10000</v>
      </c>
      <c r="E528" s="29"/>
      <c r="F528" s="29">
        <f>D528</f>
        <v>10000</v>
      </c>
      <c r="G528" s="29">
        <v>10670</v>
      </c>
      <c r="H528" s="29"/>
      <c r="I528" s="29"/>
      <c r="J528" s="29">
        <f>G528</f>
        <v>10670</v>
      </c>
      <c r="K528" s="36"/>
      <c r="L528" s="36"/>
      <c r="M528" s="36"/>
      <c r="N528" s="29">
        <f>N524/N526</f>
        <v>11310</v>
      </c>
      <c r="O528" s="29"/>
      <c r="P528" s="29">
        <f>N528</f>
        <v>11310</v>
      </c>
    </row>
    <row r="529" spans="1:16" ht="27.75" customHeight="1" hidden="1">
      <c r="A529" s="22" t="s">
        <v>462</v>
      </c>
      <c r="B529" s="9"/>
      <c r="C529" s="9"/>
      <c r="D529" s="8">
        <f>D531</f>
        <v>0</v>
      </c>
      <c r="E529" s="8"/>
      <c r="F529" s="8">
        <f>D529</f>
        <v>0</v>
      </c>
      <c r="G529" s="8"/>
      <c r="H529" s="8"/>
      <c r="I529" s="8"/>
      <c r="J529" s="8"/>
      <c r="K529" s="209"/>
      <c r="L529" s="209"/>
      <c r="M529" s="209"/>
      <c r="N529" s="8"/>
      <c r="O529" s="8"/>
      <c r="P529" s="8"/>
    </row>
    <row r="530" spans="1:16" ht="11.25" hidden="1">
      <c r="A530" s="3" t="s">
        <v>2</v>
      </c>
      <c r="B530" s="9"/>
      <c r="C530" s="9"/>
      <c r="D530" s="29"/>
      <c r="E530" s="29"/>
      <c r="F530" s="29"/>
      <c r="G530" s="29"/>
      <c r="H530" s="29"/>
      <c r="I530" s="29"/>
      <c r="J530" s="29"/>
      <c r="K530" s="36"/>
      <c r="L530" s="36"/>
      <c r="M530" s="36"/>
      <c r="N530" s="29"/>
      <c r="O530" s="29"/>
      <c r="P530" s="29"/>
    </row>
    <row r="531" spans="1:16" ht="11.25" hidden="1">
      <c r="A531" s="6" t="s">
        <v>23</v>
      </c>
      <c r="B531" s="9"/>
      <c r="C531" s="9"/>
      <c r="D531" s="29">
        <f>500000-500000</f>
        <v>0</v>
      </c>
      <c r="E531" s="29"/>
      <c r="F531" s="29">
        <f>D531</f>
        <v>0</v>
      </c>
      <c r="G531" s="29"/>
      <c r="H531" s="29"/>
      <c r="I531" s="29"/>
      <c r="J531" s="29"/>
      <c r="K531" s="36"/>
      <c r="L531" s="36"/>
      <c r="M531" s="36"/>
      <c r="N531" s="29"/>
      <c r="O531" s="29"/>
      <c r="P531" s="29"/>
    </row>
    <row r="532" spans="1:16" ht="11.25" hidden="1">
      <c r="A532" s="3" t="s">
        <v>3</v>
      </c>
      <c r="B532" s="9"/>
      <c r="C532" s="9"/>
      <c r="D532" s="29"/>
      <c r="E532" s="29"/>
      <c r="F532" s="29"/>
      <c r="G532" s="29"/>
      <c r="H532" s="29"/>
      <c r="I532" s="29"/>
      <c r="J532" s="29"/>
      <c r="K532" s="36"/>
      <c r="L532" s="36"/>
      <c r="M532" s="36"/>
      <c r="N532" s="29"/>
      <c r="O532" s="29"/>
      <c r="P532" s="29"/>
    </row>
    <row r="533" spans="1:16" ht="22.5" hidden="1">
      <c r="A533" s="50" t="s">
        <v>180</v>
      </c>
      <c r="B533" s="9"/>
      <c r="C533" s="9"/>
      <c r="D533" s="29" t="e">
        <f>D531/D535</f>
        <v>#DIV/0!</v>
      </c>
      <c r="E533" s="29"/>
      <c r="F533" s="29" t="e">
        <f>D533</f>
        <v>#DIV/0!</v>
      </c>
      <c r="G533" s="29"/>
      <c r="H533" s="29"/>
      <c r="I533" s="29"/>
      <c r="J533" s="29"/>
      <c r="K533" s="36"/>
      <c r="L533" s="36"/>
      <c r="M533" s="36"/>
      <c r="N533" s="29"/>
      <c r="O533" s="29"/>
      <c r="P533" s="29"/>
    </row>
    <row r="534" spans="1:16" ht="11.25" hidden="1">
      <c r="A534" s="3" t="s">
        <v>5</v>
      </c>
      <c r="B534" s="9"/>
      <c r="C534" s="9"/>
      <c r="D534" s="29"/>
      <c r="E534" s="29"/>
      <c r="F534" s="29"/>
      <c r="G534" s="29"/>
      <c r="H534" s="29"/>
      <c r="I534" s="29"/>
      <c r="J534" s="29"/>
      <c r="K534" s="36"/>
      <c r="L534" s="36"/>
      <c r="M534" s="36"/>
      <c r="N534" s="29"/>
      <c r="O534" s="29"/>
      <c r="P534" s="29"/>
    </row>
    <row r="535" spans="1:16" ht="11.25" hidden="1">
      <c r="A535" s="6" t="s">
        <v>181</v>
      </c>
      <c r="B535" s="9"/>
      <c r="C535" s="9"/>
      <c r="D535" s="29">
        <v>0</v>
      </c>
      <c r="E535" s="29"/>
      <c r="F535" s="29">
        <f>D535</f>
        <v>0</v>
      </c>
      <c r="G535" s="29"/>
      <c r="H535" s="29"/>
      <c r="I535" s="29"/>
      <c r="J535" s="29"/>
      <c r="K535" s="36"/>
      <c r="L535" s="36"/>
      <c r="M535" s="36"/>
      <c r="N535" s="29"/>
      <c r="O535" s="29"/>
      <c r="P535" s="29"/>
    </row>
    <row r="536" spans="1:16" ht="33" customHeight="1" hidden="1">
      <c r="A536" s="22" t="s">
        <v>463</v>
      </c>
      <c r="B536" s="9"/>
      <c r="C536" s="9"/>
      <c r="D536" s="8">
        <f>D538</f>
        <v>0</v>
      </c>
      <c r="E536" s="8"/>
      <c r="F536" s="8">
        <f>D536</f>
        <v>0</v>
      </c>
      <c r="G536" s="29"/>
      <c r="H536" s="29"/>
      <c r="I536" s="29"/>
      <c r="J536" s="29"/>
      <c r="K536" s="36"/>
      <c r="L536" s="36"/>
      <c r="M536" s="36"/>
      <c r="N536" s="29"/>
      <c r="O536" s="29"/>
      <c r="P536" s="29"/>
    </row>
    <row r="537" spans="1:16" ht="11.25" hidden="1">
      <c r="A537" s="3" t="s">
        <v>2</v>
      </c>
      <c r="B537" s="9"/>
      <c r="C537" s="9"/>
      <c r="D537" s="29"/>
      <c r="E537" s="29"/>
      <c r="F537" s="29"/>
      <c r="G537" s="29"/>
      <c r="H537" s="29"/>
      <c r="I537" s="29"/>
      <c r="J537" s="29"/>
      <c r="K537" s="36"/>
      <c r="L537" s="36"/>
      <c r="M537" s="36"/>
      <c r="N537" s="29"/>
      <c r="O537" s="29"/>
      <c r="P537" s="29"/>
    </row>
    <row r="538" spans="1:16" ht="11.25" hidden="1">
      <c r="A538" s="6" t="s">
        <v>23</v>
      </c>
      <c r="B538" s="9"/>
      <c r="C538" s="9"/>
      <c r="D538" s="29">
        <f>180000-180000</f>
        <v>0</v>
      </c>
      <c r="E538" s="29"/>
      <c r="F538" s="29">
        <f>D538</f>
        <v>0</v>
      </c>
      <c r="G538" s="29"/>
      <c r="H538" s="29"/>
      <c r="I538" s="29"/>
      <c r="J538" s="29"/>
      <c r="K538" s="36"/>
      <c r="L538" s="36"/>
      <c r="M538" s="36"/>
      <c r="N538" s="29"/>
      <c r="O538" s="29"/>
      <c r="P538" s="29"/>
    </row>
    <row r="539" spans="1:16" ht="11.25" hidden="1">
      <c r="A539" s="3" t="s">
        <v>3</v>
      </c>
      <c r="B539" s="9"/>
      <c r="C539" s="9"/>
      <c r="D539" s="29"/>
      <c r="E539" s="29"/>
      <c r="F539" s="29"/>
      <c r="G539" s="29"/>
      <c r="H539" s="29"/>
      <c r="I539" s="29"/>
      <c r="J539" s="29"/>
      <c r="K539" s="36"/>
      <c r="L539" s="36"/>
      <c r="M539" s="36"/>
      <c r="N539" s="29"/>
      <c r="O539" s="29"/>
      <c r="P539" s="29"/>
    </row>
    <row r="540" spans="1:16" ht="11.25" hidden="1">
      <c r="A540" s="6" t="s">
        <v>171</v>
      </c>
      <c r="B540" s="9"/>
      <c r="C540" s="9"/>
      <c r="D540" s="29"/>
      <c r="E540" s="29"/>
      <c r="F540" s="29"/>
      <c r="G540" s="29"/>
      <c r="H540" s="29"/>
      <c r="I540" s="29"/>
      <c r="J540" s="29"/>
      <c r="K540" s="36"/>
      <c r="L540" s="36"/>
      <c r="M540" s="36"/>
      <c r="N540" s="29"/>
      <c r="O540" s="29"/>
      <c r="P540" s="29"/>
    </row>
    <row r="541" spans="1:16" ht="11.25" hidden="1">
      <c r="A541" s="3" t="s">
        <v>5</v>
      </c>
      <c r="B541" s="9"/>
      <c r="C541" s="9"/>
      <c r="D541" s="29"/>
      <c r="E541" s="29"/>
      <c r="F541" s="29"/>
      <c r="G541" s="29"/>
      <c r="H541" s="29"/>
      <c r="I541" s="29"/>
      <c r="J541" s="29"/>
      <c r="K541" s="36"/>
      <c r="L541" s="36"/>
      <c r="M541" s="36"/>
      <c r="N541" s="29"/>
      <c r="O541" s="29"/>
      <c r="P541" s="29"/>
    </row>
    <row r="542" spans="1:16" ht="11.25" hidden="1">
      <c r="A542" s="6" t="s">
        <v>153</v>
      </c>
      <c r="B542" s="9"/>
      <c r="C542" s="9"/>
      <c r="D542" s="29">
        <f>D538</f>
        <v>0</v>
      </c>
      <c r="E542" s="29"/>
      <c r="F542" s="29">
        <f>D542</f>
        <v>0</v>
      </c>
      <c r="G542" s="29"/>
      <c r="H542" s="29"/>
      <c r="I542" s="29"/>
      <c r="J542" s="29"/>
      <c r="K542" s="36"/>
      <c r="L542" s="36"/>
      <c r="M542" s="36"/>
      <c r="N542" s="29"/>
      <c r="O542" s="29"/>
      <c r="P542" s="29"/>
    </row>
    <row r="543" spans="1:16" ht="33.75" hidden="1">
      <c r="A543" s="22" t="s">
        <v>426</v>
      </c>
      <c r="B543" s="9"/>
      <c r="C543" s="9"/>
      <c r="D543" s="8">
        <f>D545</f>
        <v>80000</v>
      </c>
      <c r="E543" s="8"/>
      <c r="F543" s="8">
        <f>D543</f>
        <v>80000</v>
      </c>
      <c r="G543" s="8">
        <f>G545</f>
        <v>100000</v>
      </c>
      <c r="H543" s="8"/>
      <c r="I543" s="8"/>
      <c r="J543" s="8">
        <f>G543</f>
        <v>100000</v>
      </c>
      <c r="K543" s="8"/>
      <c r="L543" s="8"/>
      <c r="M543" s="8"/>
      <c r="N543" s="8">
        <f>N545</f>
        <v>120000</v>
      </c>
      <c r="O543" s="8"/>
      <c r="P543" s="8">
        <f>N543</f>
        <v>120000</v>
      </c>
    </row>
    <row r="544" spans="1:16" ht="11.25" hidden="1">
      <c r="A544" s="3" t="s">
        <v>2</v>
      </c>
      <c r="B544" s="9"/>
      <c r="C544" s="9"/>
      <c r="D544" s="29"/>
      <c r="E544" s="29"/>
      <c r="F544" s="29"/>
      <c r="G544" s="29"/>
      <c r="H544" s="29"/>
      <c r="I544" s="29"/>
      <c r="J544" s="29"/>
      <c r="K544" s="36"/>
      <c r="L544" s="36"/>
      <c r="M544" s="36"/>
      <c r="N544" s="29"/>
      <c r="O544" s="29"/>
      <c r="P544" s="29"/>
    </row>
    <row r="545" spans="1:16" ht="11.25" hidden="1">
      <c r="A545" s="6" t="s">
        <v>23</v>
      </c>
      <c r="B545" s="9"/>
      <c r="C545" s="9"/>
      <c r="D545" s="29">
        <v>80000</v>
      </c>
      <c r="E545" s="29"/>
      <c r="F545" s="29">
        <f>D545</f>
        <v>80000</v>
      </c>
      <c r="G545" s="29">
        <v>100000</v>
      </c>
      <c r="H545" s="29"/>
      <c r="I545" s="29"/>
      <c r="J545" s="29">
        <f>G545</f>
        <v>100000</v>
      </c>
      <c r="K545" s="36"/>
      <c r="L545" s="36"/>
      <c r="M545" s="36"/>
      <c r="N545" s="29">
        <v>120000</v>
      </c>
      <c r="O545" s="29"/>
      <c r="P545" s="29">
        <f>N545</f>
        <v>120000</v>
      </c>
    </row>
    <row r="546" spans="1:16" ht="11.25" hidden="1">
      <c r="A546" s="3" t="s">
        <v>3</v>
      </c>
      <c r="B546" s="9"/>
      <c r="C546" s="9"/>
      <c r="D546" s="29"/>
      <c r="E546" s="29"/>
      <c r="F546" s="29"/>
      <c r="G546" s="29"/>
      <c r="H546" s="29"/>
      <c r="I546" s="29"/>
      <c r="J546" s="29"/>
      <c r="K546" s="36"/>
      <c r="L546" s="36"/>
      <c r="M546" s="36"/>
      <c r="N546" s="29"/>
      <c r="O546" s="29"/>
      <c r="P546" s="29"/>
    </row>
    <row r="547" spans="1:16" ht="22.5" hidden="1">
      <c r="A547" s="50" t="s">
        <v>282</v>
      </c>
      <c r="B547" s="9"/>
      <c r="C547" s="9"/>
      <c r="D547" s="37">
        <f>D545/D549</f>
        <v>37914.69194312797</v>
      </c>
      <c r="E547" s="37"/>
      <c r="F547" s="37">
        <f>D547</f>
        <v>37914.69194312797</v>
      </c>
      <c r="G547" s="37">
        <f>G545/G549</f>
        <v>44444.444444444445</v>
      </c>
      <c r="H547" s="37"/>
      <c r="I547" s="37"/>
      <c r="J547" s="37">
        <f>G547</f>
        <v>44444.444444444445</v>
      </c>
      <c r="K547" s="174"/>
      <c r="L547" s="174"/>
      <c r="M547" s="174"/>
      <c r="N547" s="37">
        <f>N545/N549</f>
        <v>50209.2050209205</v>
      </c>
      <c r="O547" s="37"/>
      <c r="P547" s="37">
        <f>N547</f>
        <v>50209.2050209205</v>
      </c>
    </row>
    <row r="548" spans="1:16" ht="11.25" hidden="1">
      <c r="A548" s="3" t="s">
        <v>5</v>
      </c>
      <c r="B548" s="9"/>
      <c r="C548" s="9"/>
      <c r="D548" s="29"/>
      <c r="E548" s="29"/>
      <c r="F548" s="29"/>
      <c r="G548" s="29"/>
      <c r="H548" s="29"/>
      <c r="I548" s="29"/>
      <c r="J548" s="29"/>
      <c r="K548" s="36"/>
      <c r="L548" s="36"/>
      <c r="M548" s="36"/>
      <c r="N548" s="29"/>
      <c r="O548" s="29"/>
      <c r="P548" s="29"/>
    </row>
    <row r="549" spans="1:16" ht="22.5" hidden="1">
      <c r="A549" s="6" t="s">
        <v>281</v>
      </c>
      <c r="B549" s="9"/>
      <c r="C549" s="9"/>
      <c r="D549" s="29">
        <v>2.11</v>
      </c>
      <c r="E549" s="29"/>
      <c r="F549" s="29">
        <f>D549</f>
        <v>2.11</v>
      </c>
      <c r="G549" s="29">
        <v>2.25</v>
      </c>
      <c r="H549" s="29"/>
      <c r="I549" s="29"/>
      <c r="J549" s="29">
        <f>G549</f>
        <v>2.25</v>
      </c>
      <c r="K549" s="36"/>
      <c r="L549" s="36"/>
      <c r="M549" s="36"/>
      <c r="N549" s="29">
        <v>2.39</v>
      </c>
      <c r="O549" s="29"/>
      <c r="P549" s="29">
        <f>N549</f>
        <v>2.39</v>
      </c>
    </row>
    <row r="550" spans="1:16" ht="28.5" customHeight="1" hidden="1">
      <c r="A550" s="22" t="s">
        <v>464</v>
      </c>
      <c r="B550" s="9"/>
      <c r="C550" s="9"/>
      <c r="D550" s="8">
        <f>D552</f>
        <v>0</v>
      </c>
      <c r="E550" s="8"/>
      <c r="F550" s="8">
        <f>D550</f>
        <v>0</v>
      </c>
      <c r="G550" s="8">
        <f>G552</f>
        <v>53100</v>
      </c>
      <c r="H550" s="8"/>
      <c r="I550" s="8"/>
      <c r="J550" s="8">
        <f>G550</f>
        <v>53100</v>
      </c>
      <c r="K550" s="209"/>
      <c r="L550" s="209"/>
      <c r="M550" s="209"/>
      <c r="N550" s="8">
        <f>N552</f>
        <v>59000</v>
      </c>
      <c r="O550" s="8"/>
      <c r="P550" s="8">
        <f>N550</f>
        <v>59000</v>
      </c>
    </row>
    <row r="551" spans="1:16" ht="11.25" hidden="1">
      <c r="A551" s="3" t="s">
        <v>77</v>
      </c>
      <c r="B551" s="9"/>
      <c r="C551" s="9"/>
      <c r="D551" s="29"/>
      <c r="E551" s="29"/>
      <c r="F551" s="29"/>
      <c r="G551" s="29"/>
      <c r="H551" s="29"/>
      <c r="I551" s="29"/>
      <c r="J551" s="29"/>
      <c r="K551" s="36"/>
      <c r="L551" s="36"/>
      <c r="M551" s="36"/>
      <c r="N551" s="29"/>
      <c r="O551" s="29"/>
      <c r="P551" s="29"/>
    </row>
    <row r="552" spans="1:16" ht="11.25" hidden="1">
      <c r="A552" s="6" t="s">
        <v>232</v>
      </c>
      <c r="B552" s="9"/>
      <c r="C552" s="9"/>
      <c r="D552" s="29">
        <f>83200-83200</f>
        <v>0</v>
      </c>
      <c r="E552" s="29"/>
      <c r="F552" s="29">
        <f>D552</f>
        <v>0</v>
      </c>
      <c r="G552" s="29">
        <v>53100</v>
      </c>
      <c r="H552" s="29"/>
      <c r="I552" s="29"/>
      <c r="J552" s="29">
        <f>G552</f>
        <v>53100</v>
      </c>
      <c r="K552" s="36"/>
      <c r="L552" s="36"/>
      <c r="M552" s="36"/>
      <c r="N552" s="29">
        <v>59000</v>
      </c>
      <c r="O552" s="29"/>
      <c r="P552" s="29">
        <f>N552</f>
        <v>59000</v>
      </c>
    </row>
    <row r="553" spans="1:16" ht="11.25" hidden="1">
      <c r="A553" s="3" t="s">
        <v>231</v>
      </c>
      <c r="B553" s="9"/>
      <c r="C553" s="9"/>
      <c r="D553" s="29"/>
      <c r="E553" s="29"/>
      <c r="F553" s="29"/>
      <c r="G553" s="29"/>
      <c r="H553" s="29"/>
      <c r="I553" s="29"/>
      <c r="J553" s="29"/>
      <c r="K553" s="36"/>
      <c r="L553" s="36"/>
      <c r="M553" s="36"/>
      <c r="N553" s="29"/>
      <c r="O553" s="29"/>
      <c r="P553" s="29"/>
    </row>
    <row r="554" spans="1:16" ht="11.25" hidden="1">
      <c r="A554" s="50" t="s">
        <v>240</v>
      </c>
      <c r="B554" s="9"/>
      <c r="C554" s="9"/>
      <c r="D554" s="29" t="e">
        <f>D552/D556</f>
        <v>#DIV/0!</v>
      </c>
      <c r="E554" s="29"/>
      <c r="F554" s="29" t="e">
        <f>D554</f>
        <v>#DIV/0!</v>
      </c>
      <c r="G554" s="37">
        <v>14</v>
      </c>
      <c r="H554" s="37"/>
      <c r="I554" s="37"/>
      <c r="J554" s="37">
        <f>G554</f>
        <v>14</v>
      </c>
      <c r="K554" s="174"/>
      <c r="L554" s="174"/>
      <c r="M554" s="174"/>
      <c r="N554" s="37">
        <v>14</v>
      </c>
      <c r="O554" s="37"/>
      <c r="P554" s="37">
        <f>N554</f>
        <v>14</v>
      </c>
    </row>
    <row r="555" spans="1:16" ht="11.25" hidden="1">
      <c r="A555" s="3" t="s">
        <v>226</v>
      </c>
      <c r="B555" s="9"/>
      <c r="C555" s="9"/>
      <c r="D555" s="29"/>
      <c r="E555" s="29"/>
      <c r="F555" s="29"/>
      <c r="G555" s="29"/>
      <c r="H555" s="29"/>
      <c r="I555" s="29"/>
      <c r="J555" s="29"/>
      <c r="K555" s="36"/>
      <c r="L555" s="36"/>
      <c r="M555" s="36"/>
      <c r="N555" s="29"/>
      <c r="O555" s="29"/>
      <c r="P555" s="29"/>
    </row>
    <row r="556" spans="1:16" ht="11.25" hidden="1">
      <c r="A556" s="6" t="s">
        <v>241</v>
      </c>
      <c r="B556" s="9"/>
      <c r="C556" s="9"/>
      <c r="D556" s="29">
        <v>0</v>
      </c>
      <c r="E556" s="29"/>
      <c r="F556" s="29">
        <f>D556</f>
        <v>0</v>
      </c>
      <c r="G556" s="29">
        <f>G552/G554</f>
        <v>3792.8571428571427</v>
      </c>
      <c r="H556" s="29"/>
      <c r="I556" s="29"/>
      <c r="J556" s="29">
        <f>G556</f>
        <v>3792.8571428571427</v>
      </c>
      <c r="K556" s="36"/>
      <c r="L556" s="36"/>
      <c r="M556" s="36"/>
      <c r="N556" s="29">
        <f>N552/N554</f>
        <v>4214.285714285715</v>
      </c>
      <c r="O556" s="29"/>
      <c r="P556" s="29">
        <f>N556</f>
        <v>4214.285714285715</v>
      </c>
    </row>
    <row r="557" spans="1:131" s="33" customFormat="1" ht="28.5" customHeight="1" hidden="1">
      <c r="A557" s="22" t="s">
        <v>465</v>
      </c>
      <c r="B557" s="10"/>
      <c r="C557" s="10"/>
      <c r="D557" s="8">
        <f>D559</f>
        <v>0</v>
      </c>
      <c r="E557" s="8"/>
      <c r="F557" s="8">
        <f>D557</f>
        <v>0</v>
      </c>
      <c r="G557" s="8"/>
      <c r="H557" s="8"/>
      <c r="I557" s="8"/>
      <c r="J557" s="8"/>
      <c r="K557" s="209"/>
      <c r="L557" s="209"/>
      <c r="M557" s="209"/>
      <c r="N557" s="8"/>
      <c r="O557" s="8"/>
      <c r="P557" s="8"/>
      <c r="Q557" s="210"/>
      <c r="R557" s="210"/>
      <c r="S557" s="210"/>
      <c r="T557" s="210"/>
      <c r="U557" s="210"/>
      <c r="V557" s="210"/>
      <c r="W557" s="210"/>
      <c r="X557" s="210"/>
      <c r="Y557" s="210"/>
      <c r="Z557" s="210"/>
      <c r="AA557" s="210"/>
      <c r="AB557" s="210"/>
      <c r="AC557" s="210"/>
      <c r="AD557" s="210"/>
      <c r="AE557" s="210"/>
      <c r="AF557" s="210"/>
      <c r="AG557" s="210"/>
      <c r="AH557" s="210"/>
      <c r="AI557" s="210"/>
      <c r="AJ557" s="210"/>
      <c r="AK557" s="210"/>
      <c r="AL557" s="210"/>
      <c r="AM557" s="210"/>
      <c r="AN557" s="210"/>
      <c r="AO557" s="210"/>
      <c r="AP557" s="210"/>
      <c r="AQ557" s="210"/>
      <c r="AR557" s="210"/>
      <c r="AS557" s="210"/>
      <c r="AT557" s="210"/>
      <c r="AU557" s="210"/>
      <c r="AV557" s="210"/>
      <c r="AW557" s="210"/>
      <c r="AX557" s="210"/>
      <c r="AY557" s="210"/>
      <c r="AZ557" s="210"/>
      <c r="BA557" s="210"/>
      <c r="BB557" s="210"/>
      <c r="BC557" s="210"/>
      <c r="BD557" s="210"/>
      <c r="BE557" s="210"/>
      <c r="BF557" s="210"/>
      <c r="BG557" s="210"/>
      <c r="BH557" s="210"/>
      <c r="BI557" s="210"/>
      <c r="BJ557" s="210"/>
      <c r="BK557" s="210"/>
      <c r="BL557" s="210"/>
      <c r="BM557" s="210"/>
      <c r="BN557" s="210"/>
      <c r="BO557" s="210"/>
      <c r="BP557" s="210"/>
      <c r="BQ557" s="210"/>
      <c r="BR557" s="210"/>
      <c r="BS557" s="210"/>
      <c r="BT557" s="210"/>
      <c r="BU557" s="210"/>
      <c r="BV557" s="210"/>
      <c r="BW557" s="210"/>
      <c r="BX557" s="210"/>
      <c r="BY557" s="210"/>
      <c r="BZ557" s="210"/>
      <c r="CA557" s="210"/>
      <c r="CB557" s="210"/>
      <c r="CC557" s="210"/>
      <c r="CD557" s="210"/>
      <c r="CE557" s="210"/>
      <c r="CF557" s="210"/>
      <c r="CG557" s="210"/>
      <c r="CH557" s="210"/>
      <c r="CI557" s="210"/>
      <c r="CJ557" s="210"/>
      <c r="CK557" s="210"/>
      <c r="CL557" s="210"/>
      <c r="CM557" s="210"/>
      <c r="CN557" s="210"/>
      <c r="CO557" s="210"/>
      <c r="CP557" s="210"/>
      <c r="CQ557" s="210"/>
      <c r="CR557" s="210"/>
      <c r="CS557" s="210"/>
      <c r="CT557" s="210"/>
      <c r="CU557" s="210"/>
      <c r="CV557" s="210"/>
      <c r="CW557" s="210"/>
      <c r="CX557" s="210"/>
      <c r="CY557" s="210"/>
      <c r="CZ557" s="210"/>
      <c r="DA557" s="210"/>
      <c r="DB557" s="210"/>
      <c r="DC557" s="210"/>
      <c r="DD557" s="210"/>
      <c r="DE557" s="210"/>
      <c r="DF557" s="210"/>
      <c r="DG557" s="210"/>
      <c r="DH557" s="210"/>
      <c r="DI557" s="210"/>
      <c r="DJ557" s="210"/>
      <c r="DK557" s="210"/>
      <c r="DL557" s="210"/>
      <c r="DM557" s="210"/>
      <c r="DN557" s="210"/>
      <c r="DO557" s="210"/>
      <c r="DP557" s="210"/>
      <c r="DQ557" s="210"/>
      <c r="DR557" s="210"/>
      <c r="DS557" s="210"/>
      <c r="DT557" s="210"/>
      <c r="DU557" s="210"/>
      <c r="DV557" s="210"/>
      <c r="DW557" s="210"/>
      <c r="DX557" s="210"/>
      <c r="DY557" s="210"/>
      <c r="DZ557" s="210"/>
      <c r="EA557" s="210"/>
    </row>
    <row r="558" spans="1:16" ht="11.25" hidden="1">
      <c r="A558" s="3" t="s">
        <v>77</v>
      </c>
      <c r="B558" s="9"/>
      <c r="C558" s="9"/>
      <c r="D558" s="29"/>
      <c r="E558" s="29"/>
      <c r="F558" s="29"/>
      <c r="G558" s="29"/>
      <c r="H558" s="29"/>
      <c r="I558" s="29"/>
      <c r="J558" s="29"/>
      <c r="K558" s="36"/>
      <c r="L558" s="36"/>
      <c r="M558" s="36"/>
      <c r="N558" s="29"/>
      <c r="O558" s="29"/>
      <c r="P558" s="29"/>
    </row>
    <row r="559" spans="1:16" ht="11.25" hidden="1">
      <c r="A559" s="6" t="s">
        <v>233</v>
      </c>
      <c r="B559" s="9"/>
      <c r="C559" s="9"/>
      <c r="D559" s="29">
        <f>180000-180000</f>
        <v>0</v>
      </c>
      <c r="E559" s="29"/>
      <c r="F559" s="29">
        <f>D559</f>
        <v>0</v>
      </c>
      <c r="G559" s="29"/>
      <c r="H559" s="29"/>
      <c r="I559" s="29"/>
      <c r="J559" s="29"/>
      <c r="K559" s="36"/>
      <c r="L559" s="36"/>
      <c r="M559" s="36"/>
      <c r="N559" s="29"/>
      <c r="O559" s="29"/>
      <c r="P559" s="29"/>
    </row>
    <row r="560" spans="1:16" ht="11.25" hidden="1">
      <c r="A560" s="3" t="s">
        <v>231</v>
      </c>
      <c r="B560" s="9"/>
      <c r="C560" s="9"/>
      <c r="D560" s="29"/>
      <c r="E560" s="29"/>
      <c r="F560" s="29"/>
      <c r="G560" s="29"/>
      <c r="H560" s="29"/>
      <c r="I560" s="29"/>
      <c r="J560" s="29"/>
      <c r="K560" s="36"/>
      <c r="L560" s="36"/>
      <c r="M560" s="36"/>
      <c r="N560" s="29"/>
      <c r="O560" s="29"/>
      <c r="P560" s="29"/>
    </row>
    <row r="561" spans="1:16" ht="22.5" hidden="1">
      <c r="A561" s="50" t="s">
        <v>234</v>
      </c>
      <c r="B561" s="9"/>
      <c r="C561" s="9"/>
      <c r="D561" s="29" t="e">
        <f>D559/D563</f>
        <v>#DIV/0!</v>
      </c>
      <c r="E561" s="29"/>
      <c r="F561" s="29" t="e">
        <f>D561</f>
        <v>#DIV/0!</v>
      </c>
      <c r="G561" s="29"/>
      <c r="H561" s="29"/>
      <c r="I561" s="29"/>
      <c r="J561" s="29"/>
      <c r="K561" s="36"/>
      <c r="L561" s="36"/>
      <c r="M561" s="36"/>
      <c r="N561" s="29"/>
      <c r="O561" s="29"/>
      <c r="P561" s="29"/>
    </row>
    <row r="562" spans="1:16" ht="11.25" hidden="1">
      <c r="A562" s="3" t="s">
        <v>226</v>
      </c>
      <c r="B562" s="9"/>
      <c r="C562" s="9"/>
      <c r="D562" s="29"/>
      <c r="E562" s="29"/>
      <c r="F562" s="29"/>
      <c r="G562" s="29"/>
      <c r="H562" s="29"/>
      <c r="I562" s="29"/>
      <c r="J562" s="29"/>
      <c r="K562" s="36"/>
      <c r="L562" s="36"/>
      <c r="M562" s="36"/>
      <c r="N562" s="29"/>
      <c r="O562" s="29"/>
      <c r="P562" s="29"/>
    </row>
    <row r="563" spans="1:16" ht="11.25" hidden="1">
      <c r="A563" s="6" t="s">
        <v>235</v>
      </c>
      <c r="B563" s="9"/>
      <c r="C563" s="9"/>
      <c r="D563" s="29">
        <v>0</v>
      </c>
      <c r="E563" s="29"/>
      <c r="F563" s="29">
        <f>D563</f>
        <v>0</v>
      </c>
      <c r="G563" s="29"/>
      <c r="H563" s="29"/>
      <c r="I563" s="29"/>
      <c r="J563" s="29"/>
      <c r="K563" s="36"/>
      <c r="L563" s="36"/>
      <c r="M563" s="36"/>
      <c r="N563" s="29"/>
      <c r="O563" s="29"/>
      <c r="P563" s="29"/>
    </row>
    <row r="564" spans="1:16" ht="22.5" hidden="1">
      <c r="A564" s="22" t="s">
        <v>466</v>
      </c>
      <c r="B564" s="9"/>
      <c r="C564" s="9"/>
      <c r="D564" s="8">
        <f>D566</f>
        <v>100000</v>
      </c>
      <c r="E564" s="8"/>
      <c r="F564" s="8">
        <f>D564</f>
        <v>100000</v>
      </c>
      <c r="G564" s="8"/>
      <c r="H564" s="8"/>
      <c r="I564" s="8"/>
      <c r="J564" s="8"/>
      <c r="K564" s="209"/>
      <c r="L564" s="209"/>
      <c r="M564" s="209"/>
      <c r="N564" s="8"/>
      <c r="O564" s="8"/>
      <c r="P564" s="8"/>
    </row>
    <row r="565" spans="1:16" ht="11.25" hidden="1">
      <c r="A565" s="3" t="s">
        <v>77</v>
      </c>
      <c r="B565" s="9"/>
      <c r="C565" s="9"/>
      <c r="D565" s="29"/>
      <c r="E565" s="29"/>
      <c r="F565" s="29"/>
      <c r="G565" s="29"/>
      <c r="H565" s="29"/>
      <c r="I565" s="29"/>
      <c r="J565" s="29"/>
      <c r="K565" s="36"/>
      <c r="L565" s="36"/>
      <c r="M565" s="36"/>
      <c r="N565" s="29"/>
      <c r="O565" s="29"/>
      <c r="P565" s="29"/>
    </row>
    <row r="566" spans="1:16" ht="11.25" hidden="1">
      <c r="A566" s="6" t="s">
        <v>232</v>
      </c>
      <c r="B566" s="9"/>
      <c r="C566" s="9"/>
      <c r="D566" s="29">
        <f>400000-300000</f>
        <v>100000</v>
      </c>
      <c r="E566" s="29"/>
      <c r="F566" s="29">
        <f>D566</f>
        <v>100000</v>
      </c>
      <c r="G566" s="29"/>
      <c r="H566" s="29"/>
      <c r="I566" s="29"/>
      <c r="J566" s="29"/>
      <c r="K566" s="36"/>
      <c r="L566" s="36"/>
      <c r="M566" s="36"/>
      <c r="N566" s="29"/>
      <c r="O566" s="29"/>
      <c r="P566" s="29"/>
    </row>
    <row r="567" spans="1:16" ht="11.25" hidden="1">
      <c r="A567" s="3" t="s">
        <v>231</v>
      </c>
      <c r="B567" s="9"/>
      <c r="C567" s="9"/>
      <c r="D567" s="29"/>
      <c r="E567" s="29"/>
      <c r="F567" s="29"/>
      <c r="G567" s="29"/>
      <c r="H567" s="29"/>
      <c r="I567" s="29"/>
      <c r="J567" s="29"/>
      <c r="K567" s="36"/>
      <c r="L567" s="36"/>
      <c r="M567" s="36"/>
      <c r="N567" s="29"/>
      <c r="O567" s="29"/>
      <c r="P567" s="29"/>
    </row>
    <row r="568" spans="1:16" ht="22.5" hidden="1">
      <c r="A568" s="50" t="s">
        <v>236</v>
      </c>
      <c r="B568" s="9"/>
      <c r="C568" s="9"/>
      <c r="D568" s="29">
        <f>D566/D570</f>
        <v>1</v>
      </c>
      <c r="E568" s="29"/>
      <c r="F568" s="29">
        <f>D568</f>
        <v>1</v>
      </c>
      <c r="G568" s="29"/>
      <c r="H568" s="29"/>
      <c r="I568" s="29"/>
      <c r="J568" s="29"/>
      <c r="K568" s="36"/>
      <c r="L568" s="36"/>
      <c r="M568" s="36"/>
      <c r="N568" s="29"/>
      <c r="O568" s="29"/>
      <c r="P568" s="29"/>
    </row>
    <row r="569" spans="1:16" ht="11.25" hidden="1">
      <c r="A569" s="3" t="s">
        <v>226</v>
      </c>
      <c r="B569" s="9"/>
      <c r="C569" s="9"/>
      <c r="D569" s="29"/>
      <c r="E569" s="29"/>
      <c r="F569" s="29"/>
      <c r="G569" s="29"/>
      <c r="H569" s="29"/>
      <c r="I569" s="29"/>
      <c r="J569" s="29"/>
      <c r="K569" s="36"/>
      <c r="L569" s="36"/>
      <c r="M569" s="36"/>
      <c r="N569" s="29"/>
      <c r="O569" s="29"/>
      <c r="P569" s="29"/>
    </row>
    <row r="570" spans="1:16" ht="11.25" hidden="1">
      <c r="A570" s="6" t="s">
        <v>237</v>
      </c>
      <c r="B570" s="9"/>
      <c r="C570" s="9"/>
      <c r="D570" s="29">
        <v>100000</v>
      </c>
      <c r="E570" s="29"/>
      <c r="F570" s="29">
        <f>D570</f>
        <v>100000</v>
      </c>
      <c r="G570" s="29"/>
      <c r="H570" s="29"/>
      <c r="I570" s="29"/>
      <c r="J570" s="29"/>
      <c r="K570" s="36"/>
      <c r="L570" s="36"/>
      <c r="M570" s="36"/>
      <c r="N570" s="29"/>
      <c r="O570" s="29"/>
      <c r="P570" s="29"/>
    </row>
    <row r="571" spans="1:131" s="33" customFormat="1" ht="33.75" hidden="1">
      <c r="A571" s="22" t="s">
        <v>526</v>
      </c>
      <c r="B571" s="10"/>
      <c r="C571" s="10"/>
      <c r="D571" s="8">
        <f>D573</f>
        <v>100000</v>
      </c>
      <c r="E571" s="8"/>
      <c r="F571" s="8">
        <f>D571</f>
        <v>100000</v>
      </c>
      <c r="G571" s="8"/>
      <c r="H571" s="8"/>
      <c r="I571" s="8"/>
      <c r="J571" s="8"/>
      <c r="K571" s="209"/>
      <c r="L571" s="209"/>
      <c r="M571" s="209"/>
      <c r="N571" s="8"/>
      <c r="O571" s="8"/>
      <c r="P571" s="8"/>
      <c r="Q571" s="210"/>
      <c r="R571" s="210"/>
      <c r="S571" s="210"/>
      <c r="T571" s="210"/>
      <c r="U571" s="210"/>
      <c r="V571" s="210"/>
      <c r="W571" s="210"/>
      <c r="X571" s="210"/>
      <c r="Y571" s="210"/>
      <c r="Z571" s="210"/>
      <c r="AA571" s="210"/>
      <c r="AB571" s="210"/>
      <c r="AC571" s="210"/>
      <c r="AD571" s="210"/>
      <c r="AE571" s="210"/>
      <c r="AF571" s="210"/>
      <c r="AG571" s="210"/>
      <c r="AH571" s="210"/>
      <c r="AI571" s="210"/>
      <c r="AJ571" s="210"/>
      <c r="AK571" s="210"/>
      <c r="AL571" s="210"/>
      <c r="AM571" s="210"/>
      <c r="AN571" s="210"/>
      <c r="AO571" s="210"/>
      <c r="AP571" s="210"/>
      <c r="AQ571" s="210"/>
      <c r="AR571" s="210"/>
      <c r="AS571" s="210"/>
      <c r="AT571" s="210"/>
      <c r="AU571" s="210"/>
      <c r="AV571" s="210"/>
      <c r="AW571" s="210"/>
      <c r="AX571" s="210"/>
      <c r="AY571" s="210"/>
      <c r="AZ571" s="210"/>
      <c r="BA571" s="210"/>
      <c r="BB571" s="210"/>
      <c r="BC571" s="210"/>
      <c r="BD571" s="210"/>
      <c r="BE571" s="210"/>
      <c r="BF571" s="210"/>
      <c r="BG571" s="210"/>
      <c r="BH571" s="210"/>
      <c r="BI571" s="210"/>
      <c r="BJ571" s="210"/>
      <c r="BK571" s="210"/>
      <c r="BL571" s="210"/>
      <c r="BM571" s="210"/>
      <c r="BN571" s="210"/>
      <c r="BO571" s="210"/>
      <c r="BP571" s="210"/>
      <c r="BQ571" s="210"/>
      <c r="BR571" s="210"/>
      <c r="BS571" s="210"/>
      <c r="BT571" s="210"/>
      <c r="BU571" s="210"/>
      <c r="BV571" s="210"/>
      <c r="BW571" s="210"/>
      <c r="BX571" s="210"/>
      <c r="BY571" s="210"/>
      <c r="BZ571" s="210"/>
      <c r="CA571" s="210"/>
      <c r="CB571" s="210"/>
      <c r="CC571" s="210"/>
      <c r="CD571" s="210"/>
      <c r="CE571" s="210"/>
      <c r="CF571" s="210"/>
      <c r="CG571" s="210"/>
      <c r="CH571" s="210"/>
      <c r="CI571" s="210"/>
      <c r="CJ571" s="210"/>
      <c r="CK571" s="210"/>
      <c r="CL571" s="210"/>
      <c r="CM571" s="210"/>
      <c r="CN571" s="210"/>
      <c r="CO571" s="210"/>
      <c r="CP571" s="210"/>
      <c r="CQ571" s="210"/>
      <c r="CR571" s="210"/>
      <c r="CS571" s="210"/>
      <c r="CT571" s="210"/>
      <c r="CU571" s="210"/>
      <c r="CV571" s="210"/>
      <c r="CW571" s="210"/>
      <c r="CX571" s="210"/>
      <c r="CY571" s="210"/>
      <c r="CZ571" s="210"/>
      <c r="DA571" s="210"/>
      <c r="DB571" s="210"/>
      <c r="DC571" s="210"/>
      <c r="DD571" s="210"/>
      <c r="DE571" s="210"/>
      <c r="DF571" s="210"/>
      <c r="DG571" s="210"/>
      <c r="DH571" s="210"/>
      <c r="DI571" s="210"/>
      <c r="DJ571" s="210"/>
      <c r="DK571" s="210"/>
      <c r="DL571" s="210"/>
      <c r="DM571" s="210"/>
      <c r="DN571" s="210"/>
      <c r="DO571" s="210"/>
      <c r="DP571" s="210"/>
      <c r="DQ571" s="210"/>
      <c r="DR571" s="210"/>
      <c r="DS571" s="210"/>
      <c r="DT571" s="210"/>
      <c r="DU571" s="210"/>
      <c r="DV571" s="210"/>
      <c r="DW571" s="210"/>
      <c r="DX571" s="210"/>
      <c r="DY571" s="210"/>
      <c r="DZ571" s="210"/>
      <c r="EA571" s="210"/>
    </row>
    <row r="572" spans="1:16" ht="11.25" hidden="1">
      <c r="A572" s="3" t="s">
        <v>77</v>
      </c>
      <c r="B572" s="9"/>
      <c r="C572" s="9"/>
      <c r="D572" s="29"/>
      <c r="E572" s="29"/>
      <c r="F572" s="29"/>
      <c r="G572" s="29"/>
      <c r="H572" s="29"/>
      <c r="I572" s="29"/>
      <c r="J572" s="29"/>
      <c r="K572" s="36"/>
      <c r="L572" s="36"/>
      <c r="M572" s="36"/>
      <c r="N572" s="29"/>
      <c r="O572" s="29"/>
      <c r="P572" s="29"/>
    </row>
    <row r="573" spans="1:16" ht="11.25" hidden="1">
      <c r="A573" s="6" t="s">
        <v>232</v>
      </c>
      <c r="B573" s="9"/>
      <c r="C573" s="9"/>
      <c r="D573" s="29">
        <f>150000-50000</f>
        <v>100000</v>
      </c>
      <c r="E573" s="29"/>
      <c r="F573" s="29">
        <f>D573</f>
        <v>100000</v>
      </c>
      <c r="G573" s="29"/>
      <c r="H573" s="29"/>
      <c r="I573" s="29"/>
      <c r="J573" s="29"/>
      <c r="K573" s="36"/>
      <c r="L573" s="36"/>
      <c r="M573" s="36"/>
      <c r="N573" s="29"/>
      <c r="O573" s="29"/>
      <c r="P573" s="29"/>
    </row>
    <row r="574" spans="1:16" ht="11.25" hidden="1">
      <c r="A574" s="3" t="s">
        <v>231</v>
      </c>
      <c r="B574" s="9"/>
      <c r="C574" s="9"/>
      <c r="D574" s="29"/>
      <c r="E574" s="29"/>
      <c r="F574" s="29"/>
      <c r="G574" s="29"/>
      <c r="H574" s="29"/>
      <c r="I574" s="29"/>
      <c r="J574" s="29"/>
      <c r="K574" s="36"/>
      <c r="L574" s="36"/>
      <c r="M574" s="36"/>
      <c r="N574" s="29"/>
      <c r="O574" s="29"/>
      <c r="P574" s="29"/>
    </row>
    <row r="575" spans="1:16" ht="11.25" hidden="1">
      <c r="A575" s="50" t="s">
        <v>238</v>
      </c>
      <c r="B575" s="9"/>
      <c r="C575" s="9"/>
      <c r="D575" s="37">
        <f>D573/D577</f>
        <v>4.545454545454546</v>
      </c>
      <c r="E575" s="29"/>
      <c r="F575" s="37">
        <f>D575</f>
        <v>4.545454545454546</v>
      </c>
      <c r="G575" s="29"/>
      <c r="H575" s="29"/>
      <c r="I575" s="29"/>
      <c r="J575" s="29"/>
      <c r="K575" s="36"/>
      <c r="L575" s="36"/>
      <c r="M575" s="36"/>
      <c r="N575" s="29"/>
      <c r="O575" s="29"/>
      <c r="P575" s="29"/>
    </row>
    <row r="576" spans="1:16" ht="11.25" hidden="1">
      <c r="A576" s="3" t="s">
        <v>226</v>
      </c>
      <c r="B576" s="9"/>
      <c r="C576" s="9"/>
      <c r="D576" s="29"/>
      <c r="E576" s="29"/>
      <c r="F576" s="29"/>
      <c r="G576" s="29"/>
      <c r="H576" s="29"/>
      <c r="I576" s="29"/>
      <c r="J576" s="29"/>
      <c r="K576" s="36"/>
      <c r="L576" s="36"/>
      <c r="M576" s="36"/>
      <c r="N576" s="29"/>
      <c r="O576" s="29"/>
      <c r="P576" s="29"/>
    </row>
    <row r="577" spans="1:16" ht="11.25" hidden="1">
      <c r="A577" s="6" t="s">
        <v>239</v>
      </c>
      <c r="B577" s="9"/>
      <c r="C577" s="9"/>
      <c r="D577" s="29">
        <v>22000</v>
      </c>
      <c r="E577" s="29"/>
      <c r="F577" s="29">
        <f>D577</f>
        <v>22000</v>
      </c>
      <c r="G577" s="29"/>
      <c r="H577" s="29"/>
      <c r="I577" s="29"/>
      <c r="J577" s="29"/>
      <c r="K577" s="36"/>
      <c r="L577" s="36"/>
      <c r="M577" s="36"/>
      <c r="N577" s="29"/>
      <c r="O577" s="29"/>
      <c r="P577" s="29"/>
    </row>
    <row r="578" spans="1:16" ht="33.75" hidden="1">
      <c r="A578" s="22" t="s">
        <v>467</v>
      </c>
      <c r="B578" s="9"/>
      <c r="C578" s="9"/>
      <c r="D578" s="8">
        <f>D580</f>
        <v>323900</v>
      </c>
      <c r="E578" s="8">
        <f>E580</f>
        <v>1785000</v>
      </c>
      <c r="F578" s="8">
        <f>D578+E578</f>
        <v>2108900</v>
      </c>
      <c r="G578" s="8">
        <f>G580</f>
        <v>2108925</v>
      </c>
      <c r="H578" s="8"/>
      <c r="I578" s="8"/>
      <c r="J578" s="8">
        <f>G578</f>
        <v>2108925</v>
      </c>
      <c r="K578" s="209"/>
      <c r="L578" s="209"/>
      <c r="M578" s="209"/>
      <c r="N578" s="8">
        <f>N580</f>
        <v>2114373</v>
      </c>
      <c r="O578" s="8"/>
      <c r="P578" s="8">
        <f>N578</f>
        <v>2114373</v>
      </c>
    </row>
    <row r="579" spans="1:16" ht="11.25" hidden="1">
      <c r="A579" s="3" t="s">
        <v>77</v>
      </c>
      <c r="B579" s="9"/>
      <c r="C579" s="9"/>
      <c r="D579" s="29"/>
      <c r="E579" s="29"/>
      <c r="F579" s="29"/>
      <c r="G579" s="29"/>
      <c r="H579" s="29"/>
      <c r="I579" s="29"/>
      <c r="J579" s="29"/>
      <c r="K579" s="36"/>
      <c r="L579" s="36"/>
      <c r="M579" s="36"/>
      <c r="N579" s="29"/>
      <c r="O579" s="29"/>
      <c r="P579" s="29"/>
    </row>
    <row r="580" spans="1:16" ht="11.25" hidden="1">
      <c r="A580" s="6" t="s">
        <v>232</v>
      </c>
      <c r="B580" s="9"/>
      <c r="C580" s="9"/>
      <c r="D580" s="29">
        <f>323900</f>
        <v>323900</v>
      </c>
      <c r="E580" s="29">
        <f>1785000</f>
        <v>1785000</v>
      </c>
      <c r="F580" s="29">
        <f>D580</f>
        <v>323900</v>
      </c>
      <c r="G580" s="29">
        <f>323925+1785000</f>
        <v>2108925</v>
      </c>
      <c r="H580" s="29"/>
      <c r="I580" s="29">
        <f>G580</f>
        <v>2108925</v>
      </c>
      <c r="J580" s="29">
        <f>G580</f>
        <v>2108925</v>
      </c>
      <c r="K580" s="36"/>
      <c r="L580" s="36"/>
      <c r="M580" s="36"/>
      <c r="N580" s="29">
        <f>324762+1789611</f>
        <v>2114373</v>
      </c>
      <c r="O580" s="29"/>
      <c r="P580" s="29">
        <f>N580</f>
        <v>2114373</v>
      </c>
    </row>
    <row r="581" spans="1:16" ht="11.25" hidden="1">
      <c r="A581" s="3" t="s">
        <v>231</v>
      </c>
      <c r="B581" s="9"/>
      <c r="C581" s="9"/>
      <c r="D581" s="29"/>
      <c r="E581" s="29"/>
      <c r="F581" s="29"/>
      <c r="G581" s="29"/>
      <c r="H581" s="29"/>
      <c r="I581" s="29"/>
      <c r="J581" s="29"/>
      <c r="K581" s="36"/>
      <c r="L581" s="36"/>
      <c r="M581" s="36"/>
      <c r="N581" s="29"/>
      <c r="O581" s="29"/>
      <c r="P581" s="29"/>
    </row>
    <row r="582" spans="1:16" ht="11.25" hidden="1">
      <c r="A582" s="50" t="s">
        <v>242</v>
      </c>
      <c r="B582" s="9"/>
      <c r="C582" s="9"/>
      <c r="D582" s="29">
        <v>1</v>
      </c>
      <c r="E582" s="29">
        <v>1</v>
      </c>
      <c r="F582" s="29">
        <f>D582</f>
        <v>1</v>
      </c>
      <c r="G582" s="29">
        <v>1</v>
      </c>
      <c r="H582" s="29"/>
      <c r="I582" s="29">
        <f>G582</f>
        <v>1</v>
      </c>
      <c r="J582" s="29">
        <f>G582</f>
        <v>1</v>
      </c>
      <c r="K582" s="36"/>
      <c r="L582" s="36"/>
      <c r="M582" s="36"/>
      <c r="N582" s="29">
        <v>1</v>
      </c>
      <c r="O582" s="29"/>
      <c r="P582" s="29">
        <f>N582</f>
        <v>1</v>
      </c>
    </row>
    <row r="583" spans="1:16" ht="11.25" hidden="1">
      <c r="A583" s="3" t="s">
        <v>226</v>
      </c>
      <c r="B583" s="9"/>
      <c r="C583" s="9"/>
      <c r="D583" s="29"/>
      <c r="E583" s="29"/>
      <c r="F583" s="29"/>
      <c r="G583" s="29"/>
      <c r="H583" s="29"/>
      <c r="I583" s="29"/>
      <c r="J583" s="29"/>
      <c r="K583" s="36"/>
      <c r="L583" s="36"/>
      <c r="M583" s="36"/>
      <c r="N583" s="29"/>
      <c r="O583" s="29"/>
      <c r="P583" s="29"/>
    </row>
    <row r="584" spans="1:16" ht="11.25" hidden="1">
      <c r="A584" s="6" t="s">
        <v>243</v>
      </c>
      <c r="B584" s="9"/>
      <c r="C584" s="9"/>
      <c r="D584" s="29">
        <f>D580/D582</f>
        <v>323900</v>
      </c>
      <c r="E584" s="29">
        <f>E580/E582</f>
        <v>1785000</v>
      </c>
      <c r="F584" s="29">
        <f>F580/F582</f>
        <v>323900</v>
      </c>
      <c r="G584" s="29">
        <f>G580/G582</f>
        <v>2108925</v>
      </c>
      <c r="H584" s="29"/>
      <c r="I584" s="29">
        <f>I580/I582</f>
        <v>2108925</v>
      </c>
      <c r="J584" s="29">
        <f>G584</f>
        <v>2108925</v>
      </c>
      <c r="K584" s="36"/>
      <c r="L584" s="36"/>
      <c r="M584" s="36"/>
      <c r="N584" s="29">
        <f>N580/N582</f>
        <v>2114373</v>
      </c>
      <c r="O584" s="29"/>
      <c r="P584" s="29">
        <f>N584</f>
        <v>2114373</v>
      </c>
    </row>
    <row r="585" spans="1:16" ht="22.5" hidden="1">
      <c r="A585" s="22" t="s">
        <v>468</v>
      </c>
      <c r="B585" s="9"/>
      <c r="C585" s="9"/>
      <c r="D585" s="8">
        <f>D587</f>
        <v>0</v>
      </c>
      <c r="E585" s="8"/>
      <c r="F585" s="8">
        <f>D585</f>
        <v>0</v>
      </c>
      <c r="G585" s="8"/>
      <c r="H585" s="8"/>
      <c r="I585" s="8"/>
      <c r="J585" s="8"/>
      <c r="K585" s="209"/>
      <c r="L585" s="209"/>
      <c r="M585" s="209"/>
      <c r="N585" s="8"/>
      <c r="O585" s="8"/>
      <c r="P585" s="8"/>
    </row>
    <row r="586" spans="1:16" ht="11.25" hidden="1">
      <c r="A586" s="3" t="s">
        <v>77</v>
      </c>
      <c r="B586" s="9"/>
      <c r="C586" s="9"/>
      <c r="D586" s="29"/>
      <c r="E586" s="29"/>
      <c r="F586" s="29"/>
      <c r="G586" s="29"/>
      <c r="H586" s="29"/>
      <c r="I586" s="29"/>
      <c r="J586" s="29"/>
      <c r="K586" s="36"/>
      <c r="L586" s="36"/>
      <c r="M586" s="36"/>
      <c r="N586" s="29"/>
      <c r="O586" s="29"/>
      <c r="P586" s="29"/>
    </row>
    <row r="587" spans="1:16" ht="11.25" hidden="1">
      <c r="A587" s="6" t="s">
        <v>232</v>
      </c>
      <c r="B587" s="9"/>
      <c r="C587" s="9"/>
      <c r="D587" s="29">
        <f>20000-20000</f>
        <v>0</v>
      </c>
      <c r="E587" s="29"/>
      <c r="F587" s="29">
        <f>D587</f>
        <v>0</v>
      </c>
      <c r="G587" s="29"/>
      <c r="H587" s="29"/>
      <c r="I587" s="29"/>
      <c r="J587" s="29"/>
      <c r="K587" s="36"/>
      <c r="L587" s="36"/>
      <c r="M587" s="36"/>
      <c r="N587" s="29"/>
      <c r="O587" s="29"/>
      <c r="P587" s="29"/>
    </row>
    <row r="588" spans="1:16" ht="11.25" hidden="1">
      <c r="A588" s="3" t="s">
        <v>231</v>
      </c>
      <c r="B588" s="9"/>
      <c r="C588" s="9"/>
      <c r="D588" s="29"/>
      <c r="E588" s="29"/>
      <c r="F588" s="29"/>
      <c r="G588" s="29"/>
      <c r="H588" s="29"/>
      <c r="I588" s="29"/>
      <c r="J588" s="29"/>
      <c r="K588" s="36"/>
      <c r="L588" s="36"/>
      <c r="M588" s="36"/>
      <c r="N588" s="29"/>
      <c r="O588" s="29"/>
      <c r="P588" s="29"/>
    </row>
    <row r="589" spans="1:16" ht="11.25" hidden="1">
      <c r="A589" s="50" t="s">
        <v>244</v>
      </c>
      <c r="B589" s="9"/>
      <c r="C589" s="9"/>
      <c r="D589" s="29"/>
      <c r="E589" s="29"/>
      <c r="F589" s="29">
        <f>D589</f>
        <v>0</v>
      </c>
      <c r="G589" s="29"/>
      <c r="H589" s="29"/>
      <c r="I589" s="29"/>
      <c r="J589" s="29"/>
      <c r="K589" s="36"/>
      <c r="L589" s="36"/>
      <c r="M589" s="36"/>
      <c r="N589" s="29"/>
      <c r="O589" s="29"/>
      <c r="P589" s="29"/>
    </row>
    <row r="590" spans="1:16" ht="11.25" hidden="1">
      <c r="A590" s="3" t="s">
        <v>226</v>
      </c>
      <c r="B590" s="9"/>
      <c r="C590" s="9"/>
      <c r="D590" s="29"/>
      <c r="E590" s="29"/>
      <c r="F590" s="29"/>
      <c r="G590" s="29"/>
      <c r="H590" s="29"/>
      <c r="I590" s="29"/>
      <c r="J590" s="29"/>
      <c r="K590" s="36"/>
      <c r="L590" s="36"/>
      <c r="M590" s="36"/>
      <c r="N590" s="29"/>
      <c r="O590" s="29"/>
      <c r="P590" s="29"/>
    </row>
    <row r="591" spans="1:16" ht="11.25" hidden="1">
      <c r="A591" s="6" t="s">
        <v>245</v>
      </c>
      <c r="B591" s="9"/>
      <c r="C591" s="9"/>
      <c r="D591" s="29" t="e">
        <f>D587/D589</f>
        <v>#DIV/0!</v>
      </c>
      <c r="E591" s="29"/>
      <c r="F591" s="29" t="e">
        <f>D591</f>
        <v>#DIV/0!</v>
      </c>
      <c r="G591" s="29"/>
      <c r="H591" s="29"/>
      <c r="I591" s="29"/>
      <c r="J591" s="29"/>
      <c r="K591" s="36"/>
      <c r="L591" s="36"/>
      <c r="M591" s="36"/>
      <c r="N591" s="29"/>
      <c r="O591" s="29"/>
      <c r="P591" s="29"/>
    </row>
    <row r="592" spans="1:16" ht="15.75" customHeight="1" hidden="1">
      <c r="A592" s="257" t="s">
        <v>469</v>
      </c>
      <c r="B592" s="211"/>
      <c r="C592" s="211"/>
      <c r="D592" s="212">
        <f>D594</f>
        <v>0</v>
      </c>
      <c r="E592" s="212"/>
      <c r="F592" s="212">
        <f>D592</f>
        <v>0</v>
      </c>
      <c r="G592" s="212"/>
      <c r="H592" s="212"/>
      <c r="I592" s="212"/>
      <c r="J592" s="212"/>
      <c r="K592" s="213"/>
      <c r="L592" s="213"/>
      <c r="M592" s="213"/>
      <c r="N592" s="212"/>
      <c r="O592" s="212"/>
      <c r="P592" s="212"/>
    </row>
    <row r="593" spans="1:16" ht="11.25" hidden="1">
      <c r="A593" s="3" t="s">
        <v>77</v>
      </c>
      <c r="B593" s="9"/>
      <c r="C593" s="9"/>
      <c r="D593" s="29"/>
      <c r="E593" s="29"/>
      <c r="F593" s="29"/>
      <c r="G593" s="29"/>
      <c r="H593" s="29"/>
      <c r="I593" s="29"/>
      <c r="J593" s="29"/>
      <c r="K593" s="36"/>
      <c r="L593" s="36"/>
      <c r="M593" s="36"/>
      <c r="N593" s="29"/>
      <c r="O593" s="29"/>
      <c r="P593" s="29"/>
    </row>
    <row r="594" spans="1:16" ht="11.25" hidden="1">
      <c r="A594" s="6" t="s">
        <v>232</v>
      </c>
      <c r="B594" s="9"/>
      <c r="C594" s="9"/>
      <c r="D594" s="29">
        <f>2000-2000</f>
        <v>0</v>
      </c>
      <c r="E594" s="29"/>
      <c r="F594" s="29">
        <f>D594</f>
        <v>0</v>
      </c>
      <c r="G594" s="29"/>
      <c r="H594" s="29"/>
      <c r="I594" s="29"/>
      <c r="J594" s="29"/>
      <c r="K594" s="36"/>
      <c r="L594" s="36"/>
      <c r="M594" s="36"/>
      <c r="N594" s="29"/>
      <c r="O594" s="29"/>
      <c r="P594" s="29"/>
    </row>
    <row r="595" spans="1:16" ht="11.25" hidden="1">
      <c r="A595" s="3" t="s">
        <v>231</v>
      </c>
      <c r="B595" s="9"/>
      <c r="C595" s="9"/>
      <c r="D595" s="29"/>
      <c r="E595" s="29"/>
      <c r="F595" s="29"/>
      <c r="G595" s="29"/>
      <c r="H595" s="29"/>
      <c r="I595" s="29"/>
      <c r="J595" s="29"/>
      <c r="K595" s="36"/>
      <c r="L595" s="36"/>
      <c r="M595" s="36"/>
      <c r="N595" s="29"/>
      <c r="O595" s="29"/>
      <c r="P595" s="29"/>
    </row>
    <row r="596" spans="1:16" ht="11.25" hidden="1">
      <c r="A596" s="50" t="s">
        <v>246</v>
      </c>
      <c r="B596" s="9"/>
      <c r="C596" s="9"/>
      <c r="D596" s="29"/>
      <c r="E596" s="29"/>
      <c r="F596" s="29">
        <f>D596</f>
        <v>0</v>
      </c>
      <c r="G596" s="29"/>
      <c r="H596" s="29"/>
      <c r="I596" s="29"/>
      <c r="J596" s="29"/>
      <c r="K596" s="36"/>
      <c r="L596" s="36"/>
      <c r="M596" s="36"/>
      <c r="N596" s="29"/>
      <c r="O596" s="29"/>
      <c r="P596" s="29"/>
    </row>
    <row r="597" spans="1:16" ht="11.25" hidden="1">
      <c r="A597" s="3" t="s">
        <v>226</v>
      </c>
      <c r="B597" s="9"/>
      <c r="C597" s="9"/>
      <c r="D597" s="29"/>
      <c r="E597" s="29"/>
      <c r="F597" s="29"/>
      <c r="G597" s="29"/>
      <c r="H597" s="29"/>
      <c r="I597" s="29"/>
      <c r="J597" s="29"/>
      <c r="K597" s="36"/>
      <c r="L597" s="36"/>
      <c r="M597" s="36"/>
      <c r="N597" s="29"/>
      <c r="O597" s="29"/>
      <c r="P597" s="29"/>
    </row>
    <row r="598" spans="1:16" ht="11.25" hidden="1">
      <c r="A598" s="6" t="s">
        <v>247</v>
      </c>
      <c r="B598" s="9"/>
      <c r="C598" s="9"/>
      <c r="D598" s="29" t="e">
        <f>D594/D596</f>
        <v>#DIV/0!</v>
      </c>
      <c r="E598" s="29"/>
      <c r="F598" s="29" t="e">
        <f>D598</f>
        <v>#DIV/0!</v>
      </c>
      <c r="G598" s="29"/>
      <c r="H598" s="29"/>
      <c r="I598" s="29"/>
      <c r="J598" s="29"/>
      <c r="K598" s="36"/>
      <c r="L598" s="36"/>
      <c r="M598" s="36"/>
      <c r="N598" s="29"/>
      <c r="O598" s="29"/>
      <c r="P598" s="29"/>
    </row>
    <row r="599" spans="1:131" s="215" customFormat="1" ht="37.5" customHeight="1" hidden="1">
      <c r="A599" s="7" t="s">
        <v>431</v>
      </c>
      <c r="B599" s="35"/>
      <c r="C599" s="35"/>
      <c r="D599" s="31">
        <f>D601</f>
        <v>514000</v>
      </c>
      <c r="E599" s="31"/>
      <c r="F599" s="31">
        <f>F601</f>
        <v>514000</v>
      </c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214"/>
      <c r="R599" s="214"/>
      <c r="S599" s="214"/>
      <c r="T599" s="214"/>
      <c r="U599" s="214"/>
      <c r="V599" s="214"/>
      <c r="W599" s="214"/>
      <c r="X599" s="214"/>
      <c r="Y599" s="214"/>
      <c r="Z599" s="214"/>
      <c r="AA599" s="214"/>
      <c r="AB599" s="214"/>
      <c r="AC599" s="214"/>
      <c r="AD599" s="214"/>
      <c r="AE599" s="214"/>
      <c r="AF599" s="214"/>
      <c r="AG599" s="214"/>
      <c r="AH599" s="214"/>
      <c r="AI599" s="214"/>
      <c r="AJ599" s="214"/>
      <c r="AK599" s="214"/>
      <c r="AL599" s="214"/>
      <c r="AM599" s="214"/>
      <c r="AN599" s="214"/>
      <c r="AO599" s="214"/>
      <c r="AP599" s="214"/>
      <c r="AQ599" s="214"/>
      <c r="AR599" s="214"/>
      <c r="AS599" s="214"/>
      <c r="AT599" s="214"/>
      <c r="AU599" s="214"/>
      <c r="AV599" s="214"/>
      <c r="AW599" s="214"/>
      <c r="AX599" s="214"/>
      <c r="AY599" s="214"/>
      <c r="AZ599" s="214"/>
      <c r="BA599" s="214"/>
      <c r="BB599" s="214"/>
      <c r="BC599" s="214"/>
      <c r="BD599" s="214"/>
      <c r="BE599" s="214"/>
      <c r="BF599" s="214"/>
      <c r="BG599" s="214"/>
      <c r="BH599" s="214"/>
      <c r="BI599" s="214"/>
      <c r="BJ599" s="214"/>
      <c r="BK599" s="214"/>
      <c r="BL599" s="214"/>
      <c r="BM599" s="214"/>
      <c r="BN599" s="214"/>
      <c r="BO599" s="214"/>
      <c r="BP599" s="214"/>
      <c r="BQ599" s="214"/>
      <c r="BR599" s="214"/>
      <c r="BS599" s="214"/>
      <c r="BT599" s="214"/>
      <c r="BU599" s="214"/>
      <c r="BV599" s="214"/>
      <c r="BW599" s="214"/>
      <c r="BX599" s="214"/>
      <c r="BY599" s="214"/>
      <c r="BZ599" s="214"/>
      <c r="CA599" s="214"/>
      <c r="CB599" s="214"/>
      <c r="CC599" s="214"/>
      <c r="CD599" s="214"/>
      <c r="CE599" s="214"/>
      <c r="CF599" s="214"/>
      <c r="CG599" s="214"/>
      <c r="CH599" s="214"/>
      <c r="CI599" s="214"/>
      <c r="CJ599" s="214"/>
      <c r="CK599" s="214"/>
      <c r="CL599" s="214"/>
      <c r="CM599" s="214"/>
      <c r="CN599" s="214"/>
      <c r="CO599" s="214"/>
      <c r="CP599" s="214"/>
      <c r="CQ599" s="214"/>
      <c r="CR599" s="214"/>
      <c r="CS599" s="214"/>
      <c r="CT599" s="214"/>
      <c r="CU599" s="214"/>
      <c r="CV599" s="214"/>
      <c r="CW599" s="214"/>
      <c r="CX599" s="214"/>
      <c r="CY599" s="214"/>
      <c r="CZ599" s="214"/>
      <c r="DA599" s="214"/>
      <c r="DB599" s="214"/>
      <c r="DC599" s="214"/>
      <c r="DD599" s="214"/>
      <c r="DE599" s="214"/>
      <c r="DF599" s="214"/>
      <c r="DG599" s="214"/>
      <c r="DH599" s="214"/>
      <c r="DI599" s="214"/>
      <c r="DJ599" s="214"/>
      <c r="DK599" s="214"/>
      <c r="DL599" s="214"/>
      <c r="DM599" s="214"/>
      <c r="DN599" s="214"/>
      <c r="DO599" s="214"/>
      <c r="DP599" s="214"/>
      <c r="DQ599" s="214"/>
      <c r="DR599" s="214"/>
      <c r="DS599" s="214"/>
      <c r="DT599" s="214"/>
      <c r="DU599" s="214"/>
      <c r="DV599" s="214"/>
      <c r="DW599" s="214"/>
      <c r="DX599" s="214"/>
      <c r="DY599" s="214"/>
      <c r="DZ599" s="214"/>
      <c r="EA599" s="214"/>
    </row>
    <row r="600" spans="1:131" s="183" customFormat="1" ht="19.5" customHeight="1" hidden="1">
      <c r="A600" s="3" t="s">
        <v>77</v>
      </c>
      <c r="B600" s="131"/>
      <c r="C600" s="131"/>
      <c r="D600" s="139"/>
      <c r="E600" s="139"/>
      <c r="F600" s="139"/>
      <c r="G600" s="139"/>
      <c r="H600" s="139"/>
      <c r="I600" s="139"/>
      <c r="J600" s="139"/>
      <c r="K600" s="136"/>
      <c r="L600" s="136"/>
      <c r="M600" s="136"/>
      <c r="N600" s="139"/>
      <c r="O600" s="139"/>
      <c r="P600" s="139"/>
      <c r="Q600" s="182"/>
      <c r="R600" s="182"/>
      <c r="S600" s="182"/>
      <c r="T600" s="182"/>
      <c r="U600" s="182"/>
      <c r="V600" s="182"/>
      <c r="W600" s="182"/>
      <c r="X600" s="182"/>
      <c r="Y600" s="182"/>
      <c r="Z600" s="182"/>
      <c r="AA600" s="182"/>
      <c r="AB600" s="182"/>
      <c r="AC600" s="182"/>
      <c r="AD600" s="182"/>
      <c r="AE600" s="182"/>
      <c r="AF600" s="182"/>
      <c r="AG600" s="182"/>
      <c r="AH600" s="182"/>
      <c r="AI600" s="182"/>
      <c r="AJ600" s="182"/>
      <c r="AK600" s="182"/>
      <c r="AL600" s="182"/>
      <c r="AM600" s="182"/>
      <c r="AN600" s="182"/>
      <c r="AO600" s="182"/>
      <c r="AP600" s="182"/>
      <c r="AQ600" s="182"/>
      <c r="AR600" s="182"/>
      <c r="AS600" s="182"/>
      <c r="AT600" s="182"/>
      <c r="AU600" s="182"/>
      <c r="AV600" s="182"/>
      <c r="AW600" s="182"/>
      <c r="AX600" s="182"/>
      <c r="AY600" s="182"/>
      <c r="AZ600" s="182"/>
      <c r="BA600" s="182"/>
      <c r="BB600" s="182"/>
      <c r="BC600" s="182"/>
      <c r="BD600" s="182"/>
      <c r="BE600" s="182"/>
      <c r="BF600" s="182"/>
      <c r="BG600" s="182"/>
      <c r="BH600" s="182"/>
      <c r="BI600" s="182"/>
      <c r="BJ600" s="182"/>
      <c r="BK600" s="182"/>
      <c r="BL600" s="182"/>
      <c r="BM600" s="182"/>
      <c r="BN600" s="182"/>
      <c r="BO600" s="182"/>
      <c r="BP600" s="182"/>
      <c r="BQ600" s="182"/>
      <c r="BR600" s="182"/>
      <c r="BS600" s="182"/>
      <c r="BT600" s="182"/>
      <c r="BU600" s="182"/>
      <c r="BV600" s="182"/>
      <c r="BW600" s="182"/>
      <c r="BX600" s="182"/>
      <c r="BY600" s="182"/>
      <c r="BZ600" s="182"/>
      <c r="CA600" s="182"/>
      <c r="CB600" s="182"/>
      <c r="CC600" s="182"/>
      <c r="CD600" s="182"/>
      <c r="CE600" s="182"/>
      <c r="CF600" s="182"/>
      <c r="CG600" s="182"/>
      <c r="CH600" s="182"/>
      <c r="CI600" s="182"/>
      <c r="CJ600" s="182"/>
      <c r="CK600" s="182"/>
      <c r="CL600" s="182"/>
      <c r="CM600" s="182"/>
      <c r="CN600" s="182"/>
      <c r="CO600" s="182"/>
      <c r="CP600" s="182"/>
      <c r="CQ600" s="182"/>
      <c r="CR600" s="182"/>
      <c r="CS600" s="182"/>
      <c r="CT600" s="182"/>
      <c r="CU600" s="182"/>
      <c r="CV600" s="182"/>
      <c r="CW600" s="182"/>
      <c r="CX600" s="182"/>
      <c r="CY600" s="182"/>
      <c r="CZ600" s="182"/>
      <c r="DA600" s="182"/>
      <c r="DB600" s="182"/>
      <c r="DC600" s="182"/>
      <c r="DD600" s="182"/>
      <c r="DE600" s="182"/>
      <c r="DF600" s="182"/>
      <c r="DG600" s="182"/>
      <c r="DH600" s="182"/>
      <c r="DI600" s="182"/>
      <c r="DJ600" s="182"/>
      <c r="DK600" s="182"/>
      <c r="DL600" s="182"/>
      <c r="DM600" s="182"/>
      <c r="DN600" s="182"/>
      <c r="DO600" s="182"/>
      <c r="DP600" s="182"/>
      <c r="DQ600" s="182"/>
      <c r="DR600" s="182"/>
      <c r="DS600" s="182"/>
      <c r="DT600" s="182"/>
      <c r="DU600" s="182"/>
      <c r="DV600" s="182"/>
      <c r="DW600" s="182"/>
      <c r="DX600" s="182"/>
      <c r="DY600" s="182"/>
      <c r="DZ600" s="182"/>
      <c r="EA600" s="182"/>
    </row>
    <row r="601" spans="1:131" s="183" customFormat="1" ht="21.75" customHeight="1" hidden="1">
      <c r="A601" s="6" t="s">
        <v>233</v>
      </c>
      <c r="B601" s="131"/>
      <c r="C601" s="131"/>
      <c r="D601" s="139">
        <f>1542000-1028000</f>
        <v>514000</v>
      </c>
      <c r="E601" s="139"/>
      <c r="F601" s="139">
        <f>D601</f>
        <v>514000</v>
      </c>
      <c r="G601" s="139"/>
      <c r="H601" s="139"/>
      <c r="I601" s="139"/>
      <c r="J601" s="139"/>
      <c r="K601" s="136"/>
      <c r="L601" s="136"/>
      <c r="M601" s="136"/>
      <c r="N601" s="139"/>
      <c r="O601" s="139"/>
      <c r="P601" s="139"/>
      <c r="Q601" s="182"/>
      <c r="R601" s="182"/>
      <c r="S601" s="182"/>
      <c r="T601" s="182"/>
      <c r="U601" s="182"/>
      <c r="V601" s="182"/>
      <c r="W601" s="182"/>
      <c r="X601" s="182"/>
      <c r="Y601" s="182"/>
      <c r="Z601" s="182"/>
      <c r="AA601" s="182"/>
      <c r="AB601" s="182"/>
      <c r="AC601" s="182"/>
      <c r="AD601" s="182"/>
      <c r="AE601" s="182"/>
      <c r="AF601" s="182"/>
      <c r="AG601" s="182"/>
      <c r="AH601" s="182"/>
      <c r="AI601" s="182"/>
      <c r="AJ601" s="182"/>
      <c r="AK601" s="182"/>
      <c r="AL601" s="182"/>
      <c r="AM601" s="182"/>
      <c r="AN601" s="182"/>
      <c r="AO601" s="182"/>
      <c r="AP601" s="182"/>
      <c r="AQ601" s="182"/>
      <c r="AR601" s="182"/>
      <c r="AS601" s="182"/>
      <c r="AT601" s="182"/>
      <c r="AU601" s="182"/>
      <c r="AV601" s="182"/>
      <c r="AW601" s="182"/>
      <c r="AX601" s="182"/>
      <c r="AY601" s="182"/>
      <c r="AZ601" s="182"/>
      <c r="BA601" s="182"/>
      <c r="BB601" s="182"/>
      <c r="BC601" s="182"/>
      <c r="BD601" s="182"/>
      <c r="BE601" s="182"/>
      <c r="BF601" s="182"/>
      <c r="BG601" s="182"/>
      <c r="BH601" s="182"/>
      <c r="BI601" s="182"/>
      <c r="BJ601" s="182"/>
      <c r="BK601" s="182"/>
      <c r="BL601" s="182"/>
      <c r="BM601" s="182"/>
      <c r="BN601" s="182"/>
      <c r="BO601" s="182"/>
      <c r="BP601" s="182"/>
      <c r="BQ601" s="182"/>
      <c r="BR601" s="182"/>
      <c r="BS601" s="182"/>
      <c r="BT601" s="182"/>
      <c r="BU601" s="182"/>
      <c r="BV601" s="182"/>
      <c r="BW601" s="182"/>
      <c r="BX601" s="182"/>
      <c r="BY601" s="182"/>
      <c r="BZ601" s="182"/>
      <c r="CA601" s="182"/>
      <c r="CB601" s="182"/>
      <c r="CC601" s="182"/>
      <c r="CD601" s="182"/>
      <c r="CE601" s="182"/>
      <c r="CF601" s="182"/>
      <c r="CG601" s="182"/>
      <c r="CH601" s="182"/>
      <c r="CI601" s="182"/>
      <c r="CJ601" s="182"/>
      <c r="CK601" s="182"/>
      <c r="CL601" s="182"/>
      <c r="CM601" s="182"/>
      <c r="CN601" s="182"/>
      <c r="CO601" s="182"/>
      <c r="CP601" s="182"/>
      <c r="CQ601" s="182"/>
      <c r="CR601" s="182"/>
      <c r="CS601" s="182"/>
      <c r="CT601" s="182"/>
      <c r="CU601" s="182"/>
      <c r="CV601" s="182"/>
      <c r="CW601" s="182"/>
      <c r="CX601" s="182"/>
      <c r="CY601" s="182"/>
      <c r="CZ601" s="182"/>
      <c r="DA601" s="182"/>
      <c r="DB601" s="182"/>
      <c r="DC601" s="182"/>
      <c r="DD601" s="182"/>
      <c r="DE601" s="182"/>
      <c r="DF601" s="182"/>
      <c r="DG601" s="182"/>
      <c r="DH601" s="182"/>
      <c r="DI601" s="182"/>
      <c r="DJ601" s="182"/>
      <c r="DK601" s="182"/>
      <c r="DL601" s="182"/>
      <c r="DM601" s="182"/>
      <c r="DN601" s="182"/>
      <c r="DO601" s="182"/>
      <c r="DP601" s="182"/>
      <c r="DQ601" s="182"/>
      <c r="DR601" s="182"/>
      <c r="DS601" s="182"/>
      <c r="DT601" s="182"/>
      <c r="DU601" s="182"/>
      <c r="DV601" s="182"/>
      <c r="DW601" s="182"/>
      <c r="DX601" s="182"/>
      <c r="DY601" s="182"/>
      <c r="DZ601" s="182"/>
      <c r="EA601" s="182"/>
    </row>
    <row r="602" spans="1:131" s="183" customFormat="1" ht="18" customHeight="1" hidden="1">
      <c r="A602" s="3" t="s">
        <v>275</v>
      </c>
      <c r="B602" s="131"/>
      <c r="C602" s="131"/>
      <c r="D602" s="139"/>
      <c r="E602" s="139"/>
      <c r="F602" s="139"/>
      <c r="G602" s="139"/>
      <c r="H602" s="139"/>
      <c r="I602" s="139"/>
      <c r="J602" s="139"/>
      <c r="K602" s="136"/>
      <c r="L602" s="136"/>
      <c r="M602" s="136"/>
      <c r="N602" s="139"/>
      <c r="O602" s="139"/>
      <c r="P602" s="139"/>
      <c r="Q602" s="182"/>
      <c r="R602" s="182"/>
      <c r="S602" s="182"/>
      <c r="T602" s="182"/>
      <c r="U602" s="182"/>
      <c r="V602" s="182"/>
      <c r="W602" s="182"/>
      <c r="X602" s="182"/>
      <c r="Y602" s="182"/>
      <c r="Z602" s="182"/>
      <c r="AA602" s="182"/>
      <c r="AB602" s="182"/>
      <c r="AC602" s="182"/>
      <c r="AD602" s="182"/>
      <c r="AE602" s="182"/>
      <c r="AF602" s="182"/>
      <c r="AG602" s="182"/>
      <c r="AH602" s="182"/>
      <c r="AI602" s="182"/>
      <c r="AJ602" s="182"/>
      <c r="AK602" s="182"/>
      <c r="AL602" s="182"/>
      <c r="AM602" s="182"/>
      <c r="AN602" s="182"/>
      <c r="AO602" s="182"/>
      <c r="AP602" s="182"/>
      <c r="AQ602" s="182"/>
      <c r="AR602" s="182"/>
      <c r="AS602" s="182"/>
      <c r="AT602" s="182"/>
      <c r="AU602" s="182"/>
      <c r="AV602" s="182"/>
      <c r="AW602" s="182"/>
      <c r="AX602" s="182"/>
      <c r="AY602" s="182"/>
      <c r="AZ602" s="182"/>
      <c r="BA602" s="182"/>
      <c r="BB602" s="182"/>
      <c r="BC602" s="182"/>
      <c r="BD602" s="182"/>
      <c r="BE602" s="182"/>
      <c r="BF602" s="182"/>
      <c r="BG602" s="182"/>
      <c r="BH602" s="182"/>
      <c r="BI602" s="182"/>
      <c r="BJ602" s="182"/>
      <c r="BK602" s="182"/>
      <c r="BL602" s="182"/>
      <c r="BM602" s="182"/>
      <c r="BN602" s="182"/>
      <c r="BO602" s="182"/>
      <c r="BP602" s="182"/>
      <c r="BQ602" s="182"/>
      <c r="BR602" s="182"/>
      <c r="BS602" s="182"/>
      <c r="BT602" s="182"/>
      <c r="BU602" s="182"/>
      <c r="BV602" s="182"/>
      <c r="BW602" s="182"/>
      <c r="BX602" s="182"/>
      <c r="BY602" s="182"/>
      <c r="BZ602" s="182"/>
      <c r="CA602" s="182"/>
      <c r="CB602" s="182"/>
      <c r="CC602" s="182"/>
      <c r="CD602" s="182"/>
      <c r="CE602" s="182"/>
      <c r="CF602" s="182"/>
      <c r="CG602" s="182"/>
      <c r="CH602" s="182"/>
      <c r="CI602" s="182"/>
      <c r="CJ602" s="182"/>
      <c r="CK602" s="182"/>
      <c r="CL602" s="182"/>
      <c r="CM602" s="182"/>
      <c r="CN602" s="182"/>
      <c r="CO602" s="182"/>
      <c r="CP602" s="182"/>
      <c r="CQ602" s="182"/>
      <c r="CR602" s="182"/>
      <c r="CS602" s="182"/>
      <c r="CT602" s="182"/>
      <c r="CU602" s="182"/>
      <c r="CV602" s="182"/>
      <c r="CW602" s="182"/>
      <c r="CX602" s="182"/>
      <c r="CY602" s="182"/>
      <c r="CZ602" s="182"/>
      <c r="DA602" s="182"/>
      <c r="DB602" s="182"/>
      <c r="DC602" s="182"/>
      <c r="DD602" s="182"/>
      <c r="DE602" s="182"/>
      <c r="DF602" s="182"/>
      <c r="DG602" s="182"/>
      <c r="DH602" s="182"/>
      <c r="DI602" s="182"/>
      <c r="DJ602" s="182"/>
      <c r="DK602" s="182"/>
      <c r="DL602" s="182"/>
      <c r="DM602" s="182"/>
      <c r="DN602" s="182"/>
      <c r="DO602" s="182"/>
      <c r="DP602" s="182"/>
      <c r="DQ602" s="182"/>
      <c r="DR602" s="182"/>
      <c r="DS602" s="182"/>
      <c r="DT602" s="182"/>
      <c r="DU602" s="182"/>
      <c r="DV602" s="182"/>
      <c r="DW602" s="182"/>
      <c r="DX602" s="182"/>
      <c r="DY602" s="182"/>
      <c r="DZ602" s="182"/>
      <c r="EA602" s="182"/>
    </row>
    <row r="603" spans="1:131" s="183" customFormat="1" ht="16.5" customHeight="1" hidden="1">
      <c r="A603" s="6" t="s">
        <v>286</v>
      </c>
      <c r="B603" s="131"/>
      <c r="C603" s="131"/>
      <c r="D603" s="139">
        <v>4</v>
      </c>
      <c r="E603" s="139"/>
      <c r="F603" s="139">
        <f>D603</f>
        <v>4</v>
      </c>
      <c r="G603" s="139"/>
      <c r="H603" s="139"/>
      <c r="I603" s="139"/>
      <c r="J603" s="139"/>
      <c r="K603" s="136"/>
      <c r="L603" s="136"/>
      <c r="M603" s="136"/>
      <c r="N603" s="139"/>
      <c r="O603" s="139"/>
      <c r="P603" s="139"/>
      <c r="Q603" s="182"/>
      <c r="R603" s="182"/>
      <c r="S603" s="182"/>
      <c r="T603" s="182"/>
      <c r="U603" s="182"/>
      <c r="V603" s="182"/>
      <c r="W603" s="182"/>
      <c r="X603" s="182"/>
      <c r="Y603" s="182"/>
      <c r="Z603" s="182"/>
      <c r="AA603" s="182"/>
      <c r="AB603" s="182"/>
      <c r="AC603" s="182"/>
      <c r="AD603" s="182"/>
      <c r="AE603" s="182"/>
      <c r="AF603" s="182"/>
      <c r="AG603" s="182"/>
      <c r="AH603" s="182"/>
      <c r="AI603" s="182"/>
      <c r="AJ603" s="182"/>
      <c r="AK603" s="182"/>
      <c r="AL603" s="182"/>
      <c r="AM603" s="182"/>
      <c r="AN603" s="182"/>
      <c r="AO603" s="182"/>
      <c r="AP603" s="182"/>
      <c r="AQ603" s="182"/>
      <c r="AR603" s="182"/>
      <c r="AS603" s="182"/>
      <c r="AT603" s="182"/>
      <c r="AU603" s="182"/>
      <c r="AV603" s="182"/>
      <c r="AW603" s="182"/>
      <c r="AX603" s="182"/>
      <c r="AY603" s="182"/>
      <c r="AZ603" s="182"/>
      <c r="BA603" s="182"/>
      <c r="BB603" s="182"/>
      <c r="BC603" s="182"/>
      <c r="BD603" s="182"/>
      <c r="BE603" s="182"/>
      <c r="BF603" s="182"/>
      <c r="BG603" s="182"/>
      <c r="BH603" s="182"/>
      <c r="BI603" s="182"/>
      <c r="BJ603" s="182"/>
      <c r="BK603" s="182"/>
      <c r="BL603" s="182"/>
      <c r="BM603" s="182"/>
      <c r="BN603" s="182"/>
      <c r="BO603" s="182"/>
      <c r="BP603" s="182"/>
      <c r="BQ603" s="182"/>
      <c r="BR603" s="182"/>
      <c r="BS603" s="182"/>
      <c r="BT603" s="182"/>
      <c r="BU603" s="182"/>
      <c r="BV603" s="182"/>
      <c r="BW603" s="182"/>
      <c r="BX603" s="182"/>
      <c r="BY603" s="182"/>
      <c r="BZ603" s="182"/>
      <c r="CA603" s="182"/>
      <c r="CB603" s="182"/>
      <c r="CC603" s="182"/>
      <c r="CD603" s="182"/>
      <c r="CE603" s="182"/>
      <c r="CF603" s="182"/>
      <c r="CG603" s="182"/>
      <c r="CH603" s="182"/>
      <c r="CI603" s="182"/>
      <c r="CJ603" s="182"/>
      <c r="CK603" s="182"/>
      <c r="CL603" s="182"/>
      <c r="CM603" s="182"/>
      <c r="CN603" s="182"/>
      <c r="CO603" s="182"/>
      <c r="CP603" s="182"/>
      <c r="CQ603" s="182"/>
      <c r="CR603" s="182"/>
      <c r="CS603" s="182"/>
      <c r="CT603" s="182"/>
      <c r="CU603" s="182"/>
      <c r="CV603" s="182"/>
      <c r="CW603" s="182"/>
      <c r="CX603" s="182"/>
      <c r="CY603" s="182"/>
      <c r="CZ603" s="182"/>
      <c r="DA603" s="182"/>
      <c r="DB603" s="182"/>
      <c r="DC603" s="182"/>
      <c r="DD603" s="182"/>
      <c r="DE603" s="182"/>
      <c r="DF603" s="182"/>
      <c r="DG603" s="182"/>
      <c r="DH603" s="182"/>
      <c r="DI603" s="182"/>
      <c r="DJ603" s="182"/>
      <c r="DK603" s="182"/>
      <c r="DL603" s="182"/>
      <c r="DM603" s="182"/>
      <c r="DN603" s="182"/>
      <c r="DO603" s="182"/>
      <c r="DP603" s="182"/>
      <c r="DQ603" s="182"/>
      <c r="DR603" s="182"/>
      <c r="DS603" s="182"/>
      <c r="DT603" s="182"/>
      <c r="DU603" s="182"/>
      <c r="DV603" s="182"/>
      <c r="DW603" s="182"/>
      <c r="DX603" s="182"/>
      <c r="DY603" s="182"/>
      <c r="DZ603" s="182"/>
      <c r="EA603" s="182"/>
    </row>
    <row r="604" spans="1:131" s="183" customFormat="1" ht="15.75" customHeight="1" hidden="1">
      <c r="A604" s="3" t="s">
        <v>226</v>
      </c>
      <c r="B604" s="131"/>
      <c r="C604" s="131"/>
      <c r="D604" s="139"/>
      <c r="E604" s="139"/>
      <c r="F604" s="139"/>
      <c r="G604" s="139"/>
      <c r="H604" s="139"/>
      <c r="I604" s="139"/>
      <c r="J604" s="139"/>
      <c r="K604" s="136"/>
      <c r="L604" s="136"/>
      <c r="M604" s="136"/>
      <c r="N604" s="139"/>
      <c r="O604" s="139"/>
      <c r="P604" s="139"/>
      <c r="Q604" s="182"/>
      <c r="R604" s="182"/>
      <c r="S604" s="182"/>
      <c r="T604" s="182"/>
      <c r="U604" s="182"/>
      <c r="V604" s="182"/>
      <c r="W604" s="182"/>
      <c r="X604" s="182"/>
      <c r="Y604" s="182"/>
      <c r="Z604" s="182"/>
      <c r="AA604" s="182"/>
      <c r="AB604" s="182"/>
      <c r="AC604" s="182"/>
      <c r="AD604" s="182"/>
      <c r="AE604" s="182"/>
      <c r="AF604" s="182"/>
      <c r="AG604" s="182"/>
      <c r="AH604" s="182"/>
      <c r="AI604" s="182"/>
      <c r="AJ604" s="182"/>
      <c r="AK604" s="182"/>
      <c r="AL604" s="182"/>
      <c r="AM604" s="182"/>
      <c r="AN604" s="182"/>
      <c r="AO604" s="182"/>
      <c r="AP604" s="182"/>
      <c r="AQ604" s="182"/>
      <c r="AR604" s="182"/>
      <c r="AS604" s="182"/>
      <c r="AT604" s="182"/>
      <c r="AU604" s="182"/>
      <c r="AV604" s="182"/>
      <c r="AW604" s="182"/>
      <c r="AX604" s="182"/>
      <c r="AY604" s="182"/>
      <c r="AZ604" s="182"/>
      <c r="BA604" s="182"/>
      <c r="BB604" s="182"/>
      <c r="BC604" s="182"/>
      <c r="BD604" s="182"/>
      <c r="BE604" s="182"/>
      <c r="BF604" s="182"/>
      <c r="BG604" s="182"/>
      <c r="BH604" s="182"/>
      <c r="BI604" s="182"/>
      <c r="BJ604" s="182"/>
      <c r="BK604" s="182"/>
      <c r="BL604" s="182"/>
      <c r="BM604" s="182"/>
      <c r="BN604" s="182"/>
      <c r="BO604" s="182"/>
      <c r="BP604" s="182"/>
      <c r="BQ604" s="182"/>
      <c r="BR604" s="182"/>
      <c r="BS604" s="182"/>
      <c r="BT604" s="182"/>
      <c r="BU604" s="182"/>
      <c r="BV604" s="182"/>
      <c r="BW604" s="182"/>
      <c r="BX604" s="182"/>
      <c r="BY604" s="182"/>
      <c r="BZ604" s="182"/>
      <c r="CA604" s="182"/>
      <c r="CB604" s="182"/>
      <c r="CC604" s="182"/>
      <c r="CD604" s="182"/>
      <c r="CE604" s="182"/>
      <c r="CF604" s="182"/>
      <c r="CG604" s="182"/>
      <c r="CH604" s="182"/>
      <c r="CI604" s="182"/>
      <c r="CJ604" s="182"/>
      <c r="CK604" s="182"/>
      <c r="CL604" s="182"/>
      <c r="CM604" s="182"/>
      <c r="CN604" s="182"/>
      <c r="CO604" s="182"/>
      <c r="CP604" s="182"/>
      <c r="CQ604" s="182"/>
      <c r="CR604" s="182"/>
      <c r="CS604" s="182"/>
      <c r="CT604" s="182"/>
      <c r="CU604" s="182"/>
      <c r="CV604" s="182"/>
      <c r="CW604" s="182"/>
      <c r="CX604" s="182"/>
      <c r="CY604" s="182"/>
      <c r="CZ604" s="182"/>
      <c r="DA604" s="182"/>
      <c r="DB604" s="182"/>
      <c r="DC604" s="182"/>
      <c r="DD604" s="182"/>
      <c r="DE604" s="182"/>
      <c r="DF604" s="182"/>
      <c r="DG604" s="182"/>
      <c r="DH604" s="182"/>
      <c r="DI604" s="182"/>
      <c r="DJ604" s="182"/>
      <c r="DK604" s="182"/>
      <c r="DL604" s="182"/>
      <c r="DM604" s="182"/>
      <c r="DN604" s="182"/>
      <c r="DO604" s="182"/>
      <c r="DP604" s="182"/>
      <c r="DQ604" s="182"/>
      <c r="DR604" s="182"/>
      <c r="DS604" s="182"/>
      <c r="DT604" s="182"/>
      <c r="DU604" s="182"/>
      <c r="DV604" s="182"/>
      <c r="DW604" s="182"/>
      <c r="DX604" s="182"/>
      <c r="DY604" s="182"/>
      <c r="DZ604" s="182"/>
      <c r="EA604" s="182"/>
    </row>
    <row r="605" spans="1:131" s="183" customFormat="1" ht="11.25" hidden="1">
      <c r="A605" s="6" t="s">
        <v>287</v>
      </c>
      <c r="B605" s="131"/>
      <c r="C605" s="131"/>
      <c r="D605" s="139">
        <f>D601/D603</f>
        <v>128500</v>
      </c>
      <c r="E605" s="139"/>
      <c r="F605" s="139">
        <f>D605</f>
        <v>128500</v>
      </c>
      <c r="G605" s="139"/>
      <c r="H605" s="139"/>
      <c r="I605" s="139"/>
      <c r="J605" s="139"/>
      <c r="K605" s="136"/>
      <c r="L605" s="136"/>
      <c r="M605" s="136"/>
      <c r="N605" s="139"/>
      <c r="O605" s="139"/>
      <c r="P605" s="139"/>
      <c r="Q605" s="182"/>
      <c r="R605" s="182"/>
      <c r="S605" s="182"/>
      <c r="T605" s="182"/>
      <c r="U605" s="182"/>
      <c r="V605" s="182"/>
      <c r="W605" s="182"/>
      <c r="X605" s="182"/>
      <c r="Y605" s="182"/>
      <c r="Z605" s="182"/>
      <c r="AA605" s="182"/>
      <c r="AB605" s="182"/>
      <c r="AC605" s="182"/>
      <c r="AD605" s="182"/>
      <c r="AE605" s="182"/>
      <c r="AF605" s="182"/>
      <c r="AG605" s="182"/>
      <c r="AH605" s="182"/>
      <c r="AI605" s="182"/>
      <c r="AJ605" s="182"/>
      <c r="AK605" s="182"/>
      <c r="AL605" s="182"/>
      <c r="AM605" s="182"/>
      <c r="AN605" s="182"/>
      <c r="AO605" s="182"/>
      <c r="AP605" s="182"/>
      <c r="AQ605" s="182"/>
      <c r="AR605" s="182"/>
      <c r="AS605" s="182"/>
      <c r="AT605" s="182"/>
      <c r="AU605" s="182"/>
      <c r="AV605" s="182"/>
      <c r="AW605" s="182"/>
      <c r="AX605" s="182"/>
      <c r="AY605" s="182"/>
      <c r="AZ605" s="182"/>
      <c r="BA605" s="182"/>
      <c r="BB605" s="182"/>
      <c r="BC605" s="182"/>
      <c r="BD605" s="182"/>
      <c r="BE605" s="182"/>
      <c r="BF605" s="182"/>
      <c r="BG605" s="182"/>
      <c r="BH605" s="182"/>
      <c r="BI605" s="182"/>
      <c r="BJ605" s="182"/>
      <c r="BK605" s="182"/>
      <c r="BL605" s="182"/>
      <c r="BM605" s="182"/>
      <c r="BN605" s="182"/>
      <c r="BO605" s="182"/>
      <c r="BP605" s="182"/>
      <c r="BQ605" s="182"/>
      <c r="BR605" s="182"/>
      <c r="BS605" s="182"/>
      <c r="BT605" s="182"/>
      <c r="BU605" s="182"/>
      <c r="BV605" s="182"/>
      <c r="BW605" s="182"/>
      <c r="BX605" s="182"/>
      <c r="BY605" s="182"/>
      <c r="BZ605" s="182"/>
      <c r="CA605" s="182"/>
      <c r="CB605" s="182"/>
      <c r="CC605" s="182"/>
      <c r="CD605" s="182"/>
      <c r="CE605" s="182"/>
      <c r="CF605" s="182"/>
      <c r="CG605" s="182"/>
      <c r="CH605" s="182"/>
      <c r="CI605" s="182"/>
      <c r="CJ605" s="182"/>
      <c r="CK605" s="182"/>
      <c r="CL605" s="182"/>
      <c r="CM605" s="182"/>
      <c r="CN605" s="182"/>
      <c r="CO605" s="182"/>
      <c r="CP605" s="182"/>
      <c r="CQ605" s="182"/>
      <c r="CR605" s="182"/>
      <c r="CS605" s="182"/>
      <c r="CT605" s="182"/>
      <c r="CU605" s="182"/>
      <c r="CV605" s="182"/>
      <c r="CW605" s="182"/>
      <c r="CX605" s="182"/>
      <c r="CY605" s="182"/>
      <c r="CZ605" s="182"/>
      <c r="DA605" s="182"/>
      <c r="DB605" s="182"/>
      <c r="DC605" s="182"/>
      <c r="DD605" s="182"/>
      <c r="DE605" s="182"/>
      <c r="DF605" s="182"/>
      <c r="DG605" s="182"/>
      <c r="DH605" s="182"/>
      <c r="DI605" s="182"/>
      <c r="DJ605" s="182"/>
      <c r="DK605" s="182"/>
      <c r="DL605" s="182"/>
      <c r="DM605" s="182"/>
      <c r="DN605" s="182"/>
      <c r="DO605" s="182"/>
      <c r="DP605" s="182"/>
      <c r="DQ605" s="182"/>
      <c r="DR605" s="182"/>
      <c r="DS605" s="182"/>
      <c r="DT605" s="182"/>
      <c r="DU605" s="182"/>
      <c r="DV605" s="182"/>
      <c r="DW605" s="182"/>
      <c r="DX605" s="182"/>
      <c r="DY605" s="182"/>
      <c r="DZ605" s="182"/>
      <c r="EA605" s="182"/>
    </row>
    <row r="606" spans="1:131" s="215" customFormat="1" ht="28.5" customHeight="1" hidden="1">
      <c r="A606" s="7" t="s">
        <v>470</v>
      </c>
      <c r="B606" s="35"/>
      <c r="C606" s="35"/>
      <c r="D606" s="31">
        <f>D608</f>
        <v>300000</v>
      </c>
      <c r="E606" s="31"/>
      <c r="F606" s="31">
        <f>F608</f>
        <v>300000</v>
      </c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214"/>
      <c r="R606" s="214"/>
      <c r="S606" s="214"/>
      <c r="T606" s="214"/>
      <c r="U606" s="214"/>
      <c r="V606" s="214"/>
      <c r="W606" s="214"/>
      <c r="X606" s="214"/>
      <c r="Y606" s="214"/>
      <c r="Z606" s="214"/>
      <c r="AA606" s="214"/>
      <c r="AB606" s="214"/>
      <c r="AC606" s="214"/>
      <c r="AD606" s="214"/>
      <c r="AE606" s="214"/>
      <c r="AF606" s="214"/>
      <c r="AG606" s="214"/>
      <c r="AH606" s="214"/>
      <c r="AI606" s="214"/>
      <c r="AJ606" s="214"/>
      <c r="AK606" s="214"/>
      <c r="AL606" s="214"/>
      <c r="AM606" s="214"/>
      <c r="AN606" s="214"/>
      <c r="AO606" s="214"/>
      <c r="AP606" s="214"/>
      <c r="AQ606" s="214"/>
      <c r="AR606" s="214"/>
      <c r="AS606" s="214"/>
      <c r="AT606" s="214"/>
      <c r="AU606" s="214"/>
      <c r="AV606" s="214"/>
      <c r="AW606" s="214"/>
      <c r="AX606" s="214"/>
      <c r="AY606" s="214"/>
      <c r="AZ606" s="214"/>
      <c r="BA606" s="214"/>
      <c r="BB606" s="214"/>
      <c r="BC606" s="214"/>
      <c r="BD606" s="214"/>
      <c r="BE606" s="214"/>
      <c r="BF606" s="214"/>
      <c r="BG606" s="214"/>
      <c r="BH606" s="214"/>
      <c r="BI606" s="214"/>
      <c r="BJ606" s="214"/>
      <c r="BK606" s="214"/>
      <c r="BL606" s="214"/>
      <c r="BM606" s="214"/>
      <c r="BN606" s="214"/>
      <c r="BO606" s="214"/>
      <c r="BP606" s="214"/>
      <c r="BQ606" s="214"/>
      <c r="BR606" s="214"/>
      <c r="BS606" s="214"/>
      <c r="BT606" s="214"/>
      <c r="BU606" s="214"/>
      <c r="BV606" s="214"/>
      <c r="BW606" s="214"/>
      <c r="BX606" s="214"/>
      <c r="BY606" s="214"/>
      <c r="BZ606" s="214"/>
      <c r="CA606" s="214"/>
      <c r="CB606" s="214"/>
      <c r="CC606" s="214"/>
      <c r="CD606" s="214"/>
      <c r="CE606" s="214"/>
      <c r="CF606" s="214"/>
      <c r="CG606" s="214"/>
      <c r="CH606" s="214"/>
      <c r="CI606" s="214"/>
      <c r="CJ606" s="214"/>
      <c r="CK606" s="214"/>
      <c r="CL606" s="214"/>
      <c r="CM606" s="214"/>
      <c r="CN606" s="214"/>
      <c r="CO606" s="214"/>
      <c r="CP606" s="214"/>
      <c r="CQ606" s="214"/>
      <c r="CR606" s="214"/>
      <c r="CS606" s="214"/>
      <c r="CT606" s="214"/>
      <c r="CU606" s="214"/>
      <c r="CV606" s="214"/>
      <c r="CW606" s="214"/>
      <c r="CX606" s="214"/>
      <c r="CY606" s="214"/>
      <c r="CZ606" s="214"/>
      <c r="DA606" s="214"/>
      <c r="DB606" s="214"/>
      <c r="DC606" s="214"/>
      <c r="DD606" s="214"/>
      <c r="DE606" s="214"/>
      <c r="DF606" s="214"/>
      <c r="DG606" s="214"/>
      <c r="DH606" s="214"/>
      <c r="DI606" s="214"/>
      <c r="DJ606" s="214"/>
      <c r="DK606" s="214"/>
      <c r="DL606" s="214"/>
      <c r="DM606" s="214"/>
      <c r="DN606" s="214"/>
      <c r="DO606" s="214"/>
      <c r="DP606" s="214"/>
      <c r="DQ606" s="214"/>
      <c r="DR606" s="214"/>
      <c r="DS606" s="214"/>
      <c r="DT606" s="214"/>
      <c r="DU606" s="214"/>
      <c r="DV606" s="214"/>
      <c r="DW606" s="214"/>
      <c r="DX606" s="214"/>
      <c r="DY606" s="214"/>
      <c r="DZ606" s="214"/>
      <c r="EA606" s="214"/>
    </row>
    <row r="607" spans="1:131" s="183" customFormat="1" ht="19.5" customHeight="1" hidden="1">
      <c r="A607" s="3" t="s">
        <v>77</v>
      </c>
      <c r="B607" s="131"/>
      <c r="C607" s="131"/>
      <c r="D607" s="139"/>
      <c r="E607" s="139"/>
      <c r="F607" s="139"/>
      <c r="G607" s="139"/>
      <c r="H607" s="139"/>
      <c r="I607" s="139"/>
      <c r="J607" s="139"/>
      <c r="K607" s="136"/>
      <c r="L607" s="136"/>
      <c r="M607" s="136"/>
      <c r="N607" s="139"/>
      <c r="O607" s="139"/>
      <c r="P607" s="139"/>
      <c r="Q607" s="182"/>
      <c r="R607" s="182"/>
      <c r="S607" s="182"/>
      <c r="T607" s="182"/>
      <c r="U607" s="182"/>
      <c r="V607" s="182"/>
      <c r="W607" s="182"/>
      <c r="X607" s="182"/>
      <c r="Y607" s="182"/>
      <c r="Z607" s="182"/>
      <c r="AA607" s="182"/>
      <c r="AB607" s="182"/>
      <c r="AC607" s="182"/>
      <c r="AD607" s="182"/>
      <c r="AE607" s="182"/>
      <c r="AF607" s="182"/>
      <c r="AG607" s="182"/>
      <c r="AH607" s="182"/>
      <c r="AI607" s="182"/>
      <c r="AJ607" s="182"/>
      <c r="AK607" s="182"/>
      <c r="AL607" s="182"/>
      <c r="AM607" s="182"/>
      <c r="AN607" s="182"/>
      <c r="AO607" s="182"/>
      <c r="AP607" s="182"/>
      <c r="AQ607" s="182"/>
      <c r="AR607" s="182"/>
      <c r="AS607" s="182"/>
      <c r="AT607" s="182"/>
      <c r="AU607" s="182"/>
      <c r="AV607" s="182"/>
      <c r="AW607" s="182"/>
      <c r="AX607" s="182"/>
      <c r="AY607" s="182"/>
      <c r="AZ607" s="182"/>
      <c r="BA607" s="182"/>
      <c r="BB607" s="182"/>
      <c r="BC607" s="182"/>
      <c r="BD607" s="182"/>
      <c r="BE607" s="182"/>
      <c r="BF607" s="182"/>
      <c r="BG607" s="182"/>
      <c r="BH607" s="182"/>
      <c r="BI607" s="182"/>
      <c r="BJ607" s="182"/>
      <c r="BK607" s="182"/>
      <c r="BL607" s="182"/>
      <c r="BM607" s="182"/>
      <c r="BN607" s="182"/>
      <c r="BO607" s="182"/>
      <c r="BP607" s="182"/>
      <c r="BQ607" s="182"/>
      <c r="BR607" s="182"/>
      <c r="BS607" s="182"/>
      <c r="BT607" s="182"/>
      <c r="BU607" s="182"/>
      <c r="BV607" s="182"/>
      <c r="BW607" s="182"/>
      <c r="BX607" s="182"/>
      <c r="BY607" s="182"/>
      <c r="BZ607" s="182"/>
      <c r="CA607" s="182"/>
      <c r="CB607" s="182"/>
      <c r="CC607" s="182"/>
      <c r="CD607" s="182"/>
      <c r="CE607" s="182"/>
      <c r="CF607" s="182"/>
      <c r="CG607" s="182"/>
      <c r="CH607" s="182"/>
      <c r="CI607" s="182"/>
      <c r="CJ607" s="182"/>
      <c r="CK607" s="182"/>
      <c r="CL607" s="182"/>
      <c r="CM607" s="182"/>
      <c r="CN607" s="182"/>
      <c r="CO607" s="182"/>
      <c r="CP607" s="182"/>
      <c r="CQ607" s="182"/>
      <c r="CR607" s="182"/>
      <c r="CS607" s="182"/>
      <c r="CT607" s="182"/>
      <c r="CU607" s="182"/>
      <c r="CV607" s="182"/>
      <c r="CW607" s="182"/>
      <c r="CX607" s="182"/>
      <c r="CY607" s="182"/>
      <c r="CZ607" s="182"/>
      <c r="DA607" s="182"/>
      <c r="DB607" s="182"/>
      <c r="DC607" s="182"/>
      <c r="DD607" s="182"/>
      <c r="DE607" s="182"/>
      <c r="DF607" s="182"/>
      <c r="DG607" s="182"/>
      <c r="DH607" s="182"/>
      <c r="DI607" s="182"/>
      <c r="DJ607" s="182"/>
      <c r="DK607" s="182"/>
      <c r="DL607" s="182"/>
      <c r="DM607" s="182"/>
      <c r="DN607" s="182"/>
      <c r="DO607" s="182"/>
      <c r="DP607" s="182"/>
      <c r="DQ607" s="182"/>
      <c r="DR607" s="182"/>
      <c r="DS607" s="182"/>
      <c r="DT607" s="182"/>
      <c r="DU607" s="182"/>
      <c r="DV607" s="182"/>
      <c r="DW607" s="182"/>
      <c r="DX607" s="182"/>
      <c r="DY607" s="182"/>
      <c r="DZ607" s="182"/>
      <c r="EA607" s="182"/>
    </row>
    <row r="608" spans="1:131" s="183" customFormat="1" ht="11.25" hidden="1">
      <c r="A608" s="6" t="s">
        <v>233</v>
      </c>
      <c r="B608" s="131"/>
      <c r="C608" s="131"/>
      <c r="D608" s="139">
        <f>500000-200000</f>
        <v>300000</v>
      </c>
      <c r="E608" s="139"/>
      <c r="F608" s="139">
        <f>D608</f>
        <v>300000</v>
      </c>
      <c r="G608" s="139"/>
      <c r="H608" s="139"/>
      <c r="I608" s="139"/>
      <c r="J608" s="139"/>
      <c r="K608" s="136"/>
      <c r="L608" s="136"/>
      <c r="M608" s="136"/>
      <c r="N608" s="139"/>
      <c r="O608" s="139"/>
      <c r="P608" s="139"/>
      <c r="Q608" s="182"/>
      <c r="R608" s="182"/>
      <c r="S608" s="182"/>
      <c r="T608" s="182"/>
      <c r="U608" s="182"/>
      <c r="V608" s="182"/>
      <c r="W608" s="182"/>
      <c r="X608" s="182"/>
      <c r="Y608" s="182"/>
      <c r="Z608" s="182"/>
      <c r="AA608" s="182"/>
      <c r="AB608" s="182"/>
      <c r="AC608" s="182"/>
      <c r="AD608" s="182"/>
      <c r="AE608" s="182"/>
      <c r="AF608" s="182"/>
      <c r="AG608" s="182"/>
      <c r="AH608" s="182"/>
      <c r="AI608" s="182"/>
      <c r="AJ608" s="182"/>
      <c r="AK608" s="182"/>
      <c r="AL608" s="182"/>
      <c r="AM608" s="182"/>
      <c r="AN608" s="182"/>
      <c r="AO608" s="182"/>
      <c r="AP608" s="182"/>
      <c r="AQ608" s="182"/>
      <c r="AR608" s="182"/>
      <c r="AS608" s="182"/>
      <c r="AT608" s="182"/>
      <c r="AU608" s="182"/>
      <c r="AV608" s="182"/>
      <c r="AW608" s="182"/>
      <c r="AX608" s="182"/>
      <c r="AY608" s="182"/>
      <c r="AZ608" s="182"/>
      <c r="BA608" s="182"/>
      <c r="BB608" s="182"/>
      <c r="BC608" s="182"/>
      <c r="BD608" s="182"/>
      <c r="BE608" s="182"/>
      <c r="BF608" s="182"/>
      <c r="BG608" s="182"/>
      <c r="BH608" s="182"/>
      <c r="BI608" s="182"/>
      <c r="BJ608" s="182"/>
      <c r="BK608" s="182"/>
      <c r="BL608" s="182"/>
      <c r="BM608" s="182"/>
      <c r="BN608" s="182"/>
      <c r="BO608" s="182"/>
      <c r="BP608" s="182"/>
      <c r="BQ608" s="182"/>
      <c r="BR608" s="182"/>
      <c r="BS608" s="182"/>
      <c r="BT608" s="182"/>
      <c r="BU608" s="182"/>
      <c r="BV608" s="182"/>
      <c r="BW608" s="182"/>
      <c r="BX608" s="182"/>
      <c r="BY608" s="182"/>
      <c r="BZ608" s="182"/>
      <c r="CA608" s="182"/>
      <c r="CB608" s="182"/>
      <c r="CC608" s="182"/>
      <c r="CD608" s="182"/>
      <c r="CE608" s="182"/>
      <c r="CF608" s="182"/>
      <c r="CG608" s="182"/>
      <c r="CH608" s="182"/>
      <c r="CI608" s="182"/>
      <c r="CJ608" s="182"/>
      <c r="CK608" s="182"/>
      <c r="CL608" s="182"/>
      <c r="CM608" s="182"/>
      <c r="CN608" s="182"/>
      <c r="CO608" s="182"/>
      <c r="CP608" s="182"/>
      <c r="CQ608" s="182"/>
      <c r="CR608" s="182"/>
      <c r="CS608" s="182"/>
      <c r="CT608" s="182"/>
      <c r="CU608" s="182"/>
      <c r="CV608" s="182"/>
      <c r="CW608" s="182"/>
      <c r="CX608" s="182"/>
      <c r="CY608" s="182"/>
      <c r="CZ608" s="182"/>
      <c r="DA608" s="182"/>
      <c r="DB608" s="182"/>
      <c r="DC608" s="182"/>
      <c r="DD608" s="182"/>
      <c r="DE608" s="182"/>
      <c r="DF608" s="182"/>
      <c r="DG608" s="182"/>
      <c r="DH608" s="182"/>
      <c r="DI608" s="182"/>
      <c r="DJ608" s="182"/>
      <c r="DK608" s="182"/>
      <c r="DL608" s="182"/>
      <c r="DM608" s="182"/>
      <c r="DN608" s="182"/>
      <c r="DO608" s="182"/>
      <c r="DP608" s="182"/>
      <c r="DQ608" s="182"/>
      <c r="DR608" s="182"/>
      <c r="DS608" s="182"/>
      <c r="DT608" s="182"/>
      <c r="DU608" s="182"/>
      <c r="DV608" s="182"/>
      <c r="DW608" s="182"/>
      <c r="DX608" s="182"/>
      <c r="DY608" s="182"/>
      <c r="DZ608" s="182"/>
      <c r="EA608" s="182"/>
    </row>
    <row r="609" spans="1:131" s="183" customFormat="1" ht="11.25" hidden="1">
      <c r="A609" s="3" t="s">
        <v>275</v>
      </c>
      <c r="B609" s="131"/>
      <c r="C609" s="131"/>
      <c r="D609" s="139"/>
      <c r="E609" s="139"/>
      <c r="F609" s="139"/>
      <c r="G609" s="139"/>
      <c r="H609" s="139"/>
      <c r="I609" s="139"/>
      <c r="J609" s="139"/>
      <c r="K609" s="136"/>
      <c r="L609" s="136"/>
      <c r="M609" s="136"/>
      <c r="N609" s="139"/>
      <c r="O609" s="139"/>
      <c r="P609" s="139"/>
      <c r="Q609" s="182"/>
      <c r="R609" s="182"/>
      <c r="S609" s="182"/>
      <c r="T609" s="182"/>
      <c r="U609" s="182"/>
      <c r="V609" s="182"/>
      <c r="W609" s="182"/>
      <c r="X609" s="182"/>
      <c r="Y609" s="182"/>
      <c r="Z609" s="182"/>
      <c r="AA609" s="182"/>
      <c r="AB609" s="182"/>
      <c r="AC609" s="182"/>
      <c r="AD609" s="182"/>
      <c r="AE609" s="182"/>
      <c r="AF609" s="182"/>
      <c r="AG609" s="182"/>
      <c r="AH609" s="182"/>
      <c r="AI609" s="182"/>
      <c r="AJ609" s="182"/>
      <c r="AK609" s="182"/>
      <c r="AL609" s="182"/>
      <c r="AM609" s="182"/>
      <c r="AN609" s="182"/>
      <c r="AO609" s="182"/>
      <c r="AP609" s="182"/>
      <c r="AQ609" s="182"/>
      <c r="AR609" s="182"/>
      <c r="AS609" s="182"/>
      <c r="AT609" s="182"/>
      <c r="AU609" s="182"/>
      <c r="AV609" s="182"/>
      <c r="AW609" s="182"/>
      <c r="AX609" s="182"/>
      <c r="AY609" s="182"/>
      <c r="AZ609" s="182"/>
      <c r="BA609" s="182"/>
      <c r="BB609" s="182"/>
      <c r="BC609" s="182"/>
      <c r="BD609" s="182"/>
      <c r="BE609" s="182"/>
      <c r="BF609" s="182"/>
      <c r="BG609" s="182"/>
      <c r="BH609" s="182"/>
      <c r="BI609" s="182"/>
      <c r="BJ609" s="182"/>
      <c r="BK609" s="182"/>
      <c r="BL609" s="182"/>
      <c r="BM609" s="182"/>
      <c r="BN609" s="182"/>
      <c r="BO609" s="182"/>
      <c r="BP609" s="182"/>
      <c r="BQ609" s="182"/>
      <c r="BR609" s="182"/>
      <c r="BS609" s="182"/>
      <c r="BT609" s="182"/>
      <c r="BU609" s="182"/>
      <c r="BV609" s="182"/>
      <c r="BW609" s="182"/>
      <c r="BX609" s="182"/>
      <c r="BY609" s="182"/>
      <c r="BZ609" s="182"/>
      <c r="CA609" s="182"/>
      <c r="CB609" s="182"/>
      <c r="CC609" s="182"/>
      <c r="CD609" s="182"/>
      <c r="CE609" s="182"/>
      <c r="CF609" s="182"/>
      <c r="CG609" s="182"/>
      <c r="CH609" s="182"/>
      <c r="CI609" s="182"/>
      <c r="CJ609" s="182"/>
      <c r="CK609" s="182"/>
      <c r="CL609" s="182"/>
      <c r="CM609" s="182"/>
      <c r="CN609" s="182"/>
      <c r="CO609" s="182"/>
      <c r="CP609" s="182"/>
      <c r="CQ609" s="182"/>
      <c r="CR609" s="182"/>
      <c r="CS609" s="182"/>
      <c r="CT609" s="182"/>
      <c r="CU609" s="182"/>
      <c r="CV609" s="182"/>
      <c r="CW609" s="182"/>
      <c r="CX609" s="182"/>
      <c r="CY609" s="182"/>
      <c r="CZ609" s="182"/>
      <c r="DA609" s="182"/>
      <c r="DB609" s="182"/>
      <c r="DC609" s="182"/>
      <c r="DD609" s="182"/>
      <c r="DE609" s="182"/>
      <c r="DF609" s="182"/>
      <c r="DG609" s="182"/>
      <c r="DH609" s="182"/>
      <c r="DI609" s="182"/>
      <c r="DJ609" s="182"/>
      <c r="DK609" s="182"/>
      <c r="DL609" s="182"/>
      <c r="DM609" s="182"/>
      <c r="DN609" s="182"/>
      <c r="DO609" s="182"/>
      <c r="DP609" s="182"/>
      <c r="DQ609" s="182"/>
      <c r="DR609" s="182"/>
      <c r="DS609" s="182"/>
      <c r="DT609" s="182"/>
      <c r="DU609" s="182"/>
      <c r="DV609" s="182"/>
      <c r="DW609" s="182"/>
      <c r="DX609" s="182"/>
      <c r="DY609" s="182"/>
      <c r="DZ609" s="182"/>
      <c r="EA609" s="182"/>
    </row>
    <row r="610" spans="1:131" s="183" customFormat="1" ht="11.25" hidden="1">
      <c r="A610" s="6" t="s">
        <v>286</v>
      </c>
      <c r="B610" s="131"/>
      <c r="C610" s="131"/>
      <c r="D610" s="139">
        <v>3</v>
      </c>
      <c r="E610" s="139"/>
      <c r="F610" s="139">
        <f>D610</f>
        <v>3</v>
      </c>
      <c r="G610" s="139"/>
      <c r="H610" s="139"/>
      <c r="I610" s="139"/>
      <c r="J610" s="139"/>
      <c r="K610" s="136"/>
      <c r="L610" s="136"/>
      <c r="M610" s="136"/>
      <c r="N610" s="139"/>
      <c r="O610" s="139"/>
      <c r="P610" s="139"/>
      <c r="Q610" s="182"/>
      <c r="R610" s="182"/>
      <c r="S610" s="182"/>
      <c r="T610" s="182"/>
      <c r="U610" s="182"/>
      <c r="V610" s="182"/>
      <c r="W610" s="182"/>
      <c r="X610" s="182"/>
      <c r="Y610" s="182"/>
      <c r="Z610" s="182"/>
      <c r="AA610" s="182"/>
      <c r="AB610" s="182"/>
      <c r="AC610" s="182"/>
      <c r="AD610" s="182"/>
      <c r="AE610" s="182"/>
      <c r="AF610" s="182"/>
      <c r="AG610" s="182"/>
      <c r="AH610" s="182"/>
      <c r="AI610" s="182"/>
      <c r="AJ610" s="182"/>
      <c r="AK610" s="182"/>
      <c r="AL610" s="182"/>
      <c r="AM610" s="182"/>
      <c r="AN610" s="182"/>
      <c r="AO610" s="182"/>
      <c r="AP610" s="182"/>
      <c r="AQ610" s="182"/>
      <c r="AR610" s="182"/>
      <c r="AS610" s="182"/>
      <c r="AT610" s="182"/>
      <c r="AU610" s="182"/>
      <c r="AV610" s="182"/>
      <c r="AW610" s="182"/>
      <c r="AX610" s="182"/>
      <c r="AY610" s="182"/>
      <c r="AZ610" s="182"/>
      <c r="BA610" s="182"/>
      <c r="BB610" s="182"/>
      <c r="BC610" s="182"/>
      <c r="BD610" s="182"/>
      <c r="BE610" s="182"/>
      <c r="BF610" s="182"/>
      <c r="BG610" s="182"/>
      <c r="BH610" s="182"/>
      <c r="BI610" s="182"/>
      <c r="BJ610" s="182"/>
      <c r="BK610" s="182"/>
      <c r="BL610" s="182"/>
      <c r="BM610" s="182"/>
      <c r="BN610" s="182"/>
      <c r="BO610" s="182"/>
      <c r="BP610" s="182"/>
      <c r="BQ610" s="182"/>
      <c r="BR610" s="182"/>
      <c r="BS610" s="182"/>
      <c r="BT610" s="182"/>
      <c r="BU610" s="182"/>
      <c r="BV610" s="182"/>
      <c r="BW610" s="182"/>
      <c r="BX610" s="182"/>
      <c r="BY610" s="182"/>
      <c r="BZ610" s="182"/>
      <c r="CA610" s="182"/>
      <c r="CB610" s="182"/>
      <c r="CC610" s="182"/>
      <c r="CD610" s="182"/>
      <c r="CE610" s="182"/>
      <c r="CF610" s="182"/>
      <c r="CG610" s="182"/>
      <c r="CH610" s="182"/>
      <c r="CI610" s="182"/>
      <c r="CJ610" s="182"/>
      <c r="CK610" s="182"/>
      <c r="CL610" s="182"/>
      <c r="CM610" s="182"/>
      <c r="CN610" s="182"/>
      <c r="CO610" s="182"/>
      <c r="CP610" s="182"/>
      <c r="CQ610" s="182"/>
      <c r="CR610" s="182"/>
      <c r="CS610" s="182"/>
      <c r="CT610" s="182"/>
      <c r="CU610" s="182"/>
      <c r="CV610" s="182"/>
      <c r="CW610" s="182"/>
      <c r="CX610" s="182"/>
      <c r="CY610" s="182"/>
      <c r="CZ610" s="182"/>
      <c r="DA610" s="182"/>
      <c r="DB610" s="182"/>
      <c r="DC610" s="182"/>
      <c r="DD610" s="182"/>
      <c r="DE610" s="182"/>
      <c r="DF610" s="182"/>
      <c r="DG610" s="182"/>
      <c r="DH610" s="182"/>
      <c r="DI610" s="182"/>
      <c r="DJ610" s="182"/>
      <c r="DK610" s="182"/>
      <c r="DL610" s="182"/>
      <c r="DM610" s="182"/>
      <c r="DN610" s="182"/>
      <c r="DO610" s="182"/>
      <c r="DP610" s="182"/>
      <c r="DQ610" s="182"/>
      <c r="DR610" s="182"/>
      <c r="DS610" s="182"/>
      <c r="DT610" s="182"/>
      <c r="DU610" s="182"/>
      <c r="DV610" s="182"/>
      <c r="DW610" s="182"/>
      <c r="DX610" s="182"/>
      <c r="DY610" s="182"/>
      <c r="DZ610" s="182"/>
      <c r="EA610" s="182"/>
    </row>
    <row r="611" spans="1:131" s="183" customFormat="1" ht="15.75" customHeight="1" hidden="1">
      <c r="A611" s="3" t="s">
        <v>226</v>
      </c>
      <c r="B611" s="131"/>
      <c r="C611" s="131"/>
      <c r="D611" s="139"/>
      <c r="E611" s="139"/>
      <c r="F611" s="139"/>
      <c r="G611" s="139"/>
      <c r="H611" s="139"/>
      <c r="I611" s="139"/>
      <c r="J611" s="139"/>
      <c r="K611" s="136"/>
      <c r="L611" s="136"/>
      <c r="M611" s="136"/>
      <c r="N611" s="139"/>
      <c r="O611" s="139"/>
      <c r="P611" s="139"/>
      <c r="Q611" s="182"/>
      <c r="R611" s="182"/>
      <c r="S611" s="182"/>
      <c r="T611" s="182"/>
      <c r="U611" s="182"/>
      <c r="V611" s="182"/>
      <c r="W611" s="182"/>
      <c r="X611" s="182"/>
      <c r="Y611" s="182"/>
      <c r="Z611" s="182"/>
      <c r="AA611" s="182"/>
      <c r="AB611" s="182"/>
      <c r="AC611" s="182"/>
      <c r="AD611" s="182"/>
      <c r="AE611" s="182"/>
      <c r="AF611" s="182"/>
      <c r="AG611" s="182"/>
      <c r="AH611" s="182"/>
      <c r="AI611" s="182"/>
      <c r="AJ611" s="182"/>
      <c r="AK611" s="182"/>
      <c r="AL611" s="182"/>
      <c r="AM611" s="182"/>
      <c r="AN611" s="182"/>
      <c r="AO611" s="182"/>
      <c r="AP611" s="182"/>
      <c r="AQ611" s="182"/>
      <c r="AR611" s="182"/>
      <c r="AS611" s="182"/>
      <c r="AT611" s="182"/>
      <c r="AU611" s="182"/>
      <c r="AV611" s="182"/>
      <c r="AW611" s="182"/>
      <c r="AX611" s="182"/>
      <c r="AY611" s="182"/>
      <c r="AZ611" s="182"/>
      <c r="BA611" s="182"/>
      <c r="BB611" s="182"/>
      <c r="BC611" s="182"/>
      <c r="BD611" s="182"/>
      <c r="BE611" s="182"/>
      <c r="BF611" s="182"/>
      <c r="BG611" s="182"/>
      <c r="BH611" s="182"/>
      <c r="BI611" s="182"/>
      <c r="BJ611" s="182"/>
      <c r="BK611" s="182"/>
      <c r="BL611" s="182"/>
      <c r="BM611" s="182"/>
      <c r="BN611" s="182"/>
      <c r="BO611" s="182"/>
      <c r="BP611" s="182"/>
      <c r="BQ611" s="182"/>
      <c r="BR611" s="182"/>
      <c r="BS611" s="182"/>
      <c r="BT611" s="182"/>
      <c r="BU611" s="182"/>
      <c r="BV611" s="182"/>
      <c r="BW611" s="182"/>
      <c r="BX611" s="182"/>
      <c r="BY611" s="182"/>
      <c r="BZ611" s="182"/>
      <c r="CA611" s="182"/>
      <c r="CB611" s="182"/>
      <c r="CC611" s="182"/>
      <c r="CD611" s="182"/>
      <c r="CE611" s="182"/>
      <c r="CF611" s="182"/>
      <c r="CG611" s="182"/>
      <c r="CH611" s="182"/>
      <c r="CI611" s="182"/>
      <c r="CJ611" s="182"/>
      <c r="CK611" s="182"/>
      <c r="CL611" s="182"/>
      <c r="CM611" s="182"/>
      <c r="CN611" s="182"/>
      <c r="CO611" s="182"/>
      <c r="CP611" s="182"/>
      <c r="CQ611" s="182"/>
      <c r="CR611" s="182"/>
      <c r="CS611" s="182"/>
      <c r="CT611" s="182"/>
      <c r="CU611" s="182"/>
      <c r="CV611" s="182"/>
      <c r="CW611" s="182"/>
      <c r="CX611" s="182"/>
      <c r="CY611" s="182"/>
      <c r="CZ611" s="182"/>
      <c r="DA611" s="182"/>
      <c r="DB611" s="182"/>
      <c r="DC611" s="182"/>
      <c r="DD611" s="182"/>
      <c r="DE611" s="182"/>
      <c r="DF611" s="182"/>
      <c r="DG611" s="182"/>
      <c r="DH611" s="182"/>
      <c r="DI611" s="182"/>
      <c r="DJ611" s="182"/>
      <c r="DK611" s="182"/>
      <c r="DL611" s="182"/>
      <c r="DM611" s="182"/>
      <c r="DN611" s="182"/>
      <c r="DO611" s="182"/>
      <c r="DP611" s="182"/>
      <c r="DQ611" s="182"/>
      <c r="DR611" s="182"/>
      <c r="DS611" s="182"/>
      <c r="DT611" s="182"/>
      <c r="DU611" s="182"/>
      <c r="DV611" s="182"/>
      <c r="DW611" s="182"/>
      <c r="DX611" s="182"/>
      <c r="DY611" s="182"/>
      <c r="DZ611" s="182"/>
      <c r="EA611" s="182"/>
    </row>
    <row r="612" spans="1:131" s="183" customFormat="1" ht="11.25" hidden="1">
      <c r="A612" s="6" t="s">
        <v>287</v>
      </c>
      <c r="B612" s="131"/>
      <c r="C612" s="131"/>
      <c r="D612" s="139">
        <f>D608/D610</f>
        <v>100000</v>
      </c>
      <c r="E612" s="139"/>
      <c r="F612" s="139">
        <f>D612</f>
        <v>100000</v>
      </c>
      <c r="G612" s="139"/>
      <c r="H612" s="139"/>
      <c r="I612" s="139"/>
      <c r="J612" s="139"/>
      <c r="K612" s="136"/>
      <c r="L612" s="136"/>
      <c r="M612" s="136"/>
      <c r="N612" s="139"/>
      <c r="O612" s="139"/>
      <c r="P612" s="139"/>
      <c r="Q612" s="182"/>
      <c r="R612" s="182"/>
      <c r="S612" s="182"/>
      <c r="T612" s="182"/>
      <c r="U612" s="182"/>
      <c r="V612" s="182"/>
      <c r="W612" s="182"/>
      <c r="X612" s="182"/>
      <c r="Y612" s="182"/>
      <c r="Z612" s="182"/>
      <c r="AA612" s="182"/>
      <c r="AB612" s="182"/>
      <c r="AC612" s="182"/>
      <c r="AD612" s="182"/>
      <c r="AE612" s="182"/>
      <c r="AF612" s="182"/>
      <c r="AG612" s="182"/>
      <c r="AH612" s="182"/>
      <c r="AI612" s="182"/>
      <c r="AJ612" s="182"/>
      <c r="AK612" s="182"/>
      <c r="AL612" s="182"/>
      <c r="AM612" s="182"/>
      <c r="AN612" s="182"/>
      <c r="AO612" s="182"/>
      <c r="AP612" s="182"/>
      <c r="AQ612" s="182"/>
      <c r="AR612" s="182"/>
      <c r="AS612" s="182"/>
      <c r="AT612" s="182"/>
      <c r="AU612" s="182"/>
      <c r="AV612" s="182"/>
      <c r="AW612" s="182"/>
      <c r="AX612" s="182"/>
      <c r="AY612" s="182"/>
      <c r="AZ612" s="182"/>
      <c r="BA612" s="182"/>
      <c r="BB612" s="182"/>
      <c r="BC612" s="182"/>
      <c r="BD612" s="182"/>
      <c r="BE612" s="182"/>
      <c r="BF612" s="182"/>
      <c r="BG612" s="182"/>
      <c r="BH612" s="182"/>
      <c r="BI612" s="182"/>
      <c r="BJ612" s="182"/>
      <c r="BK612" s="182"/>
      <c r="BL612" s="182"/>
      <c r="BM612" s="182"/>
      <c r="BN612" s="182"/>
      <c r="BO612" s="182"/>
      <c r="BP612" s="182"/>
      <c r="BQ612" s="182"/>
      <c r="BR612" s="182"/>
      <c r="BS612" s="182"/>
      <c r="BT612" s="182"/>
      <c r="BU612" s="182"/>
      <c r="BV612" s="182"/>
      <c r="BW612" s="182"/>
      <c r="BX612" s="182"/>
      <c r="BY612" s="182"/>
      <c r="BZ612" s="182"/>
      <c r="CA612" s="182"/>
      <c r="CB612" s="182"/>
      <c r="CC612" s="182"/>
      <c r="CD612" s="182"/>
      <c r="CE612" s="182"/>
      <c r="CF612" s="182"/>
      <c r="CG612" s="182"/>
      <c r="CH612" s="182"/>
      <c r="CI612" s="182"/>
      <c r="CJ612" s="182"/>
      <c r="CK612" s="182"/>
      <c r="CL612" s="182"/>
      <c r="CM612" s="182"/>
      <c r="CN612" s="182"/>
      <c r="CO612" s="182"/>
      <c r="CP612" s="182"/>
      <c r="CQ612" s="182"/>
      <c r="CR612" s="182"/>
      <c r="CS612" s="182"/>
      <c r="CT612" s="182"/>
      <c r="CU612" s="182"/>
      <c r="CV612" s="182"/>
      <c r="CW612" s="182"/>
      <c r="CX612" s="182"/>
      <c r="CY612" s="182"/>
      <c r="CZ612" s="182"/>
      <c r="DA612" s="182"/>
      <c r="DB612" s="182"/>
      <c r="DC612" s="182"/>
      <c r="DD612" s="182"/>
      <c r="DE612" s="182"/>
      <c r="DF612" s="182"/>
      <c r="DG612" s="182"/>
      <c r="DH612" s="182"/>
      <c r="DI612" s="182"/>
      <c r="DJ612" s="182"/>
      <c r="DK612" s="182"/>
      <c r="DL612" s="182"/>
      <c r="DM612" s="182"/>
      <c r="DN612" s="182"/>
      <c r="DO612" s="182"/>
      <c r="DP612" s="182"/>
      <c r="DQ612" s="182"/>
      <c r="DR612" s="182"/>
      <c r="DS612" s="182"/>
      <c r="DT612" s="182"/>
      <c r="DU612" s="182"/>
      <c r="DV612" s="182"/>
      <c r="DW612" s="182"/>
      <c r="DX612" s="182"/>
      <c r="DY612" s="182"/>
      <c r="DZ612" s="182"/>
      <c r="EA612" s="182"/>
    </row>
    <row r="613" spans="1:137" s="75" customFormat="1" ht="33" customHeight="1" hidden="1">
      <c r="A613" s="85" t="s">
        <v>503</v>
      </c>
      <c r="B613" s="73"/>
      <c r="C613" s="73"/>
      <c r="D613" s="84">
        <f>D615</f>
        <v>45000</v>
      </c>
      <c r="E613" s="84"/>
      <c r="F613" s="84">
        <f>D613</f>
        <v>45000</v>
      </c>
      <c r="G613" s="84">
        <f>G615</f>
        <v>48000</v>
      </c>
      <c r="H613" s="84"/>
      <c r="I613" s="84"/>
      <c r="J613" s="84">
        <f>G613</f>
        <v>48000</v>
      </c>
      <c r="K613" s="84"/>
      <c r="L613" s="84"/>
      <c r="M613" s="84"/>
      <c r="N613" s="84">
        <f>N615</f>
        <v>50900</v>
      </c>
      <c r="O613" s="84"/>
      <c r="P613" s="84">
        <f>N613</f>
        <v>50900</v>
      </c>
      <c r="EB613" s="76"/>
      <c r="EC613" s="76"/>
      <c r="ED613" s="76"/>
      <c r="EE613" s="76"/>
      <c r="EF613" s="76"/>
      <c r="EG613" s="76"/>
    </row>
    <row r="614" spans="1:137" s="185" customFormat="1" ht="11.25" hidden="1">
      <c r="A614" s="3" t="s">
        <v>77</v>
      </c>
      <c r="B614" s="184"/>
      <c r="C614" s="18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EB614" s="186"/>
      <c r="EC614" s="186"/>
      <c r="ED614" s="186"/>
      <c r="EE614" s="186"/>
      <c r="EF614" s="186"/>
      <c r="EG614" s="186"/>
    </row>
    <row r="615" spans="1:137" s="185" customFormat="1" ht="22.5" hidden="1">
      <c r="A615" s="72" t="s">
        <v>387</v>
      </c>
      <c r="B615" s="184"/>
      <c r="C615" s="184"/>
      <c r="D615" s="74">
        <v>45000</v>
      </c>
      <c r="E615" s="74"/>
      <c r="F615" s="74">
        <f>D615</f>
        <v>45000</v>
      </c>
      <c r="G615" s="74">
        <v>48000</v>
      </c>
      <c r="H615" s="74"/>
      <c r="I615" s="74"/>
      <c r="J615" s="74">
        <f>G615</f>
        <v>48000</v>
      </c>
      <c r="K615" s="74"/>
      <c r="L615" s="74"/>
      <c r="M615" s="74"/>
      <c r="N615" s="74">
        <v>50900</v>
      </c>
      <c r="O615" s="74"/>
      <c r="P615" s="74">
        <f>N615</f>
        <v>50900</v>
      </c>
      <c r="EB615" s="186"/>
      <c r="EC615" s="186"/>
      <c r="ED615" s="186"/>
      <c r="EE615" s="186"/>
      <c r="EF615" s="186"/>
      <c r="EG615" s="186"/>
    </row>
    <row r="616" spans="1:137" s="185" customFormat="1" ht="11.25" hidden="1">
      <c r="A616" s="165" t="s">
        <v>275</v>
      </c>
      <c r="B616" s="184"/>
      <c r="C616" s="18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EB616" s="186"/>
      <c r="EC616" s="186"/>
      <c r="ED616" s="186"/>
      <c r="EE616" s="186"/>
      <c r="EF616" s="186"/>
      <c r="EG616" s="186"/>
    </row>
    <row r="617" spans="1:137" s="185" customFormat="1" ht="22.5" hidden="1">
      <c r="A617" s="72" t="s">
        <v>551</v>
      </c>
      <c r="B617" s="184"/>
      <c r="C617" s="184"/>
      <c r="D617" s="74">
        <v>12</v>
      </c>
      <c r="E617" s="74"/>
      <c r="F617" s="74">
        <f>D617</f>
        <v>12</v>
      </c>
      <c r="G617" s="74">
        <v>12</v>
      </c>
      <c r="H617" s="74"/>
      <c r="I617" s="74"/>
      <c r="J617" s="74">
        <f>G617</f>
        <v>12</v>
      </c>
      <c r="K617" s="74"/>
      <c r="L617" s="74"/>
      <c r="M617" s="74"/>
      <c r="N617" s="74">
        <v>12</v>
      </c>
      <c r="O617" s="74"/>
      <c r="P617" s="74">
        <f>N617</f>
        <v>12</v>
      </c>
      <c r="EB617" s="186"/>
      <c r="EC617" s="186"/>
      <c r="ED617" s="186"/>
      <c r="EE617" s="186"/>
      <c r="EF617" s="186"/>
      <c r="EG617" s="186"/>
    </row>
    <row r="618" spans="1:137" s="185" customFormat="1" ht="11.25" hidden="1">
      <c r="A618" s="165" t="s">
        <v>226</v>
      </c>
      <c r="B618" s="184"/>
      <c r="C618" s="18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EB618" s="186"/>
      <c r="EC618" s="186"/>
      <c r="ED618" s="186"/>
      <c r="EE618" s="186"/>
      <c r="EF618" s="186"/>
      <c r="EG618" s="186"/>
    </row>
    <row r="619" spans="1:137" s="185" customFormat="1" ht="22.5" hidden="1">
      <c r="A619" s="72" t="s">
        <v>388</v>
      </c>
      <c r="B619" s="184"/>
      <c r="C619" s="184"/>
      <c r="D619" s="74">
        <f>D615/D617</f>
        <v>3750</v>
      </c>
      <c r="E619" s="74"/>
      <c r="F619" s="74">
        <f>D619</f>
        <v>3750</v>
      </c>
      <c r="G619" s="74">
        <f>G615/G617</f>
        <v>4000</v>
      </c>
      <c r="H619" s="74"/>
      <c r="I619" s="74"/>
      <c r="J619" s="74">
        <f>G619</f>
        <v>4000</v>
      </c>
      <c r="K619" s="74"/>
      <c r="L619" s="74"/>
      <c r="M619" s="74"/>
      <c r="N619" s="74">
        <f>N615/N617</f>
        <v>4241.666666666667</v>
      </c>
      <c r="O619" s="74"/>
      <c r="P619" s="74">
        <f>N619</f>
        <v>4241.666666666667</v>
      </c>
      <c r="EB619" s="186"/>
      <c r="EC619" s="186"/>
      <c r="ED619" s="186"/>
      <c r="EE619" s="186"/>
      <c r="EF619" s="186"/>
      <c r="EG619" s="186"/>
    </row>
    <row r="620" spans="1:137" s="185" customFormat="1" ht="11.25" hidden="1">
      <c r="A620" s="165" t="s">
        <v>374</v>
      </c>
      <c r="B620" s="184"/>
      <c r="C620" s="18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EB620" s="186"/>
      <c r="EC620" s="186"/>
      <c r="ED620" s="186"/>
      <c r="EE620" s="186"/>
      <c r="EF620" s="186"/>
      <c r="EG620" s="186"/>
    </row>
    <row r="621" spans="1:137" s="185" customFormat="1" ht="45" hidden="1">
      <c r="A621" s="72" t="s">
        <v>389</v>
      </c>
      <c r="B621" s="184"/>
      <c r="C621" s="184"/>
      <c r="D621" s="74"/>
      <c r="E621" s="74"/>
      <c r="F621" s="74"/>
      <c r="G621" s="74">
        <f>G619/D619*100</f>
        <v>106.66666666666667</v>
      </c>
      <c r="H621" s="74"/>
      <c r="I621" s="74"/>
      <c r="J621" s="74">
        <f>G621</f>
        <v>106.66666666666667</v>
      </c>
      <c r="K621" s="74"/>
      <c r="L621" s="74"/>
      <c r="M621" s="74"/>
      <c r="N621" s="74">
        <f>N619/G619*100</f>
        <v>106.04166666666669</v>
      </c>
      <c r="O621" s="74"/>
      <c r="P621" s="74">
        <f>N621</f>
        <v>106.04166666666669</v>
      </c>
      <c r="EB621" s="186"/>
      <c r="EC621" s="186"/>
      <c r="ED621" s="186"/>
      <c r="EE621" s="186"/>
      <c r="EF621" s="186"/>
      <c r="EG621" s="186"/>
    </row>
    <row r="622" spans="1:217" s="161" customFormat="1" ht="54.75" customHeight="1" hidden="1">
      <c r="A622" s="258" t="s">
        <v>427</v>
      </c>
      <c r="B622" s="180"/>
      <c r="C622" s="180"/>
      <c r="D622" s="181">
        <f>D624+D637</f>
        <v>177740</v>
      </c>
      <c r="E622" s="181">
        <f>E660+E676</f>
        <v>223400</v>
      </c>
      <c r="F622" s="181">
        <f>D622+E622</f>
        <v>401140</v>
      </c>
      <c r="G622" s="181">
        <f>G624+G637</f>
        <v>313730</v>
      </c>
      <c r="H622" s="181">
        <f>H660+H676</f>
        <v>630370</v>
      </c>
      <c r="I622" s="181"/>
      <c r="J622" s="181">
        <f>G622+H622</f>
        <v>944100</v>
      </c>
      <c r="K622" s="181" t="e">
        <f>#REF!+#REF!</f>
        <v>#REF!</v>
      </c>
      <c r="L622" s="181" t="e">
        <f>#REF!+#REF!</f>
        <v>#REF!</v>
      </c>
      <c r="M622" s="181" t="e">
        <f>#REF!+#REF!</f>
        <v>#REF!</v>
      </c>
      <c r="N622" s="181">
        <f>N624+N637</f>
        <v>322010</v>
      </c>
      <c r="O622" s="181">
        <f>O660+O676</f>
        <v>664380</v>
      </c>
      <c r="P622" s="181">
        <f>N622+O622</f>
        <v>986390</v>
      </c>
      <c r="Q622" s="113"/>
      <c r="R622" s="113"/>
      <c r="S622" s="113"/>
      <c r="T622" s="113"/>
      <c r="U622" s="113"/>
      <c r="V622" s="113"/>
      <c r="W622" s="113"/>
      <c r="X622" s="113"/>
      <c r="Y622" s="113"/>
      <c r="Z622" s="113"/>
      <c r="AA622" s="113"/>
      <c r="AB622" s="113"/>
      <c r="AC622" s="113"/>
      <c r="AD622" s="113"/>
      <c r="AE622" s="113"/>
      <c r="AF622" s="113"/>
      <c r="AG622" s="113"/>
      <c r="AH622" s="113"/>
      <c r="AI622" s="113"/>
      <c r="AJ622" s="113"/>
      <c r="AK622" s="113"/>
      <c r="AL622" s="113"/>
      <c r="AM622" s="113"/>
      <c r="AN622" s="113"/>
      <c r="AO622" s="113"/>
      <c r="AP622" s="113"/>
      <c r="AQ622" s="113"/>
      <c r="AR622" s="113"/>
      <c r="AS622" s="113"/>
      <c r="AT622" s="113"/>
      <c r="AU622" s="113"/>
      <c r="AV622" s="113"/>
      <c r="AW622" s="113"/>
      <c r="AX622" s="113"/>
      <c r="AY622" s="113"/>
      <c r="AZ622" s="113"/>
      <c r="BA622" s="113"/>
      <c r="BB622" s="113"/>
      <c r="BC622" s="113"/>
      <c r="BD622" s="113"/>
      <c r="BE622" s="113"/>
      <c r="BF622" s="113"/>
      <c r="BG622" s="113"/>
      <c r="BH622" s="113"/>
      <c r="BI622" s="113"/>
      <c r="BJ622" s="113"/>
      <c r="BK622" s="113"/>
      <c r="BL622" s="113"/>
      <c r="BM622" s="113"/>
      <c r="BN622" s="113"/>
      <c r="BO622" s="113"/>
      <c r="BP622" s="113"/>
      <c r="BQ622" s="113"/>
      <c r="BR622" s="113"/>
      <c r="BS622" s="113"/>
      <c r="BT622" s="113"/>
      <c r="BU622" s="113"/>
      <c r="BV622" s="113"/>
      <c r="BW622" s="113"/>
      <c r="BX622" s="113"/>
      <c r="BY622" s="113"/>
      <c r="BZ622" s="113"/>
      <c r="CA622" s="113"/>
      <c r="CB622" s="113"/>
      <c r="CC622" s="113"/>
      <c r="CD622" s="113"/>
      <c r="CE622" s="113"/>
      <c r="CF622" s="113"/>
      <c r="CG622" s="113"/>
      <c r="CH622" s="113"/>
      <c r="CI622" s="113"/>
      <c r="CJ622" s="113"/>
      <c r="CK622" s="113"/>
      <c r="CL622" s="113"/>
      <c r="CM622" s="113"/>
      <c r="CN622" s="113"/>
      <c r="CO622" s="113"/>
      <c r="CP622" s="113"/>
      <c r="CQ622" s="113"/>
      <c r="CR622" s="113"/>
      <c r="CS622" s="113"/>
      <c r="CT622" s="113"/>
      <c r="CU622" s="113"/>
      <c r="CV622" s="113"/>
      <c r="CW622" s="113"/>
      <c r="CX622" s="113"/>
      <c r="CY622" s="113"/>
      <c r="CZ622" s="113"/>
      <c r="DA622" s="113"/>
      <c r="DB622" s="113"/>
      <c r="DC622" s="113"/>
      <c r="DD622" s="113"/>
      <c r="DE622" s="113"/>
      <c r="DF622" s="113"/>
      <c r="DG622" s="113"/>
      <c r="DH622" s="113"/>
      <c r="DI622" s="113"/>
      <c r="DJ622" s="113"/>
      <c r="DK622" s="113"/>
      <c r="DL622" s="113"/>
      <c r="DM622" s="113"/>
      <c r="DN622" s="113"/>
      <c r="DO622" s="113"/>
      <c r="DP622" s="113"/>
      <c r="DQ622" s="113"/>
      <c r="DR622" s="113"/>
      <c r="DS622" s="113"/>
      <c r="DT622" s="113"/>
      <c r="DU622" s="113"/>
      <c r="DV622" s="113"/>
      <c r="DW622" s="113"/>
      <c r="DX622" s="113"/>
      <c r="DY622" s="113"/>
      <c r="DZ622" s="113"/>
      <c r="EA622" s="113"/>
      <c r="EB622" s="113"/>
      <c r="EC622" s="113"/>
      <c r="ED622" s="113"/>
      <c r="EE622" s="113"/>
      <c r="EF622" s="113"/>
      <c r="EG622" s="113"/>
      <c r="EH622" s="113"/>
      <c r="EI622" s="113"/>
      <c r="EJ622" s="113"/>
      <c r="EK622" s="113"/>
      <c r="EL622" s="113"/>
      <c r="EM622" s="113"/>
      <c r="EN622" s="113"/>
      <c r="EO622" s="113"/>
      <c r="EP622" s="113"/>
      <c r="EQ622" s="113"/>
      <c r="ER622" s="113"/>
      <c r="ES622" s="113"/>
      <c r="ET622" s="113"/>
      <c r="EU622" s="113"/>
      <c r="EV622" s="113"/>
      <c r="EW622" s="113"/>
      <c r="EX622" s="113"/>
      <c r="EY622" s="113"/>
      <c r="EZ622" s="113"/>
      <c r="FA622" s="113"/>
      <c r="FB622" s="113"/>
      <c r="FC622" s="113"/>
      <c r="FD622" s="113"/>
      <c r="FE622" s="113"/>
      <c r="FF622" s="113"/>
      <c r="FG622" s="113"/>
      <c r="FH622" s="113"/>
      <c r="FI622" s="113"/>
      <c r="FJ622" s="113"/>
      <c r="FK622" s="113"/>
      <c r="FL622" s="113"/>
      <c r="FM622" s="113"/>
      <c r="FN622" s="113"/>
      <c r="FO622" s="113"/>
      <c r="FP622" s="113"/>
      <c r="FQ622" s="113"/>
      <c r="FR622" s="113"/>
      <c r="FS622" s="113"/>
      <c r="FT622" s="113"/>
      <c r="FU622" s="113"/>
      <c r="FV622" s="113"/>
      <c r="FW622" s="113"/>
      <c r="FX622" s="113"/>
      <c r="FY622" s="113"/>
      <c r="FZ622" s="113"/>
      <c r="GA622" s="113"/>
      <c r="GB622" s="113"/>
      <c r="GC622" s="113"/>
      <c r="GD622" s="113"/>
      <c r="GE622" s="113"/>
      <c r="GF622" s="113"/>
      <c r="GG622" s="113"/>
      <c r="GH622" s="113"/>
      <c r="GI622" s="113"/>
      <c r="GJ622" s="113"/>
      <c r="GK622" s="113"/>
      <c r="GL622" s="113"/>
      <c r="GM622" s="113"/>
      <c r="GN622" s="113"/>
      <c r="GO622" s="113"/>
      <c r="GP622" s="113"/>
      <c r="GQ622" s="113"/>
      <c r="GR622" s="113"/>
      <c r="GS622" s="113"/>
      <c r="GT622" s="113"/>
      <c r="GU622" s="113"/>
      <c r="GV622" s="113"/>
      <c r="GW622" s="113"/>
      <c r="GX622" s="113"/>
      <c r="GY622" s="113"/>
      <c r="GZ622" s="113"/>
      <c r="HA622" s="113"/>
      <c r="HB622" s="113"/>
      <c r="HC622" s="113"/>
      <c r="HD622" s="113"/>
      <c r="HE622" s="113"/>
      <c r="HF622" s="113"/>
      <c r="HG622" s="113"/>
      <c r="HH622" s="113"/>
      <c r="HI622" s="113"/>
    </row>
    <row r="623" spans="1:217" s="156" customFormat="1" ht="36" customHeight="1" hidden="1">
      <c r="A623" s="72" t="s">
        <v>202</v>
      </c>
      <c r="B623" s="73"/>
      <c r="C623" s="73"/>
      <c r="D623" s="81"/>
      <c r="E623" s="81"/>
      <c r="F623" s="81"/>
      <c r="G623" s="81"/>
      <c r="H623" s="81"/>
      <c r="I623" s="81"/>
      <c r="J623" s="81"/>
      <c r="K623" s="157"/>
      <c r="L623" s="77"/>
      <c r="M623" s="81"/>
      <c r="N623" s="81"/>
      <c r="O623" s="81"/>
      <c r="P623" s="81"/>
      <c r="Q623" s="75"/>
      <c r="R623" s="75"/>
      <c r="S623" s="75"/>
      <c r="T623" s="75"/>
      <c r="U623" s="75"/>
      <c r="V623" s="75"/>
      <c r="W623" s="75"/>
      <c r="X623" s="75"/>
      <c r="Y623" s="75"/>
      <c r="Z623" s="75"/>
      <c r="AA623" s="75"/>
      <c r="AB623" s="75"/>
      <c r="AC623" s="75"/>
      <c r="AD623" s="75"/>
      <c r="AE623" s="75"/>
      <c r="AF623" s="75"/>
      <c r="AG623" s="75"/>
      <c r="AH623" s="75"/>
      <c r="AI623" s="75"/>
      <c r="AJ623" s="75"/>
      <c r="AK623" s="75"/>
      <c r="AL623" s="75"/>
      <c r="AM623" s="75"/>
      <c r="AN623" s="75"/>
      <c r="AO623" s="75"/>
      <c r="AP623" s="75"/>
      <c r="AQ623" s="75"/>
      <c r="AR623" s="75"/>
      <c r="AS623" s="75"/>
      <c r="AT623" s="75"/>
      <c r="AU623" s="75"/>
      <c r="AV623" s="75"/>
      <c r="AW623" s="75"/>
      <c r="AX623" s="75"/>
      <c r="AY623" s="75"/>
      <c r="AZ623" s="75"/>
      <c r="BA623" s="75"/>
      <c r="BB623" s="75"/>
      <c r="BC623" s="75"/>
      <c r="BD623" s="75"/>
      <c r="BE623" s="75"/>
      <c r="BF623" s="75"/>
      <c r="BG623" s="75"/>
      <c r="BH623" s="75"/>
      <c r="BI623" s="75"/>
      <c r="BJ623" s="75"/>
      <c r="BK623" s="75"/>
      <c r="BL623" s="75"/>
      <c r="BM623" s="75"/>
      <c r="BN623" s="75"/>
      <c r="BO623" s="75"/>
      <c r="BP623" s="75"/>
      <c r="BQ623" s="75"/>
      <c r="BR623" s="75"/>
      <c r="BS623" s="75"/>
      <c r="BT623" s="75"/>
      <c r="BU623" s="75"/>
      <c r="BV623" s="75"/>
      <c r="BW623" s="75"/>
      <c r="BX623" s="75"/>
      <c r="BY623" s="75"/>
      <c r="BZ623" s="75"/>
      <c r="CA623" s="75"/>
      <c r="CB623" s="75"/>
      <c r="CC623" s="75"/>
      <c r="CD623" s="75"/>
      <c r="CE623" s="75"/>
      <c r="CF623" s="75"/>
      <c r="CG623" s="75"/>
      <c r="CH623" s="75"/>
      <c r="CI623" s="75"/>
      <c r="CJ623" s="75"/>
      <c r="CK623" s="75"/>
      <c r="CL623" s="75"/>
      <c r="CM623" s="75"/>
      <c r="CN623" s="75"/>
      <c r="CO623" s="75"/>
      <c r="CP623" s="75"/>
      <c r="CQ623" s="75"/>
      <c r="CR623" s="75"/>
      <c r="CS623" s="75"/>
      <c r="CT623" s="75"/>
      <c r="CU623" s="75"/>
      <c r="CV623" s="75"/>
      <c r="CW623" s="75"/>
      <c r="CX623" s="75"/>
      <c r="CY623" s="75"/>
      <c r="CZ623" s="75"/>
      <c r="DA623" s="75"/>
      <c r="DB623" s="75"/>
      <c r="DC623" s="75"/>
      <c r="DD623" s="75"/>
      <c r="DE623" s="75"/>
      <c r="DF623" s="75"/>
      <c r="DG623" s="75"/>
      <c r="DH623" s="75"/>
      <c r="DI623" s="75"/>
      <c r="DJ623" s="75"/>
      <c r="DK623" s="75"/>
      <c r="DL623" s="75"/>
      <c r="DM623" s="75"/>
      <c r="DN623" s="75"/>
      <c r="DO623" s="75"/>
      <c r="DP623" s="75"/>
      <c r="DQ623" s="75"/>
      <c r="DR623" s="75"/>
      <c r="DS623" s="75"/>
      <c r="DT623" s="75"/>
      <c r="DU623" s="75"/>
      <c r="DV623" s="75"/>
      <c r="DW623" s="75"/>
      <c r="DX623" s="75"/>
      <c r="DY623" s="75"/>
      <c r="DZ623" s="75"/>
      <c r="EA623" s="75"/>
      <c r="EB623" s="75"/>
      <c r="EC623" s="75"/>
      <c r="ED623" s="75"/>
      <c r="EE623" s="75"/>
      <c r="EF623" s="75"/>
      <c r="EG623" s="75"/>
      <c r="EH623" s="75"/>
      <c r="EI623" s="75"/>
      <c r="EJ623" s="75"/>
      <c r="EK623" s="75"/>
      <c r="EL623" s="75"/>
      <c r="EM623" s="75"/>
      <c r="EN623" s="75"/>
      <c r="EO623" s="75"/>
      <c r="EP623" s="75"/>
      <c r="EQ623" s="75"/>
      <c r="ER623" s="75"/>
      <c r="ES623" s="75"/>
      <c r="ET623" s="75"/>
      <c r="EU623" s="75"/>
      <c r="EV623" s="75"/>
      <c r="EW623" s="75"/>
      <c r="EX623" s="75"/>
      <c r="EY623" s="75"/>
      <c r="EZ623" s="75"/>
      <c r="FA623" s="75"/>
      <c r="FB623" s="75"/>
      <c r="FC623" s="75"/>
      <c r="FD623" s="75"/>
      <c r="FE623" s="75"/>
      <c r="FF623" s="75"/>
      <c r="FG623" s="75"/>
      <c r="FH623" s="75"/>
      <c r="FI623" s="75"/>
      <c r="FJ623" s="75"/>
      <c r="FK623" s="75"/>
      <c r="FL623" s="75"/>
      <c r="FM623" s="75"/>
      <c r="FN623" s="75"/>
      <c r="FO623" s="75"/>
      <c r="FP623" s="75"/>
      <c r="FQ623" s="75"/>
      <c r="FR623" s="75"/>
      <c r="FS623" s="75"/>
      <c r="FT623" s="75"/>
      <c r="FU623" s="75"/>
      <c r="FV623" s="75"/>
      <c r="FW623" s="75"/>
      <c r="FX623" s="75"/>
      <c r="FY623" s="75"/>
      <c r="FZ623" s="75"/>
      <c r="GA623" s="75"/>
      <c r="GB623" s="75"/>
      <c r="GC623" s="75"/>
      <c r="GD623" s="75"/>
      <c r="GE623" s="75"/>
      <c r="GF623" s="75"/>
      <c r="GG623" s="75"/>
      <c r="GH623" s="75"/>
      <c r="GI623" s="75"/>
      <c r="GJ623" s="75"/>
      <c r="GK623" s="75"/>
      <c r="GL623" s="75"/>
      <c r="GM623" s="75"/>
      <c r="GN623" s="75"/>
      <c r="GO623" s="75"/>
      <c r="GP623" s="75"/>
      <c r="GQ623" s="75"/>
      <c r="GR623" s="75"/>
      <c r="GS623" s="75"/>
      <c r="GT623" s="75"/>
      <c r="GU623" s="75"/>
      <c r="GV623" s="75"/>
      <c r="GW623" s="75"/>
      <c r="GX623" s="75"/>
      <c r="GY623" s="75"/>
      <c r="GZ623" s="75"/>
      <c r="HA623" s="75"/>
      <c r="HB623" s="75"/>
      <c r="HC623" s="75"/>
      <c r="HD623" s="75"/>
      <c r="HE623" s="75"/>
      <c r="HF623" s="75"/>
      <c r="HG623" s="75"/>
      <c r="HH623" s="75"/>
      <c r="HI623" s="75"/>
    </row>
    <row r="624" spans="1:217" s="87" customFormat="1" ht="36.75" customHeight="1" hidden="1">
      <c r="A624" s="126" t="s">
        <v>428</v>
      </c>
      <c r="B624" s="126"/>
      <c r="C624" s="126"/>
      <c r="D624" s="127">
        <f>D626+D627+D628</f>
        <v>50000</v>
      </c>
      <c r="E624" s="127"/>
      <c r="F624" s="127">
        <f>F626+F627+F628</f>
        <v>50000</v>
      </c>
      <c r="G624" s="127">
        <f>G626+G627+G628</f>
        <v>177500</v>
      </c>
      <c r="H624" s="127"/>
      <c r="I624" s="127"/>
      <c r="J624" s="127">
        <f>J626+J627+J628</f>
        <v>177500</v>
      </c>
      <c r="K624" s="127"/>
      <c r="L624" s="125"/>
      <c r="M624" s="125"/>
      <c r="N624" s="127">
        <f>N626+N627+N628</f>
        <v>177500</v>
      </c>
      <c r="O624" s="127"/>
      <c r="P624" s="127">
        <f>P626+P627+P628</f>
        <v>177500</v>
      </c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  <c r="AG624" s="118"/>
      <c r="AH624" s="118"/>
      <c r="AI624" s="118"/>
      <c r="AJ624" s="118"/>
      <c r="AK624" s="118"/>
      <c r="AL624" s="118"/>
      <c r="AM624" s="118"/>
      <c r="AN624" s="118"/>
      <c r="AO624" s="118"/>
      <c r="AP624" s="118"/>
      <c r="AQ624" s="118"/>
      <c r="AR624" s="118"/>
      <c r="AS624" s="118"/>
      <c r="AT624" s="118"/>
      <c r="AU624" s="118"/>
      <c r="AV624" s="118"/>
      <c r="AW624" s="118"/>
      <c r="AX624" s="118"/>
      <c r="AY624" s="118"/>
      <c r="AZ624" s="118"/>
      <c r="BA624" s="118"/>
      <c r="BB624" s="118"/>
      <c r="BC624" s="118"/>
      <c r="BD624" s="118"/>
      <c r="BE624" s="118"/>
      <c r="BF624" s="118"/>
      <c r="BG624" s="118"/>
      <c r="BH624" s="118"/>
      <c r="BI624" s="118"/>
      <c r="BJ624" s="118"/>
      <c r="BK624" s="118"/>
      <c r="BL624" s="118"/>
      <c r="BM624" s="118"/>
      <c r="BN624" s="118"/>
      <c r="BO624" s="118"/>
      <c r="BP624" s="118"/>
      <c r="BQ624" s="118"/>
      <c r="BR624" s="118"/>
      <c r="BS624" s="118"/>
      <c r="BT624" s="118"/>
      <c r="BU624" s="118"/>
      <c r="BV624" s="118"/>
      <c r="BW624" s="118"/>
      <c r="BX624" s="118"/>
      <c r="BY624" s="118"/>
      <c r="BZ624" s="118"/>
      <c r="CA624" s="118"/>
      <c r="CB624" s="118"/>
      <c r="CC624" s="118"/>
      <c r="CD624" s="118"/>
      <c r="CE624" s="118"/>
      <c r="CF624" s="118"/>
      <c r="CG624" s="118"/>
      <c r="CH624" s="118"/>
      <c r="CI624" s="118"/>
      <c r="CJ624" s="118"/>
      <c r="CK624" s="118"/>
      <c r="CL624" s="118"/>
      <c r="CM624" s="118"/>
      <c r="CN624" s="118"/>
      <c r="CO624" s="118"/>
      <c r="CP624" s="118"/>
      <c r="CQ624" s="118"/>
      <c r="CR624" s="118"/>
      <c r="CS624" s="118"/>
      <c r="CT624" s="118"/>
      <c r="CU624" s="118"/>
      <c r="CV624" s="118"/>
      <c r="CW624" s="118"/>
      <c r="CX624" s="118"/>
      <c r="CY624" s="118"/>
      <c r="CZ624" s="118"/>
      <c r="DA624" s="118"/>
      <c r="DB624" s="118"/>
      <c r="DC624" s="118"/>
      <c r="DD624" s="118"/>
      <c r="DE624" s="118"/>
      <c r="DF624" s="118"/>
      <c r="DG624" s="118"/>
      <c r="DH624" s="118"/>
      <c r="DI624" s="118"/>
      <c r="DJ624" s="118"/>
      <c r="DK624" s="118"/>
      <c r="DL624" s="118"/>
      <c r="DM624" s="118"/>
      <c r="DN624" s="118"/>
      <c r="DO624" s="118"/>
      <c r="DP624" s="118"/>
      <c r="DQ624" s="118"/>
      <c r="DR624" s="118"/>
      <c r="DS624" s="118"/>
      <c r="DT624" s="118"/>
      <c r="DU624" s="118"/>
      <c r="DV624" s="118"/>
      <c r="DW624" s="118"/>
      <c r="DX624" s="118"/>
      <c r="DY624" s="118"/>
      <c r="DZ624" s="118"/>
      <c r="EA624" s="118"/>
      <c r="EB624" s="118"/>
      <c r="EC624" s="118"/>
      <c r="ED624" s="118"/>
      <c r="EE624" s="118"/>
      <c r="EF624" s="118"/>
      <c r="EG624" s="118"/>
      <c r="EH624" s="118"/>
      <c r="EI624" s="118"/>
      <c r="EJ624" s="118"/>
      <c r="EK624" s="118"/>
      <c r="EL624" s="118"/>
      <c r="EM624" s="118"/>
      <c r="EN624" s="118"/>
      <c r="EO624" s="118"/>
      <c r="EP624" s="118"/>
      <c r="EQ624" s="118"/>
      <c r="ER624" s="118"/>
      <c r="ES624" s="118"/>
      <c r="ET624" s="118"/>
      <c r="EU624" s="118"/>
      <c r="EV624" s="118"/>
      <c r="EW624" s="118"/>
      <c r="EX624" s="118"/>
      <c r="EY624" s="118"/>
      <c r="EZ624" s="118"/>
      <c r="FA624" s="118"/>
      <c r="FB624" s="118"/>
      <c r="FC624" s="118"/>
      <c r="FD624" s="118"/>
      <c r="FE624" s="118"/>
      <c r="FF624" s="118"/>
      <c r="FG624" s="118"/>
      <c r="FH624" s="118"/>
      <c r="FI624" s="118"/>
      <c r="FJ624" s="118"/>
      <c r="FK624" s="118"/>
      <c r="FL624" s="118"/>
      <c r="FM624" s="118"/>
      <c r="FN624" s="118"/>
      <c r="FO624" s="118"/>
      <c r="FP624" s="118"/>
      <c r="FQ624" s="118"/>
      <c r="FR624" s="118"/>
      <c r="FS624" s="118"/>
      <c r="FT624" s="118"/>
      <c r="FU624" s="118"/>
      <c r="FV624" s="118"/>
      <c r="FW624" s="118"/>
      <c r="FX624" s="118"/>
      <c r="FY624" s="118"/>
      <c r="FZ624" s="118"/>
      <c r="GA624" s="118"/>
      <c r="GB624" s="118"/>
      <c r="GC624" s="118"/>
      <c r="GD624" s="118"/>
      <c r="GE624" s="118"/>
      <c r="GF624" s="118"/>
      <c r="GG624" s="118"/>
      <c r="GH624" s="118"/>
      <c r="GI624" s="118"/>
      <c r="GJ624" s="118"/>
      <c r="GK624" s="118"/>
      <c r="GL624" s="118"/>
      <c r="GM624" s="118"/>
      <c r="GN624" s="118"/>
      <c r="GO624" s="118"/>
      <c r="GP624" s="118"/>
      <c r="GQ624" s="118"/>
      <c r="GR624" s="118"/>
      <c r="GS624" s="118"/>
      <c r="GT624" s="118"/>
      <c r="GU624" s="118"/>
      <c r="GV624" s="118"/>
      <c r="GW624" s="118"/>
      <c r="GX624" s="118"/>
      <c r="GY624" s="118"/>
      <c r="GZ624" s="118"/>
      <c r="HA624" s="118"/>
      <c r="HB624" s="118"/>
      <c r="HC624" s="118"/>
      <c r="HD624" s="118"/>
      <c r="HE624" s="118"/>
      <c r="HF624" s="118"/>
      <c r="HG624" s="118"/>
      <c r="HH624" s="118"/>
      <c r="HI624" s="118"/>
    </row>
    <row r="625" spans="1:217" s="156" customFormat="1" ht="11.25" hidden="1">
      <c r="A625" s="128" t="s">
        <v>2</v>
      </c>
      <c r="B625" s="128"/>
      <c r="C625" s="128"/>
      <c r="D625" s="130"/>
      <c r="E625" s="130"/>
      <c r="F625" s="130"/>
      <c r="G625" s="130"/>
      <c r="H625" s="130"/>
      <c r="I625" s="130"/>
      <c r="J625" s="130"/>
      <c r="K625" s="122"/>
      <c r="L625" s="130"/>
      <c r="M625" s="130"/>
      <c r="N625" s="130"/>
      <c r="O625" s="130"/>
      <c r="P625" s="130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  <c r="AJ625" s="75"/>
      <c r="AK625" s="75"/>
      <c r="AL625" s="75"/>
      <c r="AM625" s="75"/>
      <c r="AN625" s="75"/>
      <c r="AO625" s="75"/>
      <c r="AP625" s="75"/>
      <c r="AQ625" s="75"/>
      <c r="AR625" s="75"/>
      <c r="AS625" s="75"/>
      <c r="AT625" s="75"/>
      <c r="AU625" s="75"/>
      <c r="AV625" s="75"/>
      <c r="AW625" s="75"/>
      <c r="AX625" s="75"/>
      <c r="AY625" s="75"/>
      <c r="AZ625" s="75"/>
      <c r="BA625" s="75"/>
      <c r="BB625" s="75"/>
      <c r="BC625" s="75"/>
      <c r="BD625" s="75"/>
      <c r="BE625" s="75"/>
      <c r="BF625" s="75"/>
      <c r="BG625" s="75"/>
      <c r="BH625" s="75"/>
      <c r="BI625" s="75"/>
      <c r="BJ625" s="75"/>
      <c r="BK625" s="75"/>
      <c r="BL625" s="75"/>
      <c r="BM625" s="75"/>
      <c r="BN625" s="75"/>
      <c r="BO625" s="75"/>
      <c r="BP625" s="75"/>
      <c r="BQ625" s="75"/>
      <c r="BR625" s="75"/>
      <c r="BS625" s="75"/>
      <c r="BT625" s="75"/>
      <c r="BU625" s="75"/>
      <c r="BV625" s="75"/>
      <c r="BW625" s="75"/>
      <c r="BX625" s="75"/>
      <c r="BY625" s="75"/>
      <c r="BZ625" s="75"/>
      <c r="CA625" s="75"/>
      <c r="CB625" s="75"/>
      <c r="CC625" s="75"/>
      <c r="CD625" s="75"/>
      <c r="CE625" s="75"/>
      <c r="CF625" s="75"/>
      <c r="CG625" s="75"/>
      <c r="CH625" s="75"/>
      <c r="CI625" s="75"/>
      <c r="CJ625" s="75"/>
      <c r="CK625" s="75"/>
      <c r="CL625" s="75"/>
      <c r="CM625" s="75"/>
      <c r="CN625" s="75"/>
      <c r="CO625" s="75"/>
      <c r="CP625" s="75"/>
      <c r="CQ625" s="75"/>
      <c r="CR625" s="75"/>
      <c r="CS625" s="75"/>
      <c r="CT625" s="75"/>
      <c r="CU625" s="75"/>
      <c r="CV625" s="75"/>
      <c r="CW625" s="75"/>
      <c r="CX625" s="75"/>
      <c r="CY625" s="75"/>
      <c r="CZ625" s="75"/>
      <c r="DA625" s="75"/>
      <c r="DB625" s="75"/>
      <c r="DC625" s="75"/>
      <c r="DD625" s="75"/>
      <c r="DE625" s="75"/>
      <c r="DF625" s="75"/>
      <c r="DG625" s="75"/>
      <c r="DH625" s="75"/>
      <c r="DI625" s="75"/>
      <c r="DJ625" s="75"/>
      <c r="DK625" s="75"/>
      <c r="DL625" s="75"/>
      <c r="DM625" s="75"/>
      <c r="DN625" s="75"/>
      <c r="DO625" s="75"/>
      <c r="DP625" s="75"/>
      <c r="DQ625" s="75"/>
      <c r="DR625" s="75"/>
      <c r="DS625" s="75"/>
      <c r="DT625" s="75"/>
      <c r="DU625" s="75"/>
      <c r="DV625" s="75"/>
      <c r="DW625" s="75"/>
      <c r="DX625" s="75"/>
      <c r="DY625" s="75"/>
      <c r="DZ625" s="75"/>
      <c r="EA625" s="75"/>
      <c r="EB625" s="75"/>
      <c r="EC625" s="75"/>
      <c r="ED625" s="75"/>
      <c r="EE625" s="75"/>
      <c r="EF625" s="75"/>
      <c r="EG625" s="75"/>
      <c r="EH625" s="75"/>
      <c r="EI625" s="75"/>
      <c r="EJ625" s="75"/>
      <c r="EK625" s="75"/>
      <c r="EL625" s="75"/>
      <c r="EM625" s="75"/>
      <c r="EN625" s="75"/>
      <c r="EO625" s="75"/>
      <c r="EP625" s="75"/>
      <c r="EQ625" s="75"/>
      <c r="ER625" s="75"/>
      <c r="ES625" s="75"/>
      <c r="ET625" s="75"/>
      <c r="EU625" s="75"/>
      <c r="EV625" s="75"/>
      <c r="EW625" s="75"/>
      <c r="EX625" s="75"/>
      <c r="EY625" s="75"/>
      <c r="EZ625" s="75"/>
      <c r="FA625" s="75"/>
      <c r="FB625" s="75"/>
      <c r="FC625" s="75"/>
      <c r="FD625" s="75"/>
      <c r="FE625" s="75"/>
      <c r="FF625" s="75"/>
      <c r="FG625" s="75"/>
      <c r="FH625" s="75"/>
      <c r="FI625" s="75"/>
      <c r="FJ625" s="75"/>
      <c r="FK625" s="75"/>
      <c r="FL625" s="75"/>
      <c r="FM625" s="75"/>
      <c r="FN625" s="75"/>
      <c r="FO625" s="75"/>
      <c r="FP625" s="75"/>
      <c r="FQ625" s="75"/>
      <c r="FR625" s="75"/>
      <c r="FS625" s="75"/>
      <c r="FT625" s="75"/>
      <c r="FU625" s="75"/>
      <c r="FV625" s="75"/>
      <c r="FW625" s="75"/>
      <c r="FX625" s="75"/>
      <c r="FY625" s="75"/>
      <c r="FZ625" s="75"/>
      <c r="GA625" s="75"/>
      <c r="GB625" s="75"/>
      <c r="GC625" s="75"/>
      <c r="GD625" s="75"/>
      <c r="GE625" s="75"/>
      <c r="GF625" s="75"/>
      <c r="GG625" s="75"/>
      <c r="GH625" s="75"/>
      <c r="GI625" s="75"/>
      <c r="GJ625" s="75"/>
      <c r="GK625" s="75"/>
      <c r="GL625" s="75"/>
      <c r="GM625" s="75"/>
      <c r="GN625" s="75"/>
      <c r="GO625" s="75"/>
      <c r="GP625" s="75"/>
      <c r="GQ625" s="75"/>
      <c r="GR625" s="75"/>
      <c r="GS625" s="75"/>
      <c r="GT625" s="75"/>
      <c r="GU625" s="75"/>
      <c r="GV625" s="75"/>
      <c r="GW625" s="75"/>
      <c r="GX625" s="75"/>
      <c r="GY625" s="75"/>
      <c r="GZ625" s="75"/>
      <c r="HA625" s="75"/>
      <c r="HB625" s="75"/>
      <c r="HC625" s="75"/>
      <c r="HD625" s="75"/>
      <c r="HE625" s="75"/>
      <c r="HF625" s="75"/>
      <c r="HG625" s="75"/>
      <c r="HH625" s="75"/>
      <c r="HI625" s="75"/>
    </row>
    <row r="626" spans="1:217" s="156" customFormat="1" ht="36.75" customHeight="1" hidden="1">
      <c r="A626" s="72" t="s">
        <v>203</v>
      </c>
      <c r="B626" s="128"/>
      <c r="C626" s="128"/>
      <c r="D626" s="122">
        <f>D630*D634</f>
        <v>40000</v>
      </c>
      <c r="E626" s="122"/>
      <c r="F626" s="122">
        <f>D626</f>
        <v>40000</v>
      </c>
      <c r="G626" s="122">
        <f>G630*G634</f>
        <v>150000</v>
      </c>
      <c r="H626" s="122"/>
      <c r="I626" s="122"/>
      <c r="J626" s="122">
        <f>G626</f>
        <v>150000</v>
      </c>
      <c r="K626" s="122"/>
      <c r="L626" s="122"/>
      <c r="M626" s="122"/>
      <c r="N626" s="122">
        <f>N630*N634</f>
        <v>150000</v>
      </c>
      <c r="O626" s="122"/>
      <c r="P626" s="136">
        <f>N626</f>
        <v>150000</v>
      </c>
      <c r="Q626" s="75"/>
      <c r="R626" s="75"/>
      <c r="S626" s="75"/>
      <c r="T626" s="75"/>
      <c r="U626" s="75"/>
      <c r="V626" s="75"/>
      <c r="W626" s="75"/>
      <c r="X626" s="75"/>
      <c r="Y626" s="75"/>
      <c r="Z626" s="75"/>
      <c r="AA626" s="75"/>
      <c r="AB626" s="75"/>
      <c r="AC626" s="75"/>
      <c r="AD626" s="75"/>
      <c r="AE626" s="75"/>
      <c r="AF626" s="75"/>
      <c r="AG626" s="75"/>
      <c r="AH626" s="75"/>
      <c r="AI626" s="75"/>
      <c r="AJ626" s="75"/>
      <c r="AK626" s="75"/>
      <c r="AL626" s="75"/>
      <c r="AM626" s="75"/>
      <c r="AN626" s="75"/>
      <c r="AO626" s="75"/>
      <c r="AP626" s="75"/>
      <c r="AQ626" s="75"/>
      <c r="AR626" s="75"/>
      <c r="AS626" s="75"/>
      <c r="AT626" s="75"/>
      <c r="AU626" s="75"/>
      <c r="AV626" s="75"/>
      <c r="AW626" s="75"/>
      <c r="AX626" s="75"/>
      <c r="AY626" s="75"/>
      <c r="AZ626" s="75"/>
      <c r="BA626" s="75"/>
      <c r="BB626" s="75"/>
      <c r="BC626" s="75"/>
      <c r="BD626" s="75"/>
      <c r="BE626" s="75"/>
      <c r="BF626" s="75"/>
      <c r="BG626" s="75"/>
      <c r="BH626" s="75"/>
      <c r="BI626" s="75"/>
      <c r="BJ626" s="75"/>
      <c r="BK626" s="75"/>
      <c r="BL626" s="75"/>
      <c r="BM626" s="75"/>
      <c r="BN626" s="75"/>
      <c r="BO626" s="75"/>
      <c r="BP626" s="75"/>
      <c r="BQ626" s="75"/>
      <c r="BR626" s="75"/>
      <c r="BS626" s="75"/>
      <c r="BT626" s="75"/>
      <c r="BU626" s="75"/>
      <c r="BV626" s="75"/>
      <c r="BW626" s="75"/>
      <c r="BX626" s="75"/>
      <c r="BY626" s="75"/>
      <c r="BZ626" s="75"/>
      <c r="CA626" s="75"/>
      <c r="CB626" s="75"/>
      <c r="CC626" s="75"/>
      <c r="CD626" s="75"/>
      <c r="CE626" s="75"/>
      <c r="CF626" s="75"/>
      <c r="CG626" s="75"/>
      <c r="CH626" s="75"/>
      <c r="CI626" s="75"/>
      <c r="CJ626" s="75"/>
      <c r="CK626" s="75"/>
      <c r="CL626" s="75"/>
      <c r="CM626" s="75"/>
      <c r="CN626" s="75"/>
      <c r="CO626" s="75"/>
      <c r="CP626" s="75"/>
      <c r="CQ626" s="75"/>
      <c r="CR626" s="75"/>
      <c r="CS626" s="75"/>
      <c r="CT626" s="75"/>
      <c r="CU626" s="75"/>
      <c r="CV626" s="75"/>
      <c r="CW626" s="75"/>
      <c r="CX626" s="75"/>
      <c r="CY626" s="75"/>
      <c r="CZ626" s="75"/>
      <c r="DA626" s="75"/>
      <c r="DB626" s="75"/>
      <c r="DC626" s="75"/>
      <c r="DD626" s="75"/>
      <c r="DE626" s="75"/>
      <c r="DF626" s="75"/>
      <c r="DG626" s="75"/>
      <c r="DH626" s="75"/>
      <c r="DI626" s="75"/>
      <c r="DJ626" s="75"/>
      <c r="DK626" s="75"/>
      <c r="DL626" s="75"/>
      <c r="DM626" s="75"/>
      <c r="DN626" s="75"/>
      <c r="DO626" s="75"/>
      <c r="DP626" s="75"/>
      <c r="DQ626" s="75"/>
      <c r="DR626" s="75"/>
      <c r="DS626" s="75"/>
      <c r="DT626" s="75"/>
      <c r="DU626" s="75"/>
      <c r="DV626" s="75"/>
      <c r="DW626" s="75"/>
      <c r="DX626" s="75"/>
      <c r="DY626" s="75"/>
      <c r="DZ626" s="75"/>
      <c r="EA626" s="75"/>
      <c r="EB626" s="75"/>
      <c r="EC626" s="75"/>
      <c r="ED626" s="75"/>
      <c r="EE626" s="75"/>
      <c r="EF626" s="75"/>
      <c r="EG626" s="75"/>
      <c r="EH626" s="75"/>
      <c r="EI626" s="75"/>
      <c r="EJ626" s="75"/>
      <c r="EK626" s="75"/>
      <c r="EL626" s="75"/>
      <c r="EM626" s="75"/>
      <c r="EN626" s="75"/>
      <c r="EO626" s="75"/>
      <c r="EP626" s="75"/>
      <c r="EQ626" s="75"/>
      <c r="ER626" s="75"/>
      <c r="ES626" s="75"/>
      <c r="ET626" s="75"/>
      <c r="EU626" s="75"/>
      <c r="EV626" s="75"/>
      <c r="EW626" s="75"/>
      <c r="EX626" s="75"/>
      <c r="EY626" s="75"/>
      <c r="EZ626" s="75"/>
      <c r="FA626" s="75"/>
      <c r="FB626" s="75"/>
      <c r="FC626" s="75"/>
      <c r="FD626" s="75"/>
      <c r="FE626" s="75"/>
      <c r="FF626" s="75"/>
      <c r="FG626" s="75"/>
      <c r="FH626" s="75"/>
      <c r="FI626" s="75"/>
      <c r="FJ626" s="75"/>
      <c r="FK626" s="75"/>
      <c r="FL626" s="75"/>
      <c r="FM626" s="75"/>
      <c r="FN626" s="75"/>
      <c r="FO626" s="75"/>
      <c r="FP626" s="75"/>
      <c r="FQ626" s="75"/>
      <c r="FR626" s="75"/>
      <c r="FS626" s="75"/>
      <c r="FT626" s="75"/>
      <c r="FU626" s="75"/>
      <c r="FV626" s="75"/>
      <c r="FW626" s="75"/>
      <c r="FX626" s="75"/>
      <c r="FY626" s="75"/>
      <c r="FZ626" s="75"/>
      <c r="GA626" s="75"/>
      <c r="GB626" s="75"/>
      <c r="GC626" s="75"/>
      <c r="GD626" s="75"/>
      <c r="GE626" s="75"/>
      <c r="GF626" s="75"/>
      <c r="GG626" s="75"/>
      <c r="GH626" s="75"/>
      <c r="GI626" s="75"/>
      <c r="GJ626" s="75"/>
      <c r="GK626" s="75"/>
      <c r="GL626" s="75"/>
      <c r="GM626" s="75"/>
      <c r="GN626" s="75"/>
      <c r="GO626" s="75"/>
      <c r="GP626" s="75"/>
      <c r="GQ626" s="75"/>
      <c r="GR626" s="75"/>
      <c r="GS626" s="75"/>
      <c r="GT626" s="75"/>
      <c r="GU626" s="75"/>
      <c r="GV626" s="75"/>
      <c r="GW626" s="75"/>
      <c r="GX626" s="75"/>
      <c r="GY626" s="75"/>
      <c r="GZ626" s="75"/>
      <c r="HA626" s="75"/>
      <c r="HB626" s="75"/>
      <c r="HC626" s="75"/>
      <c r="HD626" s="75"/>
      <c r="HE626" s="75"/>
      <c r="HF626" s="75"/>
      <c r="HG626" s="75"/>
      <c r="HH626" s="75"/>
      <c r="HI626" s="75"/>
    </row>
    <row r="627" spans="1:217" s="156" customFormat="1" ht="25.5" customHeight="1" hidden="1">
      <c r="A627" s="72" t="s">
        <v>204</v>
      </c>
      <c r="B627" s="131"/>
      <c r="C627" s="131"/>
      <c r="D627" s="122">
        <f>D631*D635</f>
        <v>10000</v>
      </c>
      <c r="E627" s="122"/>
      <c r="F627" s="122">
        <f>D627</f>
        <v>10000</v>
      </c>
      <c r="G627" s="122">
        <f>G631*G635</f>
        <v>20000</v>
      </c>
      <c r="H627" s="122"/>
      <c r="I627" s="122"/>
      <c r="J627" s="122">
        <f>G627</f>
        <v>20000</v>
      </c>
      <c r="K627" s="122">
        <f>G627/D627*100</f>
        <v>200</v>
      </c>
      <c r="L627" s="122"/>
      <c r="M627" s="122"/>
      <c r="N627" s="122">
        <f>N631*N635</f>
        <v>20000</v>
      </c>
      <c r="O627" s="122"/>
      <c r="P627" s="136">
        <f>N627</f>
        <v>20000</v>
      </c>
      <c r="Q627" s="75"/>
      <c r="R627" s="75"/>
      <c r="S627" s="75"/>
      <c r="T627" s="75"/>
      <c r="U627" s="75"/>
      <c r="V627" s="75"/>
      <c r="W627" s="75"/>
      <c r="X627" s="75"/>
      <c r="Y627" s="75"/>
      <c r="Z627" s="75"/>
      <c r="AA627" s="75"/>
      <c r="AB627" s="75"/>
      <c r="AC627" s="75"/>
      <c r="AD627" s="75"/>
      <c r="AE627" s="75"/>
      <c r="AF627" s="75"/>
      <c r="AG627" s="75"/>
      <c r="AH627" s="75"/>
      <c r="AI627" s="75"/>
      <c r="AJ627" s="75"/>
      <c r="AK627" s="75"/>
      <c r="AL627" s="75"/>
      <c r="AM627" s="75"/>
      <c r="AN627" s="75"/>
      <c r="AO627" s="75"/>
      <c r="AP627" s="75"/>
      <c r="AQ627" s="75"/>
      <c r="AR627" s="75"/>
      <c r="AS627" s="75"/>
      <c r="AT627" s="75"/>
      <c r="AU627" s="75"/>
      <c r="AV627" s="75"/>
      <c r="AW627" s="75"/>
      <c r="AX627" s="75"/>
      <c r="AY627" s="75"/>
      <c r="AZ627" s="75"/>
      <c r="BA627" s="75"/>
      <c r="BB627" s="75"/>
      <c r="BC627" s="75"/>
      <c r="BD627" s="75"/>
      <c r="BE627" s="75"/>
      <c r="BF627" s="75"/>
      <c r="BG627" s="75"/>
      <c r="BH627" s="75"/>
      <c r="BI627" s="75"/>
      <c r="BJ627" s="75"/>
      <c r="BK627" s="75"/>
      <c r="BL627" s="75"/>
      <c r="BM627" s="75"/>
      <c r="BN627" s="75"/>
      <c r="BO627" s="75"/>
      <c r="BP627" s="75"/>
      <c r="BQ627" s="75"/>
      <c r="BR627" s="75"/>
      <c r="BS627" s="75"/>
      <c r="BT627" s="75"/>
      <c r="BU627" s="75"/>
      <c r="BV627" s="75"/>
      <c r="BW627" s="75"/>
      <c r="BX627" s="75"/>
      <c r="BY627" s="75"/>
      <c r="BZ627" s="75"/>
      <c r="CA627" s="75"/>
      <c r="CB627" s="75"/>
      <c r="CC627" s="75"/>
      <c r="CD627" s="75"/>
      <c r="CE627" s="75"/>
      <c r="CF627" s="75"/>
      <c r="CG627" s="75"/>
      <c r="CH627" s="75"/>
      <c r="CI627" s="75"/>
      <c r="CJ627" s="75"/>
      <c r="CK627" s="75"/>
      <c r="CL627" s="75"/>
      <c r="CM627" s="75"/>
      <c r="CN627" s="75"/>
      <c r="CO627" s="75"/>
      <c r="CP627" s="75"/>
      <c r="CQ627" s="75"/>
      <c r="CR627" s="75"/>
      <c r="CS627" s="75"/>
      <c r="CT627" s="75"/>
      <c r="CU627" s="75"/>
      <c r="CV627" s="75"/>
      <c r="CW627" s="75"/>
      <c r="CX627" s="75"/>
      <c r="CY627" s="75"/>
      <c r="CZ627" s="75"/>
      <c r="DA627" s="75"/>
      <c r="DB627" s="75"/>
      <c r="DC627" s="75"/>
      <c r="DD627" s="75"/>
      <c r="DE627" s="75"/>
      <c r="DF627" s="75"/>
      <c r="DG627" s="75"/>
      <c r="DH627" s="75"/>
      <c r="DI627" s="75"/>
      <c r="DJ627" s="75"/>
      <c r="DK627" s="75"/>
      <c r="DL627" s="75"/>
      <c r="DM627" s="75"/>
      <c r="DN627" s="75"/>
      <c r="DO627" s="75"/>
      <c r="DP627" s="75"/>
      <c r="DQ627" s="75"/>
      <c r="DR627" s="75"/>
      <c r="DS627" s="75"/>
      <c r="DT627" s="75"/>
      <c r="DU627" s="75"/>
      <c r="DV627" s="75"/>
      <c r="DW627" s="75"/>
      <c r="DX627" s="75"/>
      <c r="DY627" s="75"/>
      <c r="DZ627" s="75"/>
      <c r="EA627" s="75"/>
      <c r="EB627" s="75"/>
      <c r="EC627" s="75"/>
      <c r="ED627" s="75"/>
      <c r="EE627" s="75"/>
      <c r="EF627" s="75"/>
      <c r="EG627" s="75"/>
      <c r="EH627" s="75"/>
      <c r="EI627" s="75"/>
      <c r="EJ627" s="75"/>
      <c r="EK627" s="75"/>
      <c r="EL627" s="75"/>
      <c r="EM627" s="75"/>
      <c r="EN627" s="75"/>
      <c r="EO627" s="75"/>
      <c r="EP627" s="75"/>
      <c r="EQ627" s="75"/>
      <c r="ER627" s="75"/>
      <c r="ES627" s="75"/>
      <c r="ET627" s="75"/>
      <c r="EU627" s="75"/>
      <c r="EV627" s="75"/>
      <c r="EW627" s="75"/>
      <c r="EX627" s="75"/>
      <c r="EY627" s="75"/>
      <c r="EZ627" s="75"/>
      <c r="FA627" s="75"/>
      <c r="FB627" s="75"/>
      <c r="FC627" s="75"/>
      <c r="FD627" s="75"/>
      <c r="FE627" s="75"/>
      <c r="FF627" s="75"/>
      <c r="FG627" s="75"/>
      <c r="FH627" s="75"/>
      <c r="FI627" s="75"/>
      <c r="FJ627" s="75"/>
      <c r="FK627" s="75"/>
      <c r="FL627" s="75"/>
      <c r="FM627" s="75"/>
      <c r="FN627" s="75"/>
      <c r="FO627" s="75"/>
      <c r="FP627" s="75"/>
      <c r="FQ627" s="75"/>
      <c r="FR627" s="75"/>
      <c r="FS627" s="75"/>
      <c r="FT627" s="75"/>
      <c r="FU627" s="75"/>
      <c r="FV627" s="75"/>
      <c r="FW627" s="75"/>
      <c r="FX627" s="75"/>
      <c r="FY627" s="75"/>
      <c r="FZ627" s="75"/>
      <c r="GA627" s="75"/>
      <c r="GB627" s="75"/>
      <c r="GC627" s="75"/>
      <c r="GD627" s="75"/>
      <c r="GE627" s="75"/>
      <c r="GF627" s="75"/>
      <c r="GG627" s="75"/>
      <c r="GH627" s="75"/>
      <c r="GI627" s="75"/>
      <c r="GJ627" s="75"/>
      <c r="GK627" s="75"/>
      <c r="GL627" s="75"/>
      <c r="GM627" s="75"/>
      <c r="GN627" s="75"/>
      <c r="GO627" s="75"/>
      <c r="GP627" s="75"/>
      <c r="GQ627" s="75"/>
      <c r="GR627" s="75"/>
      <c r="GS627" s="75"/>
      <c r="GT627" s="75"/>
      <c r="GU627" s="75"/>
      <c r="GV627" s="75"/>
      <c r="GW627" s="75"/>
      <c r="GX627" s="75"/>
      <c r="GY627" s="75"/>
      <c r="GZ627" s="75"/>
      <c r="HA627" s="75"/>
      <c r="HB627" s="75"/>
      <c r="HC627" s="75"/>
      <c r="HD627" s="75"/>
      <c r="HE627" s="75"/>
      <c r="HF627" s="75"/>
      <c r="HG627" s="75"/>
      <c r="HH627" s="75"/>
      <c r="HI627" s="75"/>
    </row>
    <row r="628" spans="1:217" s="156" customFormat="1" ht="25.5" customHeight="1" hidden="1">
      <c r="A628" s="72" t="s">
        <v>205</v>
      </c>
      <c r="B628" s="131"/>
      <c r="C628" s="131"/>
      <c r="D628" s="122">
        <f>D632*D636</f>
        <v>0</v>
      </c>
      <c r="E628" s="122"/>
      <c r="F628" s="122">
        <f>F632*F636</f>
        <v>0</v>
      </c>
      <c r="G628" s="122">
        <f>G632*G636</f>
        <v>7500</v>
      </c>
      <c r="H628" s="122"/>
      <c r="I628" s="122"/>
      <c r="J628" s="122">
        <f>J632*J636</f>
        <v>7500</v>
      </c>
      <c r="K628" s="122"/>
      <c r="L628" s="122"/>
      <c r="M628" s="122"/>
      <c r="N628" s="122">
        <f>N632*N636</f>
        <v>7500</v>
      </c>
      <c r="O628" s="122"/>
      <c r="P628" s="122">
        <f>P632*P636</f>
        <v>7500</v>
      </c>
      <c r="Q628" s="75"/>
      <c r="R628" s="75"/>
      <c r="S628" s="75"/>
      <c r="T628" s="75"/>
      <c r="U628" s="75"/>
      <c r="V628" s="75"/>
      <c r="W628" s="75"/>
      <c r="X628" s="75"/>
      <c r="Y628" s="75"/>
      <c r="Z628" s="75"/>
      <c r="AA628" s="75"/>
      <c r="AB628" s="75"/>
      <c r="AC628" s="75"/>
      <c r="AD628" s="75"/>
      <c r="AE628" s="75"/>
      <c r="AF628" s="75"/>
      <c r="AG628" s="75"/>
      <c r="AH628" s="75"/>
      <c r="AI628" s="75"/>
      <c r="AJ628" s="75"/>
      <c r="AK628" s="75"/>
      <c r="AL628" s="75"/>
      <c r="AM628" s="75"/>
      <c r="AN628" s="75"/>
      <c r="AO628" s="75"/>
      <c r="AP628" s="75"/>
      <c r="AQ628" s="75"/>
      <c r="AR628" s="75"/>
      <c r="AS628" s="75"/>
      <c r="AT628" s="75"/>
      <c r="AU628" s="75"/>
      <c r="AV628" s="75"/>
      <c r="AW628" s="75"/>
      <c r="AX628" s="75"/>
      <c r="AY628" s="75"/>
      <c r="AZ628" s="75"/>
      <c r="BA628" s="75"/>
      <c r="BB628" s="75"/>
      <c r="BC628" s="75"/>
      <c r="BD628" s="75"/>
      <c r="BE628" s="75"/>
      <c r="BF628" s="75"/>
      <c r="BG628" s="75"/>
      <c r="BH628" s="75"/>
      <c r="BI628" s="75"/>
      <c r="BJ628" s="75"/>
      <c r="BK628" s="75"/>
      <c r="BL628" s="75"/>
      <c r="BM628" s="75"/>
      <c r="BN628" s="75"/>
      <c r="BO628" s="75"/>
      <c r="BP628" s="75"/>
      <c r="BQ628" s="75"/>
      <c r="BR628" s="75"/>
      <c r="BS628" s="75"/>
      <c r="BT628" s="75"/>
      <c r="BU628" s="75"/>
      <c r="BV628" s="75"/>
      <c r="BW628" s="75"/>
      <c r="BX628" s="75"/>
      <c r="BY628" s="75"/>
      <c r="BZ628" s="75"/>
      <c r="CA628" s="75"/>
      <c r="CB628" s="75"/>
      <c r="CC628" s="75"/>
      <c r="CD628" s="75"/>
      <c r="CE628" s="75"/>
      <c r="CF628" s="75"/>
      <c r="CG628" s="75"/>
      <c r="CH628" s="75"/>
      <c r="CI628" s="75"/>
      <c r="CJ628" s="75"/>
      <c r="CK628" s="75"/>
      <c r="CL628" s="75"/>
      <c r="CM628" s="75"/>
      <c r="CN628" s="75"/>
      <c r="CO628" s="75"/>
      <c r="CP628" s="75"/>
      <c r="CQ628" s="75"/>
      <c r="CR628" s="75"/>
      <c r="CS628" s="75"/>
      <c r="CT628" s="75"/>
      <c r="CU628" s="75"/>
      <c r="CV628" s="75"/>
      <c r="CW628" s="75"/>
      <c r="CX628" s="75"/>
      <c r="CY628" s="75"/>
      <c r="CZ628" s="75"/>
      <c r="DA628" s="75"/>
      <c r="DB628" s="75"/>
      <c r="DC628" s="75"/>
      <c r="DD628" s="75"/>
      <c r="DE628" s="75"/>
      <c r="DF628" s="75"/>
      <c r="DG628" s="75"/>
      <c r="DH628" s="75"/>
      <c r="DI628" s="75"/>
      <c r="DJ628" s="75"/>
      <c r="DK628" s="75"/>
      <c r="DL628" s="75"/>
      <c r="DM628" s="75"/>
      <c r="DN628" s="75"/>
      <c r="DO628" s="75"/>
      <c r="DP628" s="75"/>
      <c r="DQ628" s="75"/>
      <c r="DR628" s="75"/>
      <c r="DS628" s="75"/>
      <c r="DT628" s="75"/>
      <c r="DU628" s="75"/>
      <c r="DV628" s="75"/>
      <c r="DW628" s="75"/>
      <c r="DX628" s="75"/>
      <c r="DY628" s="75"/>
      <c r="DZ628" s="75"/>
      <c r="EA628" s="75"/>
      <c r="EB628" s="75"/>
      <c r="EC628" s="75"/>
      <c r="ED628" s="75"/>
      <c r="EE628" s="75"/>
      <c r="EF628" s="75"/>
      <c r="EG628" s="75"/>
      <c r="EH628" s="75"/>
      <c r="EI628" s="75"/>
      <c r="EJ628" s="75"/>
      <c r="EK628" s="75"/>
      <c r="EL628" s="75"/>
      <c r="EM628" s="75"/>
      <c r="EN628" s="75"/>
      <c r="EO628" s="75"/>
      <c r="EP628" s="75"/>
      <c r="EQ628" s="75"/>
      <c r="ER628" s="75"/>
      <c r="ES628" s="75"/>
      <c r="ET628" s="75"/>
      <c r="EU628" s="75"/>
      <c r="EV628" s="75"/>
      <c r="EW628" s="75"/>
      <c r="EX628" s="75"/>
      <c r="EY628" s="75"/>
      <c r="EZ628" s="75"/>
      <c r="FA628" s="75"/>
      <c r="FB628" s="75"/>
      <c r="FC628" s="75"/>
      <c r="FD628" s="75"/>
      <c r="FE628" s="75"/>
      <c r="FF628" s="75"/>
      <c r="FG628" s="75"/>
      <c r="FH628" s="75"/>
      <c r="FI628" s="75"/>
      <c r="FJ628" s="75"/>
      <c r="FK628" s="75"/>
      <c r="FL628" s="75"/>
      <c r="FM628" s="75"/>
      <c r="FN628" s="75"/>
      <c r="FO628" s="75"/>
      <c r="FP628" s="75"/>
      <c r="FQ628" s="75"/>
      <c r="FR628" s="75"/>
      <c r="FS628" s="75"/>
      <c r="FT628" s="75"/>
      <c r="FU628" s="75"/>
      <c r="FV628" s="75"/>
      <c r="FW628" s="75"/>
      <c r="FX628" s="75"/>
      <c r="FY628" s="75"/>
      <c r="FZ628" s="75"/>
      <c r="GA628" s="75"/>
      <c r="GB628" s="75"/>
      <c r="GC628" s="75"/>
      <c r="GD628" s="75"/>
      <c r="GE628" s="75"/>
      <c r="GF628" s="75"/>
      <c r="GG628" s="75"/>
      <c r="GH628" s="75"/>
      <c r="GI628" s="75"/>
      <c r="GJ628" s="75"/>
      <c r="GK628" s="75"/>
      <c r="GL628" s="75"/>
      <c r="GM628" s="75"/>
      <c r="GN628" s="75"/>
      <c r="GO628" s="75"/>
      <c r="GP628" s="75"/>
      <c r="GQ628" s="75"/>
      <c r="GR628" s="75"/>
      <c r="GS628" s="75"/>
      <c r="GT628" s="75"/>
      <c r="GU628" s="75"/>
      <c r="GV628" s="75"/>
      <c r="GW628" s="75"/>
      <c r="GX628" s="75"/>
      <c r="GY628" s="75"/>
      <c r="GZ628" s="75"/>
      <c r="HA628" s="75"/>
      <c r="HB628" s="75"/>
      <c r="HC628" s="75"/>
      <c r="HD628" s="75"/>
      <c r="HE628" s="75"/>
      <c r="HF628" s="75"/>
      <c r="HG628" s="75"/>
      <c r="HH628" s="75"/>
      <c r="HI628" s="75"/>
    </row>
    <row r="629" spans="1:217" s="156" customFormat="1" ht="11.25" hidden="1">
      <c r="A629" s="128" t="s">
        <v>3</v>
      </c>
      <c r="B629" s="128"/>
      <c r="C629" s="128"/>
      <c r="D629" s="158"/>
      <c r="E629" s="158"/>
      <c r="F629" s="159"/>
      <c r="G629" s="158"/>
      <c r="H629" s="158"/>
      <c r="I629" s="158"/>
      <c r="J629" s="159"/>
      <c r="K629" s="159"/>
      <c r="L629" s="158"/>
      <c r="M629" s="158"/>
      <c r="N629" s="158"/>
      <c r="O629" s="158"/>
      <c r="P629" s="159"/>
      <c r="Q629" s="75"/>
      <c r="R629" s="75"/>
      <c r="S629" s="75"/>
      <c r="T629" s="75"/>
      <c r="U629" s="75"/>
      <c r="V629" s="75"/>
      <c r="W629" s="75"/>
      <c r="X629" s="75"/>
      <c r="Y629" s="75"/>
      <c r="Z629" s="75"/>
      <c r="AA629" s="75"/>
      <c r="AB629" s="75"/>
      <c r="AC629" s="75"/>
      <c r="AD629" s="75"/>
      <c r="AE629" s="75"/>
      <c r="AF629" s="75"/>
      <c r="AG629" s="75"/>
      <c r="AH629" s="75"/>
      <c r="AI629" s="75"/>
      <c r="AJ629" s="75"/>
      <c r="AK629" s="75"/>
      <c r="AL629" s="75"/>
      <c r="AM629" s="75"/>
      <c r="AN629" s="75"/>
      <c r="AO629" s="75"/>
      <c r="AP629" s="75"/>
      <c r="AQ629" s="75"/>
      <c r="AR629" s="75"/>
      <c r="AS629" s="75"/>
      <c r="AT629" s="75"/>
      <c r="AU629" s="75"/>
      <c r="AV629" s="75"/>
      <c r="AW629" s="75"/>
      <c r="AX629" s="75"/>
      <c r="AY629" s="75"/>
      <c r="AZ629" s="75"/>
      <c r="BA629" s="75"/>
      <c r="BB629" s="75"/>
      <c r="BC629" s="75"/>
      <c r="BD629" s="75"/>
      <c r="BE629" s="75"/>
      <c r="BF629" s="75"/>
      <c r="BG629" s="75"/>
      <c r="BH629" s="75"/>
      <c r="BI629" s="75"/>
      <c r="BJ629" s="75"/>
      <c r="BK629" s="75"/>
      <c r="BL629" s="75"/>
      <c r="BM629" s="75"/>
      <c r="BN629" s="75"/>
      <c r="BO629" s="75"/>
      <c r="BP629" s="75"/>
      <c r="BQ629" s="75"/>
      <c r="BR629" s="75"/>
      <c r="BS629" s="75"/>
      <c r="BT629" s="75"/>
      <c r="BU629" s="75"/>
      <c r="BV629" s="75"/>
      <c r="BW629" s="75"/>
      <c r="BX629" s="75"/>
      <c r="BY629" s="75"/>
      <c r="BZ629" s="75"/>
      <c r="CA629" s="75"/>
      <c r="CB629" s="75"/>
      <c r="CC629" s="75"/>
      <c r="CD629" s="75"/>
      <c r="CE629" s="75"/>
      <c r="CF629" s="75"/>
      <c r="CG629" s="75"/>
      <c r="CH629" s="75"/>
      <c r="CI629" s="75"/>
      <c r="CJ629" s="75"/>
      <c r="CK629" s="75"/>
      <c r="CL629" s="75"/>
      <c r="CM629" s="75"/>
      <c r="CN629" s="75"/>
      <c r="CO629" s="75"/>
      <c r="CP629" s="75"/>
      <c r="CQ629" s="75"/>
      <c r="CR629" s="75"/>
      <c r="CS629" s="75"/>
      <c r="CT629" s="75"/>
      <c r="CU629" s="75"/>
      <c r="CV629" s="75"/>
      <c r="CW629" s="75"/>
      <c r="CX629" s="75"/>
      <c r="CY629" s="75"/>
      <c r="CZ629" s="75"/>
      <c r="DA629" s="75"/>
      <c r="DB629" s="75"/>
      <c r="DC629" s="75"/>
      <c r="DD629" s="75"/>
      <c r="DE629" s="75"/>
      <c r="DF629" s="75"/>
      <c r="DG629" s="75"/>
      <c r="DH629" s="75"/>
      <c r="DI629" s="75"/>
      <c r="DJ629" s="75"/>
      <c r="DK629" s="75"/>
      <c r="DL629" s="75"/>
      <c r="DM629" s="75"/>
      <c r="DN629" s="75"/>
      <c r="DO629" s="75"/>
      <c r="DP629" s="75"/>
      <c r="DQ629" s="75"/>
      <c r="DR629" s="75"/>
      <c r="DS629" s="75"/>
      <c r="DT629" s="75"/>
      <c r="DU629" s="75"/>
      <c r="DV629" s="75"/>
      <c r="DW629" s="75"/>
      <c r="DX629" s="75"/>
      <c r="DY629" s="75"/>
      <c r="DZ629" s="75"/>
      <c r="EA629" s="75"/>
      <c r="EB629" s="75"/>
      <c r="EC629" s="75"/>
      <c r="ED629" s="75"/>
      <c r="EE629" s="75"/>
      <c r="EF629" s="75"/>
      <c r="EG629" s="75"/>
      <c r="EH629" s="75"/>
      <c r="EI629" s="75"/>
      <c r="EJ629" s="75"/>
      <c r="EK629" s="75"/>
      <c r="EL629" s="75"/>
      <c r="EM629" s="75"/>
      <c r="EN629" s="75"/>
      <c r="EO629" s="75"/>
      <c r="EP629" s="75"/>
      <c r="EQ629" s="75"/>
      <c r="ER629" s="75"/>
      <c r="ES629" s="75"/>
      <c r="ET629" s="75"/>
      <c r="EU629" s="75"/>
      <c r="EV629" s="75"/>
      <c r="EW629" s="75"/>
      <c r="EX629" s="75"/>
      <c r="EY629" s="75"/>
      <c r="EZ629" s="75"/>
      <c r="FA629" s="75"/>
      <c r="FB629" s="75"/>
      <c r="FC629" s="75"/>
      <c r="FD629" s="75"/>
      <c r="FE629" s="75"/>
      <c r="FF629" s="75"/>
      <c r="FG629" s="75"/>
      <c r="FH629" s="75"/>
      <c r="FI629" s="75"/>
      <c r="FJ629" s="75"/>
      <c r="FK629" s="75"/>
      <c r="FL629" s="75"/>
      <c r="FM629" s="75"/>
      <c r="FN629" s="75"/>
      <c r="FO629" s="75"/>
      <c r="FP629" s="75"/>
      <c r="FQ629" s="75"/>
      <c r="FR629" s="75"/>
      <c r="FS629" s="75"/>
      <c r="FT629" s="75"/>
      <c r="FU629" s="75"/>
      <c r="FV629" s="75"/>
      <c r="FW629" s="75"/>
      <c r="FX629" s="75"/>
      <c r="FY629" s="75"/>
      <c r="FZ629" s="75"/>
      <c r="GA629" s="75"/>
      <c r="GB629" s="75"/>
      <c r="GC629" s="75"/>
      <c r="GD629" s="75"/>
      <c r="GE629" s="75"/>
      <c r="GF629" s="75"/>
      <c r="GG629" s="75"/>
      <c r="GH629" s="75"/>
      <c r="GI629" s="75"/>
      <c r="GJ629" s="75"/>
      <c r="GK629" s="75"/>
      <c r="GL629" s="75"/>
      <c r="GM629" s="75"/>
      <c r="GN629" s="75"/>
      <c r="GO629" s="75"/>
      <c r="GP629" s="75"/>
      <c r="GQ629" s="75"/>
      <c r="GR629" s="75"/>
      <c r="GS629" s="75"/>
      <c r="GT629" s="75"/>
      <c r="GU629" s="75"/>
      <c r="GV629" s="75"/>
      <c r="GW629" s="75"/>
      <c r="GX629" s="75"/>
      <c r="GY629" s="75"/>
      <c r="GZ629" s="75"/>
      <c r="HA629" s="75"/>
      <c r="HB629" s="75"/>
      <c r="HC629" s="75"/>
      <c r="HD629" s="75"/>
      <c r="HE629" s="75"/>
      <c r="HF629" s="75"/>
      <c r="HG629" s="75"/>
      <c r="HH629" s="75"/>
      <c r="HI629" s="75"/>
    </row>
    <row r="630" spans="1:217" s="156" customFormat="1" ht="30" customHeight="1" hidden="1">
      <c r="A630" s="72" t="s">
        <v>206</v>
      </c>
      <c r="B630" s="128"/>
      <c r="C630" s="128"/>
      <c r="D630" s="160">
        <v>4</v>
      </c>
      <c r="E630" s="158"/>
      <c r="F630" s="160">
        <f>D630</f>
        <v>4</v>
      </c>
      <c r="G630" s="160">
        <v>15</v>
      </c>
      <c r="H630" s="158"/>
      <c r="I630" s="158"/>
      <c r="J630" s="160">
        <f>G630</f>
        <v>15</v>
      </c>
      <c r="K630" s="159"/>
      <c r="L630" s="158"/>
      <c r="M630" s="158"/>
      <c r="N630" s="160">
        <v>15</v>
      </c>
      <c r="O630" s="158"/>
      <c r="P630" s="160">
        <f>N630</f>
        <v>15</v>
      </c>
      <c r="Q630" s="75"/>
      <c r="R630" s="75"/>
      <c r="S630" s="75"/>
      <c r="T630" s="75"/>
      <c r="U630" s="75"/>
      <c r="V630" s="75"/>
      <c r="W630" s="75"/>
      <c r="X630" s="75"/>
      <c r="Y630" s="75"/>
      <c r="Z630" s="75"/>
      <c r="AA630" s="75"/>
      <c r="AB630" s="75"/>
      <c r="AC630" s="75"/>
      <c r="AD630" s="75"/>
      <c r="AE630" s="75"/>
      <c r="AF630" s="75"/>
      <c r="AG630" s="75"/>
      <c r="AH630" s="75"/>
      <c r="AI630" s="75"/>
      <c r="AJ630" s="75"/>
      <c r="AK630" s="75"/>
      <c r="AL630" s="75"/>
      <c r="AM630" s="75"/>
      <c r="AN630" s="75"/>
      <c r="AO630" s="75"/>
      <c r="AP630" s="75"/>
      <c r="AQ630" s="75"/>
      <c r="AR630" s="75"/>
      <c r="AS630" s="75"/>
      <c r="AT630" s="75"/>
      <c r="AU630" s="75"/>
      <c r="AV630" s="75"/>
      <c r="AW630" s="75"/>
      <c r="AX630" s="75"/>
      <c r="AY630" s="75"/>
      <c r="AZ630" s="75"/>
      <c r="BA630" s="75"/>
      <c r="BB630" s="75"/>
      <c r="BC630" s="75"/>
      <c r="BD630" s="75"/>
      <c r="BE630" s="75"/>
      <c r="BF630" s="75"/>
      <c r="BG630" s="75"/>
      <c r="BH630" s="75"/>
      <c r="BI630" s="75"/>
      <c r="BJ630" s="75"/>
      <c r="BK630" s="75"/>
      <c r="BL630" s="75"/>
      <c r="BM630" s="75"/>
      <c r="BN630" s="75"/>
      <c r="BO630" s="75"/>
      <c r="BP630" s="75"/>
      <c r="BQ630" s="75"/>
      <c r="BR630" s="75"/>
      <c r="BS630" s="75"/>
      <c r="BT630" s="75"/>
      <c r="BU630" s="75"/>
      <c r="BV630" s="75"/>
      <c r="BW630" s="75"/>
      <c r="BX630" s="75"/>
      <c r="BY630" s="75"/>
      <c r="BZ630" s="75"/>
      <c r="CA630" s="75"/>
      <c r="CB630" s="75"/>
      <c r="CC630" s="75"/>
      <c r="CD630" s="75"/>
      <c r="CE630" s="75"/>
      <c r="CF630" s="75"/>
      <c r="CG630" s="75"/>
      <c r="CH630" s="75"/>
      <c r="CI630" s="75"/>
      <c r="CJ630" s="75"/>
      <c r="CK630" s="75"/>
      <c r="CL630" s="75"/>
      <c r="CM630" s="75"/>
      <c r="CN630" s="75"/>
      <c r="CO630" s="75"/>
      <c r="CP630" s="75"/>
      <c r="CQ630" s="75"/>
      <c r="CR630" s="75"/>
      <c r="CS630" s="75"/>
      <c r="CT630" s="75"/>
      <c r="CU630" s="75"/>
      <c r="CV630" s="75"/>
      <c r="CW630" s="75"/>
      <c r="CX630" s="75"/>
      <c r="CY630" s="75"/>
      <c r="CZ630" s="75"/>
      <c r="DA630" s="75"/>
      <c r="DB630" s="75"/>
      <c r="DC630" s="75"/>
      <c r="DD630" s="75"/>
      <c r="DE630" s="75"/>
      <c r="DF630" s="75"/>
      <c r="DG630" s="75"/>
      <c r="DH630" s="75"/>
      <c r="DI630" s="75"/>
      <c r="DJ630" s="75"/>
      <c r="DK630" s="75"/>
      <c r="DL630" s="75"/>
      <c r="DM630" s="75"/>
      <c r="DN630" s="75"/>
      <c r="DO630" s="75"/>
      <c r="DP630" s="75"/>
      <c r="DQ630" s="75"/>
      <c r="DR630" s="75"/>
      <c r="DS630" s="75"/>
      <c r="DT630" s="75"/>
      <c r="DU630" s="75"/>
      <c r="DV630" s="75"/>
      <c r="DW630" s="75"/>
      <c r="DX630" s="75"/>
      <c r="DY630" s="75"/>
      <c r="DZ630" s="75"/>
      <c r="EA630" s="75"/>
      <c r="EB630" s="75"/>
      <c r="EC630" s="75"/>
      <c r="ED630" s="75"/>
      <c r="EE630" s="75"/>
      <c r="EF630" s="75"/>
      <c r="EG630" s="75"/>
      <c r="EH630" s="75"/>
      <c r="EI630" s="75"/>
      <c r="EJ630" s="75"/>
      <c r="EK630" s="75"/>
      <c r="EL630" s="75"/>
      <c r="EM630" s="75"/>
      <c r="EN630" s="75"/>
      <c r="EO630" s="75"/>
      <c r="EP630" s="75"/>
      <c r="EQ630" s="75"/>
      <c r="ER630" s="75"/>
      <c r="ES630" s="75"/>
      <c r="ET630" s="75"/>
      <c r="EU630" s="75"/>
      <c r="EV630" s="75"/>
      <c r="EW630" s="75"/>
      <c r="EX630" s="75"/>
      <c r="EY630" s="75"/>
      <c r="EZ630" s="75"/>
      <c r="FA630" s="75"/>
      <c r="FB630" s="75"/>
      <c r="FC630" s="75"/>
      <c r="FD630" s="75"/>
      <c r="FE630" s="75"/>
      <c r="FF630" s="75"/>
      <c r="FG630" s="75"/>
      <c r="FH630" s="75"/>
      <c r="FI630" s="75"/>
      <c r="FJ630" s="75"/>
      <c r="FK630" s="75"/>
      <c r="FL630" s="75"/>
      <c r="FM630" s="75"/>
      <c r="FN630" s="75"/>
      <c r="FO630" s="75"/>
      <c r="FP630" s="75"/>
      <c r="FQ630" s="75"/>
      <c r="FR630" s="75"/>
      <c r="FS630" s="75"/>
      <c r="FT630" s="75"/>
      <c r="FU630" s="75"/>
      <c r="FV630" s="75"/>
      <c r="FW630" s="75"/>
      <c r="FX630" s="75"/>
      <c r="FY630" s="75"/>
      <c r="FZ630" s="75"/>
      <c r="GA630" s="75"/>
      <c r="GB630" s="75"/>
      <c r="GC630" s="75"/>
      <c r="GD630" s="75"/>
      <c r="GE630" s="75"/>
      <c r="GF630" s="75"/>
      <c r="GG630" s="75"/>
      <c r="GH630" s="75"/>
      <c r="GI630" s="75"/>
      <c r="GJ630" s="75"/>
      <c r="GK630" s="75"/>
      <c r="GL630" s="75"/>
      <c r="GM630" s="75"/>
      <c r="GN630" s="75"/>
      <c r="GO630" s="75"/>
      <c r="GP630" s="75"/>
      <c r="GQ630" s="75"/>
      <c r="GR630" s="75"/>
      <c r="GS630" s="75"/>
      <c r="GT630" s="75"/>
      <c r="GU630" s="75"/>
      <c r="GV630" s="75"/>
      <c r="GW630" s="75"/>
      <c r="GX630" s="75"/>
      <c r="GY630" s="75"/>
      <c r="GZ630" s="75"/>
      <c r="HA630" s="75"/>
      <c r="HB630" s="75"/>
      <c r="HC630" s="75"/>
      <c r="HD630" s="75"/>
      <c r="HE630" s="75"/>
      <c r="HF630" s="75"/>
      <c r="HG630" s="75"/>
      <c r="HH630" s="75"/>
      <c r="HI630" s="75"/>
    </row>
    <row r="631" spans="1:217" s="156" customFormat="1" ht="24" customHeight="1" hidden="1">
      <c r="A631" s="72" t="s">
        <v>207</v>
      </c>
      <c r="B631" s="131"/>
      <c r="C631" s="131"/>
      <c r="D631" s="160">
        <v>10</v>
      </c>
      <c r="E631" s="159"/>
      <c r="F631" s="160">
        <f>D631</f>
        <v>10</v>
      </c>
      <c r="G631" s="160">
        <v>20</v>
      </c>
      <c r="H631" s="159"/>
      <c r="I631" s="159"/>
      <c r="J631" s="160">
        <f>G631</f>
        <v>20</v>
      </c>
      <c r="K631" s="159">
        <f>G631/D631*100</f>
        <v>200</v>
      </c>
      <c r="L631" s="159"/>
      <c r="M631" s="159"/>
      <c r="N631" s="160">
        <v>20</v>
      </c>
      <c r="O631" s="159"/>
      <c r="P631" s="160">
        <f>N631</f>
        <v>20</v>
      </c>
      <c r="Q631" s="75"/>
      <c r="R631" s="75"/>
      <c r="S631" s="75"/>
      <c r="T631" s="75"/>
      <c r="U631" s="75"/>
      <c r="V631" s="75"/>
      <c r="W631" s="75"/>
      <c r="X631" s="75"/>
      <c r="Y631" s="75"/>
      <c r="Z631" s="75"/>
      <c r="AA631" s="75"/>
      <c r="AB631" s="75"/>
      <c r="AC631" s="75"/>
      <c r="AD631" s="75"/>
      <c r="AE631" s="75"/>
      <c r="AF631" s="75"/>
      <c r="AG631" s="75"/>
      <c r="AH631" s="75"/>
      <c r="AI631" s="75"/>
      <c r="AJ631" s="75"/>
      <c r="AK631" s="75"/>
      <c r="AL631" s="75"/>
      <c r="AM631" s="75"/>
      <c r="AN631" s="75"/>
      <c r="AO631" s="75"/>
      <c r="AP631" s="75"/>
      <c r="AQ631" s="75"/>
      <c r="AR631" s="75"/>
      <c r="AS631" s="75"/>
      <c r="AT631" s="75"/>
      <c r="AU631" s="75"/>
      <c r="AV631" s="75"/>
      <c r="AW631" s="75"/>
      <c r="AX631" s="75"/>
      <c r="AY631" s="75"/>
      <c r="AZ631" s="75"/>
      <c r="BA631" s="75"/>
      <c r="BB631" s="75"/>
      <c r="BC631" s="75"/>
      <c r="BD631" s="75"/>
      <c r="BE631" s="75"/>
      <c r="BF631" s="75"/>
      <c r="BG631" s="75"/>
      <c r="BH631" s="75"/>
      <c r="BI631" s="75"/>
      <c r="BJ631" s="75"/>
      <c r="BK631" s="75"/>
      <c r="BL631" s="75"/>
      <c r="BM631" s="75"/>
      <c r="BN631" s="75"/>
      <c r="BO631" s="75"/>
      <c r="BP631" s="75"/>
      <c r="BQ631" s="75"/>
      <c r="BR631" s="75"/>
      <c r="BS631" s="75"/>
      <c r="BT631" s="75"/>
      <c r="BU631" s="75"/>
      <c r="BV631" s="75"/>
      <c r="BW631" s="75"/>
      <c r="BX631" s="75"/>
      <c r="BY631" s="75"/>
      <c r="BZ631" s="75"/>
      <c r="CA631" s="75"/>
      <c r="CB631" s="75"/>
      <c r="CC631" s="75"/>
      <c r="CD631" s="75"/>
      <c r="CE631" s="75"/>
      <c r="CF631" s="75"/>
      <c r="CG631" s="75"/>
      <c r="CH631" s="75"/>
      <c r="CI631" s="75"/>
      <c r="CJ631" s="75"/>
      <c r="CK631" s="75"/>
      <c r="CL631" s="75"/>
      <c r="CM631" s="75"/>
      <c r="CN631" s="75"/>
      <c r="CO631" s="75"/>
      <c r="CP631" s="75"/>
      <c r="CQ631" s="75"/>
      <c r="CR631" s="75"/>
      <c r="CS631" s="75"/>
      <c r="CT631" s="75"/>
      <c r="CU631" s="75"/>
      <c r="CV631" s="75"/>
      <c r="CW631" s="75"/>
      <c r="CX631" s="75"/>
      <c r="CY631" s="75"/>
      <c r="CZ631" s="75"/>
      <c r="DA631" s="75"/>
      <c r="DB631" s="75"/>
      <c r="DC631" s="75"/>
      <c r="DD631" s="75"/>
      <c r="DE631" s="75"/>
      <c r="DF631" s="75"/>
      <c r="DG631" s="75"/>
      <c r="DH631" s="75"/>
      <c r="DI631" s="75"/>
      <c r="DJ631" s="75"/>
      <c r="DK631" s="75"/>
      <c r="DL631" s="75"/>
      <c r="DM631" s="75"/>
      <c r="DN631" s="75"/>
      <c r="DO631" s="75"/>
      <c r="DP631" s="75"/>
      <c r="DQ631" s="75"/>
      <c r="DR631" s="75"/>
      <c r="DS631" s="75"/>
      <c r="DT631" s="75"/>
      <c r="DU631" s="75"/>
      <c r="DV631" s="75"/>
      <c r="DW631" s="75"/>
      <c r="DX631" s="75"/>
      <c r="DY631" s="75"/>
      <c r="DZ631" s="75"/>
      <c r="EA631" s="75"/>
      <c r="EB631" s="75"/>
      <c r="EC631" s="75"/>
      <c r="ED631" s="75"/>
      <c r="EE631" s="75"/>
      <c r="EF631" s="75"/>
      <c r="EG631" s="75"/>
      <c r="EH631" s="75"/>
      <c r="EI631" s="75"/>
      <c r="EJ631" s="75"/>
      <c r="EK631" s="75"/>
      <c r="EL631" s="75"/>
      <c r="EM631" s="75"/>
      <c r="EN631" s="75"/>
      <c r="EO631" s="75"/>
      <c r="EP631" s="75"/>
      <c r="EQ631" s="75"/>
      <c r="ER631" s="75"/>
      <c r="ES631" s="75"/>
      <c r="ET631" s="75"/>
      <c r="EU631" s="75"/>
      <c r="EV631" s="75"/>
      <c r="EW631" s="75"/>
      <c r="EX631" s="75"/>
      <c r="EY631" s="75"/>
      <c r="EZ631" s="75"/>
      <c r="FA631" s="75"/>
      <c r="FB631" s="75"/>
      <c r="FC631" s="75"/>
      <c r="FD631" s="75"/>
      <c r="FE631" s="75"/>
      <c r="FF631" s="75"/>
      <c r="FG631" s="75"/>
      <c r="FH631" s="75"/>
      <c r="FI631" s="75"/>
      <c r="FJ631" s="75"/>
      <c r="FK631" s="75"/>
      <c r="FL631" s="75"/>
      <c r="FM631" s="75"/>
      <c r="FN631" s="75"/>
      <c r="FO631" s="75"/>
      <c r="FP631" s="75"/>
      <c r="FQ631" s="75"/>
      <c r="FR631" s="75"/>
      <c r="FS631" s="75"/>
      <c r="FT631" s="75"/>
      <c r="FU631" s="75"/>
      <c r="FV631" s="75"/>
      <c r="FW631" s="75"/>
      <c r="FX631" s="75"/>
      <c r="FY631" s="75"/>
      <c r="FZ631" s="75"/>
      <c r="GA631" s="75"/>
      <c r="GB631" s="75"/>
      <c r="GC631" s="75"/>
      <c r="GD631" s="75"/>
      <c r="GE631" s="75"/>
      <c r="GF631" s="75"/>
      <c r="GG631" s="75"/>
      <c r="GH631" s="75"/>
      <c r="GI631" s="75"/>
      <c r="GJ631" s="75"/>
      <c r="GK631" s="75"/>
      <c r="GL631" s="75"/>
      <c r="GM631" s="75"/>
      <c r="GN631" s="75"/>
      <c r="GO631" s="75"/>
      <c r="GP631" s="75"/>
      <c r="GQ631" s="75"/>
      <c r="GR631" s="75"/>
      <c r="GS631" s="75"/>
      <c r="GT631" s="75"/>
      <c r="GU631" s="75"/>
      <c r="GV631" s="75"/>
      <c r="GW631" s="75"/>
      <c r="GX631" s="75"/>
      <c r="GY631" s="75"/>
      <c r="GZ631" s="75"/>
      <c r="HA631" s="75"/>
      <c r="HB631" s="75"/>
      <c r="HC631" s="75"/>
      <c r="HD631" s="75"/>
      <c r="HE631" s="75"/>
      <c r="HF631" s="75"/>
      <c r="HG631" s="75"/>
      <c r="HH631" s="75"/>
      <c r="HI631" s="75"/>
    </row>
    <row r="632" spans="1:217" s="156" customFormat="1" ht="24" customHeight="1" hidden="1">
      <c r="A632" s="72" t="s">
        <v>208</v>
      </c>
      <c r="B632" s="131"/>
      <c r="C632" s="131"/>
      <c r="D632" s="160"/>
      <c r="E632" s="159"/>
      <c r="F632" s="160">
        <v>25</v>
      </c>
      <c r="G632" s="160">
        <v>25</v>
      </c>
      <c r="H632" s="159"/>
      <c r="I632" s="159"/>
      <c r="J632" s="160">
        <v>25</v>
      </c>
      <c r="K632" s="159"/>
      <c r="L632" s="159"/>
      <c r="M632" s="159"/>
      <c r="N632" s="160">
        <v>25</v>
      </c>
      <c r="O632" s="159"/>
      <c r="P632" s="160">
        <v>25</v>
      </c>
      <c r="Q632" s="75"/>
      <c r="R632" s="75"/>
      <c r="S632" s="75"/>
      <c r="T632" s="75"/>
      <c r="U632" s="75"/>
      <c r="V632" s="75"/>
      <c r="W632" s="75"/>
      <c r="X632" s="75"/>
      <c r="Y632" s="75"/>
      <c r="Z632" s="75"/>
      <c r="AA632" s="75"/>
      <c r="AB632" s="75"/>
      <c r="AC632" s="75"/>
      <c r="AD632" s="75"/>
      <c r="AE632" s="75"/>
      <c r="AF632" s="75"/>
      <c r="AG632" s="75"/>
      <c r="AH632" s="75"/>
      <c r="AI632" s="75"/>
      <c r="AJ632" s="75"/>
      <c r="AK632" s="75"/>
      <c r="AL632" s="75"/>
      <c r="AM632" s="75"/>
      <c r="AN632" s="75"/>
      <c r="AO632" s="75"/>
      <c r="AP632" s="75"/>
      <c r="AQ632" s="75"/>
      <c r="AR632" s="75"/>
      <c r="AS632" s="75"/>
      <c r="AT632" s="75"/>
      <c r="AU632" s="75"/>
      <c r="AV632" s="75"/>
      <c r="AW632" s="75"/>
      <c r="AX632" s="75"/>
      <c r="AY632" s="75"/>
      <c r="AZ632" s="75"/>
      <c r="BA632" s="75"/>
      <c r="BB632" s="75"/>
      <c r="BC632" s="75"/>
      <c r="BD632" s="75"/>
      <c r="BE632" s="75"/>
      <c r="BF632" s="75"/>
      <c r="BG632" s="75"/>
      <c r="BH632" s="75"/>
      <c r="BI632" s="75"/>
      <c r="BJ632" s="75"/>
      <c r="BK632" s="75"/>
      <c r="BL632" s="75"/>
      <c r="BM632" s="75"/>
      <c r="BN632" s="75"/>
      <c r="BO632" s="75"/>
      <c r="BP632" s="75"/>
      <c r="BQ632" s="75"/>
      <c r="BR632" s="75"/>
      <c r="BS632" s="75"/>
      <c r="BT632" s="75"/>
      <c r="BU632" s="75"/>
      <c r="BV632" s="75"/>
      <c r="BW632" s="75"/>
      <c r="BX632" s="75"/>
      <c r="BY632" s="75"/>
      <c r="BZ632" s="75"/>
      <c r="CA632" s="75"/>
      <c r="CB632" s="75"/>
      <c r="CC632" s="75"/>
      <c r="CD632" s="75"/>
      <c r="CE632" s="75"/>
      <c r="CF632" s="75"/>
      <c r="CG632" s="75"/>
      <c r="CH632" s="75"/>
      <c r="CI632" s="75"/>
      <c r="CJ632" s="75"/>
      <c r="CK632" s="75"/>
      <c r="CL632" s="75"/>
      <c r="CM632" s="75"/>
      <c r="CN632" s="75"/>
      <c r="CO632" s="75"/>
      <c r="CP632" s="75"/>
      <c r="CQ632" s="75"/>
      <c r="CR632" s="75"/>
      <c r="CS632" s="75"/>
      <c r="CT632" s="75"/>
      <c r="CU632" s="75"/>
      <c r="CV632" s="75"/>
      <c r="CW632" s="75"/>
      <c r="CX632" s="75"/>
      <c r="CY632" s="75"/>
      <c r="CZ632" s="75"/>
      <c r="DA632" s="75"/>
      <c r="DB632" s="75"/>
      <c r="DC632" s="75"/>
      <c r="DD632" s="75"/>
      <c r="DE632" s="75"/>
      <c r="DF632" s="75"/>
      <c r="DG632" s="75"/>
      <c r="DH632" s="75"/>
      <c r="DI632" s="75"/>
      <c r="DJ632" s="75"/>
      <c r="DK632" s="75"/>
      <c r="DL632" s="75"/>
      <c r="DM632" s="75"/>
      <c r="DN632" s="75"/>
      <c r="DO632" s="75"/>
      <c r="DP632" s="75"/>
      <c r="DQ632" s="75"/>
      <c r="DR632" s="75"/>
      <c r="DS632" s="75"/>
      <c r="DT632" s="75"/>
      <c r="DU632" s="75"/>
      <c r="DV632" s="75"/>
      <c r="DW632" s="75"/>
      <c r="DX632" s="75"/>
      <c r="DY632" s="75"/>
      <c r="DZ632" s="75"/>
      <c r="EA632" s="75"/>
      <c r="EB632" s="75"/>
      <c r="EC632" s="75"/>
      <c r="ED632" s="75"/>
      <c r="EE632" s="75"/>
      <c r="EF632" s="75"/>
      <c r="EG632" s="75"/>
      <c r="EH632" s="75"/>
      <c r="EI632" s="75"/>
      <c r="EJ632" s="75"/>
      <c r="EK632" s="75"/>
      <c r="EL632" s="75"/>
      <c r="EM632" s="75"/>
      <c r="EN632" s="75"/>
      <c r="EO632" s="75"/>
      <c r="EP632" s="75"/>
      <c r="EQ632" s="75"/>
      <c r="ER632" s="75"/>
      <c r="ES632" s="75"/>
      <c r="ET632" s="75"/>
      <c r="EU632" s="75"/>
      <c r="EV632" s="75"/>
      <c r="EW632" s="75"/>
      <c r="EX632" s="75"/>
      <c r="EY632" s="75"/>
      <c r="EZ632" s="75"/>
      <c r="FA632" s="75"/>
      <c r="FB632" s="75"/>
      <c r="FC632" s="75"/>
      <c r="FD632" s="75"/>
      <c r="FE632" s="75"/>
      <c r="FF632" s="75"/>
      <c r="FG632" s="75"/>
      <c r="FH632" s="75"/>
      <c r="FI632" s="75"/>
      <c r="FJ632" s="75"/>
      <c r="FK632" s="75"/>
      <c r="FL632" s="75"/>
      <c r="FM632" s="75"/>
      <c r="FN632" s="75"/>
      <c r="FO632" s="75"/>
      <c r="FP632" s="75"/>
      <c r="FQ632" s="75"/>
      <c r="FR632" s="75"/>
      <c r="FS632" s="75"/>
      <c r="FT632" s="75"/>
      <c r="FU632" s="75"/>
      <c r="FV632" s="75"/>
      <c r="FW632" s="75"/>
      <c r="FX632" s="75"/>
      <c r="FY632" s="75"/>
      <c r="FZ632" s="75"/>
      <c r="GA632" s="75"/>
      <c r="GB632" s="75"/>
      <c r="GC632" s="75"/>
      <c r="GD632" s="75"/>
      <c r="GE632" s="75"/>
      <c r="GF632" s="75"/>
      <c r="GG632" s="75"/>
      <c r="GH632" s="75"/>
      <c r="GI632" s="75"/>
      <c r="GJ632" s="75"/>
      <c r="GK632" s="75"/>
      <c r="GL632" s="75"/>
      <c r="GM632" s="75"/>
      <c r="GN632" s="75"/>
      <c r="GO632" s="75"/>
      <c r="GP632" s="75"/>
      <c r="GQ632" s="75"/>
      <c r="GR632" s="75"/>
      <c r="GS632" s="75"/>
      <c r="GT632" s="75"/>
      <c r="GU632" s="75"/>
      <c r="GV632" s="75"/>
      <c r="GW632" s="75"/>
      <c r="GX632" s="75"/>
      <c r="GY632" s="75"/>
      <c r="GZ632" s="75"/>
      <c r="HA632" s="75"/>
      <c r="HB632" s="75"/>
      <c r="HC632" s="75"/>
      <c r="HD632" s="75"/>
      <c r="HE632" s="75"/>
      <c r="HF632" s="75"/>
      <c r="HG632" s="75"/>
      <c r="HH632" s="75"/>
      <c r="HI632" s="75"/>
    </row>
    <row r="633" spans="1:217" s="156" customFormat="1" ht="11.25" hidden="1">
      <c r="A633" s="128" t="s">
        <v>5</v>
      </c>
      <c r="B633" s="128"/>
      <c r="C633" s="128"/>
      <c r="D633" s="130"/>
      <c r="E633" s="130"/>
      <c r="F633" s="122"/>
      <c r="G633" s="130"/>
      <c r="H633" s="130"/>
      <c r="I633" s="130"/>
      <c r="J633" s="122"/>
      <c r="K633" s="122"/>
      <c r="L633" s="130"/>
      <c r="M633" s="130"/>
      <c r="N633" s="130"/>
      <c r="O633" s="130"/>
      <c r="P633" s="122"/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5"/>
      <c r="AB633" s="75"/>
      <c r="AC633" s="75"/>
      <c r="AD633" s="75"/>
      <c r="AE633" s="75"/>
      <c r="AF633" s="75"/>
      <c r="AG633" s="75"/>
      <c r="AH633" s="75"/>
      <c r="AI633" s="75"/>
      <c r="AJ633" s="75"/>
      <c r="AK633" s="75"/>
      <c r="AL633" s="75"/>
      <c r="AM633" s="75"/>
      <c r="AN633" s="75"/>
      <c r="AO633" s="75"/>
      <c r="AP633" s="75"/>
      <c r="AQ633" s="75"/>
      <c r="AR633" s="75"/>
      <c r="AS633" s="75"/>
      <c r="AT633" s="75"/>
      <c r="AU633" s="75"/>
      <c r="AV633" s="75"/>
      <c r="AW633" s="75"/>
      <c r="AX633" s="75"/>
      <c r="AY633" s="75"/>
      <c r="AZ633" s="75"/>
      <c r="BA633" s="75"/>
      <c r="BB633" s="75"/>
      <c r="BC633" s="75"/>
      <c r="BD633" s="75"/>
      <c r="BE633" s="75"/>
      <c r="BF633" s="75"/>
      <c r="BG633" s="75"/>
      <c r="BH633" s="75"/>
      <c r="BI633" s="75"/>
      <c r="BJ633" s="75"/>
      <c r="BK633" s="75"/>
      <c r="BL633" s="75"/>
      <c r="BM633" s="75"/>
      <c r="BN633" s="75"/>
      <c r="BO633" s="75"/>
      <c r="BP633" s="75"/>
      <c r="BQ633" s="75"/>
      <c r="BR633" s="75"/>
      <c r="BS633" s="75"/>
      <c r="BT633" s="75"/>
      <c r="BU633" s="75"/>
      <c r="BV633" s="75"/>
      <c r="BW633" s="75"/>
      <c r="BX633" s="75"/>
      <c r="BY633" s="75"/>
      <c r="BZ633" s="75"/>
      <c r="CA633" s="75"/>
      <c r="CB633" s="75"/>
      <c r="CC633" s="75"/>
      <c r="CD633" s="75"/>
      <c r="CE633" s="75"/>
      <c r="CF633" s="75"/>
      <c r="CG633" s="75"/>
      <c r="CH633" s="75"/>
      <c r="CI633" s="75"/>
      <c r="CJ633" s="75"/>
      <c r="CK633" s="75"/>
      <c r="CL633" s="75"/>
      <c r="CM633" s="75"/>
      <c r="CN633" s="75"/>
      <c r="CO633" s="75"/>
      <c r="CP633" s="75"/>
      <c r="CQ633" s="75"/>
      <c r="CR633" s="75"/>
      <c r="CS633" s="75"/>
      <c r="CT633" s="75"/>
      <c r="CU633" s="75"/>
      <c r="CV633" s="75"/>
      <c r="CW633" s="75"/>
      <c r="CX633" s="75"/>
      <c r="CY633" s="75"/>
      <c r="CZ633" s="75"/>
      <c r="DA633" s="75"/>
      <c r="DB633" s="75"/>
      <c r="DC633" s="75"/>
      <c r="DD633" s="75"/>
      <c r="DE633" s="75"/>
      <c r="DF633" s="75"/>
      <c r="DG633" s="75"/>
      <c r="DH633" s="75"/>
      <c r="DI633" s="75"/>
      <c r="DJ633" s="75"/>
      <c r="DK633" s="75"/>
      <c r="DL633" s="75"/>
      <c r="DM633" s="75"/>
      <c r="DN633" s="75"/>
      <c r="DO633" s="75"/>
      <c r="DP633" s="75"/>
      <c r="DQ633" s="75"/>
      <c r="DR633" s="75"/>
      <c r="DS633" s="75"/>
      <c r="DT633" s="75"/>
      <c r="DU633" s="75"/>
      <c r="DV633" s="75"/>
      <c r="DW633" s="75"/>
      <c r="DX633" s="75"/>
      <c r="DY633" s="75"/>
      <c r="DZ633" s="75"/>
      <c r="EA633" s="75"/>
      <c r="EB633" s="75"/>
      <c r="EC633" s="75"/>
      <c r="ED633" s="75"/>
      <c r="EE633" s="75"/>
      <c r="EF633" s="75"/>
      <c r="EG633" s="75"/>
      <c r="EH633" s="75"/>
      <c r="EI633" s="75"/>
      <c r="EJ633" s="75"/>
      <c r="EK633" s="75"/>
      <c r="EL633" s="75"/>
      <c r="EM633" s="75"/>
      <c r="EN633" s="75"/>
      <c r="EO633" s="75"/>
      <c r="EP633" s="75"/>
      <c r="EQ633" s="75"/>
      <c r="ER633" s="75"/>
      <c r="ES633" s="75"/>
      <c r="ET633" s="75"/>
      <c r="EU633" s="75"/>
      <c r="EV633" s="75"/>
      <c r="EW633" s="75"/>
      <c r="EX633" s="75"/>
      <c r="EY633" s="75"/>
      <c r="EZ633" s="75"/>
      <c r="FA633" s="75"/>
      <c r="FB633" s="75"/>
      <c r="FC633" s="75"/>
      <c r="FD633" s="75"/>
      <c r="FE633" s="75"/>
      <c r="FF633" s="75"/>
      <c r="FG633" s="75"/>
      <c r="FH633" s="75"/>
      <c r="FI633" s="75"/>
      <c r="FJ633" s="75"/>
      <c r="FK633" s="75"/>
      <c r="FL633" s="75"/>
      <c r="FM633" s="75"/>
      <c r="FN633" s="75"/>
      <c r="FO633" s="75"/>
      <c r="FP633" s="75"/>
      <c r="FQ633" s="75"/>
      <c r="FR633" s="75"/>
      <c r="FS633" s="75"/>
      <c r="FT633" s="75"/>
      <c r="FU633" s="75"/>
      <c r="FV633" s="75"/>
      <c r="FW633" s="75"/>
      <c r="FX633" s="75"/>
      <c r="FY633" s="75"/>
      <c r="FZ633" s="75"/>
      <c r="GA633" s="75"/>
      <c r="GB633" s="75"/>
      <c r="GC633" s="75"/>
      <c r="GD633" s="75"/>
      <c r="GE633" s="75"/>
      <c r="GF633" s="75"/>
      <c r="GG633" s="75"/>
      <c r="GH633" s="75"/>
      <c r="GI633" s="75"/>
      <c r="GJ633" s="75"/>
      <c r="GK633" s="75"/>
      <c r="GL633" s="75"/>
      <c r="GM633" s="75"/>
      <c r="GN633" s="75"/>
      <c r="GO633" s="75"/>
      <c r="GP633" s="75"/>
      <c r="GQ633" s="75"/>
      <c r="GR633" s="75"/>
      <c r="GS633" s="75"/>
      <c r="GT633" s="75"/>
      <c r="GU633" s="75"/>
      <c r="GV633" s="75"/>
      <c r="GW633" s="75"/>
      <c r="GX633" s="75"/>
      <c r="GY633" s="75"/>
      <c r="GZ633" s="75"/>
      <c r="HA633" s="75"/>
      <c r="HB633" s="75"/>
      <c r="HC633" s="75"/>
      <c r="HD633" s="75"/>
      <c r="HE633" s="75"/>
      <c r="HF633" s="75"/>
      <c r="HG633" s="75"/>
      <c r="HH633" s="75"/>
      <c r="HI633" s="75"/>
    </row>
    <row r="634" spans="1:217" s="156" customFormat="1" ht="33" customHeight="1" hidden="1">
      <c r="A634" s="131" t="s">
        <v>144</v>
      </c>
      <c r="B634" s="131"/>
      <c r="C634" s="131"/>
      <c r="D634" s="136">
        <v>10000</v>
      </c>
      <c r="E634" s="129"/>
      <c r="F634" s="136">
        <f>D634</f>
        <v>10000</v>
      </c>
      <c r="G634" s="136">
        <v>10000</v>
      </c>
      <c r="H634" s="129"/>
      <c r="I634" s="129"/>
      <c r="J634" s="136">
        <f>G634</f>
        <v>10000</v>
      </c>
      <c r="K634" s="122">
        <f>G634/D634*100</f>
        <v>100</v>
      </c>
      <c r="L634" s="129"/>
      <c r="M634" s="136"/>
      <c r="N634" s="136">
        <v>10000</v>
      </c>
      <c r="O634" s="129"/>
      <c r="P634" s="136">
        <f>N634</f>
        <v>10000</v>
      </c>
      <c r="Q634" s="75"/>
      <c r="R634" s="75"/>
      <c r="S634" s="75"/>
      <c r="T634" s="75"/>
      <c r="U634" s="75"/>
      <c r="V634" s="75"/>
      <c r="W634" s="75"/>
      <c r="X634" s="75"/>
      <c r="Y634" s="75"/>
      <c r="Z634" s="75"/>
      <c r="AA634" s="75"/>
      <c r="AB634" s="75"/>
      <c r="AC634" s="75"/>
      <c r="AD634" s="75"/>
      <c r="AE634" s="75"/>
      <c r="AF634" s="75"/>
      <c r="AG634" s="75"/>
      <c r="AH634" s="75"/>
      <c r="AI634" s="75"/>
      <c r="AJ634" s="75"/>
      <c r="AK634" s="75"/>
      <c r="AL634" s="75"/>
      <c r="AM634" s="75"/>
      <c r="AN634" s="75"/>
      <c r="AO634" s="75"/>
      <c r="AP634" s="75"/>
      <c r="AQ634" s="75"/>
      <c r="AR634" s="75"/>
      <c r="AS634" s="75"/>
      <c r="AT634" s="75"/>
      <c r="AU634" s="75"/>
      <c r="AV634" s="75"/>
      <c r="AW634" s="75"/>
      <c r="AX634" s="75"/>
      <c r="AY634" s="75"/>
      <c r="AZ634" s="75"/>
      <c r="BA634" s="75"/>
      <c r="BB634" s="75"/>
      <c r="BC634" s="75"/>
      <c r="BD634" s="75"/>
      <c r="BE634" s="75"/>
      <c r="BF634" s="75"/>
      <c r="BG634" s="75"/>
      <c r="BH634" s="75"/>
      <c r="BI634" s="75"/>
      <c r="BJ634" s="75"/>
      <c r="BK634" s="75"/>
      <c r="BL634" s="75"/>
      <c r="BM634" s="75"/>
      <c r="BN634" s="75"/>
      <c r="BO634" s="75"/>
      <c r="BP634" s="75"/>
      <c r="BQ634" s="75"/>
      <c r="BR634" s="75"/>
      <c r="BS634" s="75"/>
      <c r="BT634" s="75"/>
      <c r="BU634" s="75"/>
      <c r="BV634" s="75"/>
      <c r="BW634" s="75"/>
      <c r="BX634" s="75"/>
      <c r="BY634" s="75"/>
      <c r="BZ634" s="75"/>
      <c r="CA634" s="75"/>
      <c r="CB634" s="75"/>
      <c r="CC634" s="75"/>
      <c r="CD634" s="75"/>
      <c r="CE634" s="75"/>
      <c r="CF634" s="75"/>
      <c r="CG634" s="75"/>
      <c r="CH634" s="75"/>
      <c r="CI634" s="75"/>
      <c r="CJ634" s="75"/>
      <c r="CK634" s="75"/>
      <c r="CL634" s="75"/>
      <c r="CM634" s="75"/>
      <c r="CN634" s="75"/>
      <c r="CO634" s="75"/>
      <c r="CP634" s="75"/>
      <c r="CQ634" s="75"/>
      <c r="CR634" s="75"/>
      <c r="CS634" s="75"/>
      <c r="CT634" s="75"/>
      <c r="CU634" s="75"/>
      <c r="CV634" s="75"/>
      <c r="CW634" s="75"/>
      <c r="CX634" s="75"/>
      <c r="CY634" s="75"/>
      <c r="CZ634" s="75"/>
      <c r="DA634" s="75"/>
      <c r="DB634" s="75"/>
      <c r="DC634" s="75"/>
      <c r="DD634" s="75"/>
      <c r="DE634" s="75"/>
      <c r="DF634" s="75"/>
      <c r="DG634" s="75"/>
      <c r="DH634" s="75"/>
      <c r="DI634" s="75"/>
      <c r="DJ634" s="75"/>
      <c r="DK634" s="75"/>
      <c r="DL634" s="75"/>
      <c r="DM634" s="75"/>
      <c r="DN634" s="75"/>
      <c r="DO634" s="75"/>
      <c r="DP634" s="75"/>
      <c r="DQ634" s="75"/>
      <c r="DR634" s="75"/>
      <c r="DS634" s="75"/>
      <c r="DT634" s="75"/>
      <c r="DU634" s="75"/>
      <c r="DV634" s="75"/>
      <c r="DW634" s="75"/>
      <c r="DX634" s="75"/>
      <c r="DY634" s="75"/>
      <c r="DZ634" s="75"/>
      <c r="EA634" s="75"/>
      <c r="EB634" s="75"/>
      <c r="EC634" s="75"/>
      <c r="ED634" s="75"/>
      <c r="EE634" s="75"/>
      <c r="EF634" s="75"/>
      <c r="EG634" s="75"/>
      <c r="EH634" s="75"/>
      <c r="EI634" s="75"/>
      <c r="EJ634" s="75"/>
      <c r="EK634" s="75"/>
      <c r="EL634" s="75"/>
      <c r="EM634" s="75"/>
      <c r="EN634" s="75"/>
      <c r="EO634" s="75"/>
      <c r="EP634" s="75"/>
      <c r="EQ634" s="75"/>
      <c r="ER634" s="75"/>
      <c r="ES634" s="75"/>
      <c r="ET634" s="75"/>
      <c r="EU634" s="75"/>
      <c r="EV634" s="75"/>
      <c r="EW634" s="75"/>
      <c r="EX634" s="75"/>
      <c r="EY634" s="75"/>
      <c r="EZ634" s="75"/>
      <c r="FA634" s="75"/>
      <c r="FB634" s="75"/>
      <c r="FC634" s="75"/>
      <c r="FD634" s="75"/>
      <c r="FE634" s="75"/>
      <c r="FF634" s="75"/>
      <c r="FG634" s="75"/>
      <c r="FH634" s="75"/>
      <c r="FI634" s="75"/>
      <c r="FJ634" s="75"/>
      <c r="FK634" s="75"/>
      <c r="FL634" s="75"/>
      <c r="FM634" s="75"/>
      <c r="FN634" s="75"/>
      <c r="FO634" s="75"/>
      <c r="FP634" s="75"/>
      <c r="FQ634" s="75"/>
      <c r="FR634" s="75"/>
      <c r="FS634" s="75"/>
      <c r="FT634" s="75"/>
      <c r="FU634" s="75"/>
      <c r="FV634" s="75"/>
      <c r="FW634" s="75"/>
      <c r="FX634" s="75"/>
      <c r="FY634" s="75"/>
      <c r="FZ634" s="75"/>
      <c r="GA634" s="75"/>
      <c r="GB634" s="75"/>
      <c r="GC634" s="75"/>
      <c r="GD634" s="75"/>
      <c r="GE634" s="75"/>
      <c r="GF634" s="75"/>
      <c r="GG634" s="75"/>
      <c r="GH634" s="75"/>
      <c r="GI634" s="75"/>
      <c r="GJ634" s="75"/>
      <c r="GK634" s="75"/>
      <c r="GL634" s="75"/>
      <c r="GM634" s="75"/>
      <c r="GN634" s="75"/>
      <c r="GO634" s="75"/>
      <c r="GP634" s="75"/>
      <c r="GQ634" s="75"/>
      <c r="GR634" s="75"/>
      <c r="GS634" s="75"/>
      <c r="GT634" s="75"/>
      <c r="GU634" s="75"/>
      <c r="GV634" s="75"/>
      <c r="GW634" s="75"/>
      <c r="GX634" s="75"/>
      <c r="GY634" s="75"/>
      <c r="GZ634" s="75"/>
      <c r="HA634" s="75"/>
      <c r="HB634" s="75"/>
      <c r="HC634" s="75"/>
      <c r="HD634" s="75"/>
      <c r="HE634" s="75"/>
      <c r="HF634" s="75"/>
      <c r="HG634" s="75"/>
      <c r="HH634" s="75"/>
      <c r="HI634" s="75"/>
    </row>
    <row r="635" spans="1:217" s="156" customFormat="1" ht="24" customHeight="1" hidden="1">
      <c r="A635" s="131" t="s">
        <v>145</v>
      </c>
      <c r="B635" s="131"/>
      <c r="C635" s="131"/>
      <c r="D635" s="136">
        <v>1000</v>
      </c>
      <c r="E635" s="129"/>
      <c r="F635" s="136">
        <f>D635</f>
        <v>1000</v>
      </c>
      <c r="G635" s="136">
        <v>1000</v>
      </c>
      <c r="H635" s="129"/>
      <c r="I635" s="129"/>
      <c r="J635" s="136">
        <f>G635</f>
        <v>1000</v>
      </c>
      <c r="K635" s="122">
        <f>G635/D635*100</f>
        <v>100</v>
      </c>
      <c r="L635" s="129"/>
      <c r="M635" s="136"/>
      <c r="N635" s="136">
        <v>1000</v>
      </c>
      <c r="O635" s="129"/>
      <c r="P635" s="136">
        <f>N635</f>
        <v>1000</v>
      </c>
      <c r="Q635" s="75"/>
      <c r="R635" s="75"/>
      <c r="S635" s="75"/>
      <c r="T635" s="75"/>
      <c r="U635" s="75"/>
      <c r="V635" s="75"/>
      <c r="W635" s="75"/>
      <c r="X635" s="75"/>
      <c r="Y635" s="75"/>
      <c r="Z635" s="75"/>
      <c r="AA635" s="75"/>
      <c r="AB635" s="75"/>
      <c r="AC635" s="75"/>
      <c r="AD635" s="75"/>
      <c r="AE635" s="75"/>
      <c r="AF635" s="75"/>
      <c r="AG635" s="75"/>
      <c r="AH635" s="75"/>
      <c r="AI635" s="75"/>
      <c r="AJ635" s="75"/>
      <c r="AK635" s="75"/>
      <c r="AL635" s="75"/>
      <c r="AM635" s="75"/>
      <c r="AN635" s="75"/>
      <c r="AO635" s="75"/>
      <c r="AP635" s="75"/>
      <c r="AQ635" s="75"/>
      <c r="AR635" s="75"/>
      <c r="AS635" s="75"/>
      <c r="AT635" s="75"/>
      <c r="AU635" s="75"/>
      <c r="AV635" s="75"/>
      <c r="AW635" s="75"/>
      <c r="AX635" s="75"/>
      <c r="AY635" s="75"/>
      <c r="AZ635" s="75"/>
      <c r="BA635" s="75"/>
      <c r="BB635" s="75"/>
      <c r="BC635" s="75"/>
      <c r="BD635" s="75"/>
      <c r="BE635" s="75"/>
      <c r="BF635" s="75"/>
      <c r="BG635" s="75"/>
      <c r="BH635" s="75"/>
      <c r="BI635" s="75"/>
      <c r="BJ635" s="75"/>
      <c r="BK635" s="75"/>
      <c r="BL635" s="75"/>
      <c r="BM635" s="75"/>
      <c r="BN635" s="75"/>
      <c r="BO635" s="75"/>
      <c r="BP635" s="75"/>
      <c r="BQ635" s="75"/>
      <c r="BR635" s="75"/>
      <c r="BS635" s="75"/>
      <c r="BT635" s="75"/>
      <c r="BU635" s="75"/>
      <c r="BV635" s="75"/>
      <c r="BW635" s="75"/>
      <c r="BX635" s="75"/>
      <c r="BY635" s="75"/>
      <c r="BZ635" s="75"/>
      <c r="CA635" s="75"/>
      <c r="CB635" s="75"/>
      <c r="CC635" s="75"/>
      <c r="CD635" s="75"/>
      <c r="CE635" s="75"/>
      <c r="CF635" s="75"/>
      <c r="CG635" s="75"/>
      <c r="CH635" s="75"/>
      <c r="CI635" s="75"/>
      <c r="CJ635" s="75"/>
      <c r="CK635" s="75"/>
      <c r="CL635" s="75"/>
      <c r="CM635" s="75"/>
      <c r="CN635" s="75"/>
      <c r="CO635" s="75"/>
      <c r="CP635" s="75"/>
      <c r="CQ635" s="75"/>
      <c r="CR635" s="75"/>
      <c r="CS635" s="75"/>
      <c r="CT635" s="75"/>
      <c r="CU635" s="75"/>
      <c r="CV635" s="75"/>
      <c r="CW635" s="75"/>
      <c r="CX635" s="75"/>
      <c r="CY635" s="75"/>
      <c r="CZ635" s="75"/>
      <c r="DA635" s="75"/>
      <c r="DB635" s="75"/>
      <c r="DC635" s="75"/>
      <c r="DD635" s="75"/>
      <c r="DE635" s="75"/>
      <c r="DF635" s="75"/>
      <c r="DG635" s="75"/>
      <c r="DH635" s="75"/>
      <c r="DI635" s="75"/>
      <c r="DJ635" s="75"/>
      <c r="DK635" s="75"/>
      <c r="DL635" s="75"/>
      <c r="DM635" s="75"/>
      <c r="DN635" s="75"/>
      <c r="DO635" s="75"/>
      <c r="DP635" s="75"/>
      <c r="DQ635" s="75"/>
      <c r="DR635" s="75"/>
      <c r="DS635" s="75"/>
      <c r="DT635" s="75"/>
      <c r="DU635" s="75"/>
      <c r="DV635" s="75"/>
      <c r="DW635" s="75"/>
      <c r="DX635" s="75"/>
      <c r="DY635" s="75"/>
      <c r="DZ635" s="75"/>
      <c r="EA635" s="75"/>
      <c r="EB635" s="75"/>
      <c r="EC635" s="75"/>
      <c r="ED635" s="75"/>
      <c r="EE635" s="75"/>
      <c r="EF635" s="75"/>
      <c r="EG635" s="75"/>
      <c r="EH635" s="75"/>
      <c r="EI635" s="75"/>
      <c r="EJ635" s="75"/>
      <c r="EK635" s="75"/>
      <c r="EL635" s="75"/>
      <c r="EM635" s="75"/>
      <c r="EN635" s="75"/>
      <c r="EO635" s="75"/>
      <c r="EP635" s="75"/>
      <c r="EQ635" s="75"/>
      <c r="ER635" s="75"/>
      <c r="ES635" s="75"/>
      <c r="ET635" s="75"/>
      <c r="EU635" s="75"/>
      <c r="EV635" s="75"/>
      <c r="EW635" s="75"/>
      <c r="EX635" s="75"/>
      <c r="EY635" s="75"/>
      <c r="EZ635" s="75"/>
      <c r="FA635" s="75"/>
      <c r="FB635" s="75"/>
      <c r="FC635" s="75"/>
      <c r="FD635" s="75"/>
      <c r="FE635" s="75"/>
      <c r="FF635" s="75"/>
      <c r="FG635" s="75"/>
      <c r="FH635" s="75"/>
      <c r="FI635" s="75"/>
      <c r="FJ635" s="75"/>
      <c r="FK635" s="75"/>
      <c r="FL635" s="75"/>
      <c r="FM635" s="75"/>
      <c r="FN635" s="75"/>
      <c r="FO635" s="75"/>
      <c r="FP635" s="75"/>
      <c r="FQ635" s="75"/>
      <c r="FR635" s="75"/>
      <c r="FS635" s="75"/>
      <c r="FT635" s="75"/>
      <c r="FU635" s="75"/>
      <c r="FV635" s="75"/>
      <c r="FW635" s="75"/>
      <c r="FX635" s="75"/>
      <c r="FY635" s="75"/>
      <c r="FZ635" s="75"/>
      <c r="GA635" s="75"/>
      <c r="GB635" s="75"/>
      <c r="GC635" s="75"/>
      <c r="GD635" s="75"/>
      <c r="GE635" s="75"/>
      <c r="GF635" s="75"/>
      <c r="GG635" s="75"/>
      <c r="GH635" s="75"/>
      <c r="GI635" s="75"/>
      <c r="GJ635" s="75"/>
      <c r="GK635" s="75"/>
      <c r="GL635" s="75"/>
      <c r="GM635" s="75"/>
      <c r="GN635" s="75"/>
      <c r="GO635" s="75"/>
      <c r="GP635" s="75"/>
      <c r="GQ635" s="75"/>
      <c r="GR635" s="75"/>
      <c r="GS635" s="75"/>
      <c r="GT635" s="75"/>
      <c r="GU635" s="75"/>
      <c r="GV635" s="75"/>
      <c r="GW635" s="75"/>
      <c r="GX635" s="75"/>
      <c r="GY635" s="75"/>
      <c r="GZ635" s="75"/>
      <c r="HA635" s="75"/>
      <c r="HB635" s="75"/>
      <c r="HC635" s="75"/>
      <c r="HD635" s="75"/>
      <c r="HE635" s="75"/>
      <c r="HF635" s="75"/>
      <c r="HG635" s="75"/>
      <c r="HH635" s="75"/>
      <c r="HI635" s="75"/>
    </row>
    <row r="636" spans="1:217" s="156" customFormat="1" ht="24" customHeight="1" hidden="1">
      <c r="A636" s="131" t="s">
        <v>209</v>
      </c>
      <c r="B636" s="131"/>
      <c r="C636" s="131"/>
      <c r="D636" s="136"/>
      <c r="E636" s="129"/>
      <c r="F636" s="136">
        <f>D636</f>
        <v>0</v>
      </c>
      <c r="G636" s="136">
        <v>300</v>
      </c>
      <c r="H636" s="129"/>
      <c r="I636" s="129"/>
      <c r="J636" s="136">
        <v>300</v>
      </c>
      <c r="K636" s="122"/>
      <c r="L636" s="129"/>
      <c r="M636" s="136"/>
      <c r="N636" s="136">
        <v>300</v>
      </c>
      <c r="O636" s="129"/>
      <c r="P636" s="136">
        <v>300</v>
      </c>
      <c r="Q636" s="75"/>
      <c r="R636" s="75"/>
      <c r="S636" s="75"/>
      <c r="T636" s="75"/>
      <c r="U636" s="75"/>
      <c r="V636" s="75"/>
      <c r="W636" s="75"/>
      <c r="X636" s="75"/>
      <c r="Y636" s="75"/>
      <c r="Z636" s="75"/>
      <c r="AA636" s="75"/>
      <c r="AB636" s="75"/>
      <c r="AC636" s="75"/>
      <c r="AD636" s="75"/>
      <c r="AE636" s="75"/>
      <c r="AF636" s="75"/>
      <c r="AG636" s="75"/>
      <c r="AH636" s="75"/>
      <c r="AI636" s="75"/>
      <c r="AJ636" s="75"/>
      <c r="AK636" s="75"/>
      <c r="AL636" s="75"/>
      <c r="AM636" s="75"/>
      <c r="AN636" s="75"/>
      <c r="AO636" s="75"/>
      <c r="AP636" s="75"/>
      <c r="AQ636" s="75"/>
      <c r="AR636" s="75"/>
      <c r="AS636" s="75"/>
      <c r="AT636" s="75"/>
      <c r="AU636" s="75"/>
      <c r="AV636" s="75"/>
      <c r="AW636" s="75"/>
      <c r="AX636" s="75"/>
      <c r="AY636" s="75"/>
      <c r="AZ636" s="75"/>
      <c r="BA636" s="75"/>
      <c r="BB636" s="75"/>
      <c r="BC636" s="75"/>
      <c r="BD636" s="75"/>
      <c r="BE636" s="75"/>
      <c r="BF636" s="75"/>
      <c r="BG636" s="75"/>
      <c r="BH636" s="75"/>
      <c r="BI636" s="75"/>
      <c r="BJ636" s="75"/>
      <c r="BK636" s="75"/>
      <c r="BL636" s="75"/>
      <c r="BM636" s="75"/>
      <c r="BN636" s="75"/>
      <c r="BO636" s="75"/>
      <c r="BP636" s="75"/>
      <c r="BQ636" s="75"/>
      <c r="BR636" s="75"/>
      <c r="BS636" s="75"/>
      <c r="BT636" s="75"/>
      <c r="BU636" s="75"/>
      <c r="BV636" s="75"/>
      <c r="BW636" s="75"/>
      <c r="BX636" s="75"/>
      <c r="BY636" s="75"/>
      <c r="BZ636" s="75"/>
      <c r="CA636" s="75"/>
      <c r="CB636" s="75"/>
      <c r="CC636" s="75"/>
      <c r="CD636" s="75"/>
      <c r="CE636" s="75"/>
      <c r="CF636" s="75"/>
      <c r="CG636" s="75"/>
      <c r="CH636" s="75"/>
      <c r="CI636" s="75"/>
      <c r="CJ636" s="75"/>
      <c r="CK636" s="75"/>
      <c r="CL636" s="75"/>
      <c r="CM636" s="75"/>
      <c r="CN636" s="75"/>
      <c r="CO636" s="75"/>
      <c r="CP636" s="75"/>
      <c r="CQ636" s="75"/>
      <c r="CR636" s="75"/>
      <c r="CS636" s="75"/>
      <c r="CT636" s="75"/>
      <c r="CU636" s="75"/>
      <c r="CV636" s="75"/>
      <c r="CW636" s="75"/>
      <c r="CX636" s="75"/>
      <c r="CY636" s="75"/>
      <c r="CZ636" s="75"/>
      <c r="DA636" s="75"/>
      <c r="DB636" s="75"/>
      <c r="DC636" s="75"/>
      <c r="DD636" s="75"/>
      <c r="DE636" s="75"/>
      <c r="DF636" s="75"/>
      <c r="DG636" s="75"/>
      <c r="DH636" s="75"/>
      <c r="DI636" s="75"/>
      <c r="DJ636" s="75"/>
      <c r="DK636" s="75"/>
      <c r="DL636" s="75"/>
      <c r="DM636" s="75"/>
      <c r="DN636" s="75"/>
      <c r="DO636" s="75"/>
      <c r="DP636" s="75"/>
      <c r="DQ636" s="75"/>
      <c r="DR636" s="75"/>
      <c r="DS636" s="75"/>
      <c r="DT636" s="75"/>
      <c r="DU636" s="75"/>
      <c r="DV636" s="75"/>
      <c r="DW636" s="75"/>
      <c r="DX636" s="75"/>
      <c r="DY636" s="75"/>
      <c r="DZ636" s="75"/>
      <c r="EA636" s="75"/>
      <c r="EB636" s="75"/>
      <c r="EC636" s="75"/>
      <c r="ED636" s="75"/>
      <c r="EE636" s="75"/>
      <c r="EF636" s="75"/>
      <c r="EG636" s="75"/>
      <c r="EH636" s="75"/>
      <c r="EI636" s="75"/>
      <c r="EJ636" s="75"/>
      <c r="EK636" s="75"/>
      <c r="EL636" s="75"/>
      <c r="EM636" s="75"/>
      <c r="EN636" s="75"/>
      <c r="EO636" s="75"/>
      <c r="EP636" s="75"/>
      <c r="EQ636" s="75"/>
      <c r="ER636" s="75"/>
      <c r="ES636" s="75"/>
      <c r="ET636" s="75"/>
      <c r="EU636" s="75"/>
      <c r="EV636" s="75"/>
      <c r="EW636" s="75"/>
      <c r="EX636" s="75"/>
      <c r="EY636" s="75"/>
      <c r="EZ636" s="75"/>
      <c r="FA636" s="75"/>
      <c r="FB636" s="75"/>
      <c r="FC636" s="75"/>
      <c r="FD636" s="75"/>
      <c r="FE636" s="75"/>
      <c r="FF636" s="75"/>
      <c r="FG636" s="75"/>
      <c r="FH636" s="75"/>
      <c r="FI636" s="75"/>
      <c r="FJ636" s="75"/>
      <c r="FK636" s="75"/>
      <c r="FL636" s="75"/>
      <c r="FM636" s="75"/>
      <c r="FN636" s="75"/>
      <c r="FO636" s="75"/>
      <c r="FP636" s="75"/>
      <c r="FQ636" s="75"/>
      <c r="FR636" s="75"/>
      <c r="FS636" s="75"/>
      <c r="FT636" s="75"/>
      <c r="FU636" s="75"/>
      <c r="FV636" s="75"/>
      <c r="FW636" s="75"/>
      <c r="FX636" s="75"/>
      <c r="FY636" s="75"/>
      <c r="FZ636" s="75"/>
      <c r="GA636" s="75"/>
      <c r="GB636" s="75"/>
      <c r="GC636" s="75"/>
      <c r="GD636" s="75"/>
      <c r="GE636" s="75"/>
      <c r="GF636" s="75"/>
      <c r="GG636" s="75"/>
      <c r="GH636" s="75"/>
      <c r="GI636" s="75"/>
      <c r="GJ636" s="75"/>
      <c r="GK636" s="75"/>
      <c r="GL636" s="75"/>
      <c r="GM636" s="75"/>
      <c r="GN636" s="75"/>
      <c r="GO636" s="75"/>
      <c r="GP636" s="75"/>
      <c r="GQ636" s="75"/>
      <c r="GR636" s="75"/>
      <c r="GS636" s="75"/>
      <c r="GT636" s="75"/>
      <c r="GU636" s="75"/>
      <c r="GV636" s="75"/>
      <c r="GW636" s="75"/>
      <c r="GX636" s="75"/>
      <c r="GY636" s="75"/>
      <c r="GZ636" s="75"/>
      <c r="HA636" s="75"/>
      <c r="HB636" s="75"/>
      <c r="HC636" s="75"/>
      <c r="HD636" s="75"/>
      <c r="HE636" s="75"/>
      <c r="HF636" s="75"/>
      <c r="HG636" s="75"/>
      <c r="HH636" s="75"/>
      <c r="HI636" s="75"/>
    </row>
    <row r="637" spans="1:217" s="87" customFormat="1" ht="49.5" customHeight="1" hidden="1">
      <c r="A637" s="126" t="s">
        <v>429</v>
      </c>
      <c r="B637" s="126"/>
      <c r="C637" s="126"/>
      <c r="D637" s="127">
        <f>SUM(D639:D644)</f>
        <v>127740</v>
      </c>
      <c r="E637" s="127"/>
      <c r="F637" s="127">
        <f>SUM(F639:F644)</f>
        <v>127740</v>
      </c>
      <c r="G637" s="127">
        <f>SUM(G639:G644)</f>
        <v>136230</v>
      </c>
      <c r="H637" s="127"/>
      <c r="I637" s="127"/>
      <c r="J637" s="127">
        <f>SUM(J639:J644)</f>
        <v>136230</v>
      </c>
      <c r="K637" s="127"/>
      <c r="L637" s="125"/>
      <c r="M637" s="125"/>
      <c r="N637" s="127">
        <f>SUM(N639:N644)</f>
        <v>144510</v>
      </c>
      <c r="O637" s="127"/>
      <c r="P637" s="127">
        <f>SUM(P639:P644)</f>
        <v>144510</v>
      </c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18"/>
      <c r="AN637" s="118"/>
      <c r="AO637" s="118"/>
      <c r="AP637" s="118"/>
      <c r="AQ637" s="118"/>
      <c r="AR637" s="118"/>
      <c r="AS637" s="118"/>
      <c r="AT637" s="118"/>
      <c r="AU637" s="118"/>
      <c r="AV637" s="118"/>
      <c r="AW637" s="118"/>
      <c r="AX637" s="118"/>
      <c r="AY637" s="118"/>
      <c r="AZ637" s="118"/>
      <c r="BA637" s="118"/>
      <c r="BB637" s="118"/>
      <c r="BC637" s="118"/>
      <c r="BD637" s="118"/>
      <c r="BE637" s="118"/>
      <c r="BF637" s="118"/>
      <c r="BG637" s="118"/>
      <c r="BH637" s="118"/>
      <c r="BI637" s="118"/>
      <c r="BJ637" s="118"/>
      <c r="BK637" s="118"/>
      <c r="BL637" s="118"/>
      <c r="BM637" s="118"/>
      <c r="BN637" s="118"/>
      <c r="BO637" s="118"/>
      <c r="BP637" s="118"/>
      <c r="BQ637" s="118"/>
      <c r="BR637" s="118"/>
      <c r="BS637" s="118"/>
      <c r="BT637" s="118"/>
      <c r="BU637" s="118"/>
      <c r="BV637" s="118"/>
      <c r="BW637" s="118"/>
      <c r="BX637" s="118"/>
      <c r="BY637" s="118"/>
      <c r="BZ637" s="118"/>
      <c r="CA637" s="118"/>
      <c r="CB637" s="118"/>
      <c r="CC637" s="118"/>
      <c r="CD637" s="118"/>
      <c r="CE637" s="118"/>
      <c r="CF637" s="118"/>
      <c r="CG637" s="118"/>
      <c r="CH637" s="118"/>
      <c r="CI637" s="118"/>
      <c r="CJ637" s="118"/>
      <c r="CK637" s="118"/>
      <c r="CL637" s="118"/>
      <c r="CM637" s="118"/>
      <c r="CN637" s="118"/>
      <c r="CO637" s="118"/>
      <c r="CP637" s="118"/>
      <c r="CQ637" s="118"/>
      <c r="CR637" s="118"/>
      <c r="CS637" s="118"/>
      <c r="CT637" s="118"/>
      <c r="CU637" s="118"/>
      <c r="CV637" s="118"/>
      <c r="CW637" s="118"/>
      <c r="CX637" s="118"/>
      <c r="CY637" s="118"/>
      <c r="CZ637" s="118"/>
      <c r="DA637" s="118"/>
      <c r="DB637" s="118"/>
      <c r="DC637" s="118"/>
      <c r="DD637" s="118"/>
      <c r="DE637" s="118"/>
      <c r="DF637" s="118"/>
      <c r="DG637" s="118"/>
      <c r="DH637" s="118"/>
      <c r="DI637" s="118"/>
      <c r="DJ637" s="118"/>
      <c r="DK637" s="118"/>
      <c r="DL637" s="118"/>
      <c r="DM637" s="118"/>
      <c r="DN637" s="118"/>
      <c r="DO637" s="118"/>
      <c r="DP637" s="118"/>
      <c r="DQ637" s="118"/>
      <c r="DR637" s="118"/>
      <c r="DS637" s="118"/>
      <c r="DT637" s="118"/>
      <c r="DU637" s="118"/>
      <c r="DV637" s="118"/>
      <c r="DW637" s="118"/>
      <c r="DX637" s="118"/>
      <c r="DY637" s="118"/>
      <c r="DZ637" s="118"/>
      <c r="EA637" s="118"/>
      <c r="EB637" s="118"/>
      <c r="EC637" s="118"/>
      <c r="ED637" s="118"/>
      <c r="EE637" s="118"/>
      <c r="EF637" s="118"/>
      <c r="EG637" s="118"/>
      <c r="EH637" s="118"/>
      <c r="EI637" s="118"/>
      <c r="EJ637" s="118"/>
      <c r="EK637" s="118"/>
      <c r="EL637" s="118"/>
      <c r="EM637" s="118"/>
      <c r="EN637" s="118"/>
      <c r="EO637" s="118"/>
      <c r="EP637" s="118"/>
      <c r="EQ637" s="118"/>
      <c r="ER637" s="118"/>
      <c r="ES637" s="118"/>
      <c r="ET637" s="118"/>
      <c r="EU637" s="118"/>
      <c r="EV637" s="118"/>
      <c r="EW637" s="118"/>
      <c r="EX637" s="118"/>
      <c r="EY637" s="118"/>
      <c r="EZ637" s="118"/>
      <c r="FA637" s="118"/>
      <c r="FB637" s="118"/>
      <c r="FC637" s="118"/>
      <c r="FD637" s="118"/>
      <c r="FE637" s="118"/>
      <c r="FF637" s="118"/>
      <c r="FG637" s="118"/>
      <c r="FH637" s="118"/>
      <c r="FI637" s="118"/>
      <c r="FJ637" s="118"/>
      <c r="FK637" s="118"/>
      <c r="FL637" s="118"/>
      <c r="FM637" s="118"/>
      <c r="FN637" s="118"/>
      <c r="FO637" s="118"/>
      <c r="FP637" s="118"/>
      <c r="FQ637" s="118"/>
      <c r="FR637" s="118"/>
      <c r="FS637" s="118"/>
      <c r="FT637" s="118"/>
      <c r="FU637" s="118"/>
      <c r="FV637" s="118"/>
      <c r="FW637" s="118"/>
      <c r="FX637" s="118"/>
      <c r="FY637" s="118"/>
      <c r="FZ637" s="118"/>
      <c r="GA637" s="118"/>
      <c r="GB637" s="118"/>
      <c r="GC637" s="118"/>
      <c r="GD637" s="118"/>
      <c r="GE637" s="118"/>
      <c r="GF637" s="118"/>
      <c r="GG637" s="118"/>
      <c r="GH637" s="118"/>
      <c r="GI637" s="118"/>
      <c r="GJ637" s="118"/>
      <c r="GK637" s="118"/>
      <c r="GL637" s="118"/>
      <c r="GM637" s="118"/>
      <c r="GN637" s="118"/>
      <c r="GO637" s="118"/>
      <c r="GP637" s="118"/>
      <c r="GQ637" s="118"/>
      <c r="GR637" s="118"/>
      <c r="GS637" s="118"/>
      <c r="GT637" s="118"/>
      <c r="GU637" s="118"/>
      <c r="GV637" s="118"/>
      <c r="GW637" s="118"/>
      <c r="GX637" s="118"/>
      <c r="GY637" s="118"/>
      <c r="GZ637" s="118"/>
      <c r="HA637" s="118"/>
      <c r="HB637" s="118"/>
      <c r="HC637" s="118"/>
      <c r="HD637" s="118"/>
      <c r="HE637" s="118"/>
      <c r="HF637" s="118"/>
      <c r="HG637" s="118"/>
      <c r="HH637" s="118"/>
      <c r="HI637" s="118"/>
    </row>
    <row r="638" spans="1:217" s="87" customFormat="1" ht="11.25" hidden="1">
      <c r="A638" s="128" t="s">
        <v>2</v>
      </c>
      <c r="B638" s="126"/>
      <c r="C638" s="126"/>
      <c r="D638" s="127"/>
      <c r="E638" s="127"/>
      <c r="F638" s="127"/>
      <c r="G638" s="127"/>
      <c r="H638" s="127"/>
      <c r="I638" s="127"/>
      <c r="J638" s="127"/>
      <c r="K638" s="127"/>
      <c r="L638" s="125"/>
      <c r="M638" s="125"/>
      <c r="N638" s="127"/>
      <c r="O638" s="127"/>
      <c r="P638" s="127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  <c r="AJ638" s="118"/>
      <c r="AK638" s="118"/>
      <c r="AL638" s="118"/>
      <c r="AM638" s="118"/>
      <c r="AN638" s="118"/>
      <c r="AO638" s="118"/>
      <c r="AP638" s="118"/>
      <c r="AQ638" s="118"/>
      <c r="AR638" s="118"/>
      <c r="AS638" s="118"/>
      <c r="AT638" s="118"/>
      <c r="AU638" s="118"/>
      <c r="AV638" s="118"/>
      <c r="AW638" s="118"/>
      <c r="AX638" s="118"/>
      <c r="AY638" s="118"/>
      <c r="AZ638" s="118"/>
      <c r="BA638" s="118"/>
      <c r="BB638" s="118"/>
      <c r="BC638" s="118"/>
      <c r="BD638" s="118"/>
      <c r="BE638" s="118"/>
      <c r="BF638" s="118"/>
      <c r="BG638" s="118"/>
      <c r="BH638" s="118"/>
      <c r="BI638" s="118"/>
      <c r="BJ638" s="118"/>
      <c r="BK638" s="118"/>
      <c r="BL638" s="118"/>
      <c r="BM638" s="118"/>
      <c r="BN638" s="118"/>
      <c r="BO638" s="118"/>
      <c r="BP638" s="118"/>
      <c r="BQ638" s="118"/>
      <c r="BR638" s="118"/>
      <c r="BS638" s="118"/>
      <c r="BT638" s="118"/>
      <c r="BU638" s="118"/>
      <c r="BV638" s="118"/>
      <c r="BW638" s="118"/>
      <c r="BX638" s="118"/>
      <c r="BY638" s="118"/>
      <c r="BZ638" s="118"/>
      <c r="CA638" s="118"/>
      <c r="CB638" s="118"/>
      <c r="CC638" s="118"/>
      <c r="CD638" s="118"/>
      <c r="CE638" s="118"/>
      <c r="CF638" s="118"/>
      <c r="CG638" s="118"/>
      <c r="CH638" s="118"/>
      <c r="CI638" s="118"/>
      <c r="CJ638" s="118"/>
      <c r="CK638" s="118"/>
      <c r="CL638" s="118"/>
      <c r="CM638" s="118"/>
      <c r="CN638" s="118"/>
      <c r="CO638" s="118"/>
      <c r="CP638" s="118"/>
      <c r="CQ638" s="118"/>
      <c r="CR638" s="118"/>
      <c r="CS638" s="118"/>
      <c r="CT638" s="118"/>
      <c r="CU638" s="118"/>
      <c r="CV638" s="118"/>
      <c r="CW638" s="118"/>
      <c r="CX638" s="118"/>
      <c r="CY638" s="118"/>
      <c r="CZ638" s="118"/>
      <c r="DA638" s="118"/>
      <c r="DB638" s="118"/>
      <c r="DC638" s="118"/>
      <c r="DD638" s="118"/>
      <c r="DE638" s="118"/>
      <c r="DF638" s="118"/>
      <c r="DG638" s="118"/>
      <c r="DH638" s="118"/>
      <c r="DI638" s="118"/>
      <c r="DJ638" s="118"/>
      <c r="DK638" s="118"/>
      <c r="DL638" s="118"/>
      <c r="DM638" s="118"/>
      <c r="DN638" s="118"/>
      <c r="DO638" s="118"/>
      <c r="DP638" s="118"/>
      <c r="DQ638" s="118"/>
      <c r="DR638" s="118"/>
      <c r="DS638" s="118"/>
      <c r="DT638" s="118"/>
      <c r="DU638" s="118"/>
      <c r="DV638" s="118"/>
      <c r="DW638" s="118"/>
      <c r="DX638" s="118"/>
      <c r="DY638" s="118"/>
      <c r="DZ638" s="118"/>
      <c r="EA638" s="118"/>
      <c r="EB638" s="118"/>
      <c r="EC638" s="118"/>
      <c r="ED638" s="118"/>
      <c r="EE638" s="118"/>
      <c r="EF638" s="118"/>
      <c r="EG638" s="118"/>
      <c r="EH638" s="118"/>
      <c r="EI638" s="118"/>
      <c r="EJ638" s="118"/>
      <c r="EK638" s="118"/>
      <c r="EL638" s="118"/>
      <c r="EM638" s="118"/>
      <c r="EN638" s="118"/>
      <c r="EO638" s="118"/>
      <c r="EP638" s="118"/>
      <c r="EQ638" s="118"/>
      <c r="ER638" s="118"/>
      <c r="ES638" s="118"/>
      <c r="ET638" s="118"/>
      <c r="EU638" s="118"/>
      <c r="EV638" s="118"/>
      <c r="EW638" s="118"/>
      <c r="EX638" s="118"/>
      <c r="EY638" s="118"/>
      <c r="EZ638" s="118"/>
      <c r="FA638" s="118"/>
      <c r="FB638" s="118"/>
      <c r="FC638" s="118"/>
      <c r="FD638" s="118"/>
      <c r="FE638" s="118"/>
      <c r="FF638" s="118"/>
      <c r="FG638" s="118"/>
      <c r="FH638" s="118"/>
      <c r="FI638" s="118"/>
      <c r="FJ638" s="118"/>
      <c r="FK638" s="118"/>
      <c r="FL638" s="118"/>
      <c r="FM638" s="118"/>
      <c r="FN638" s="118"/>
      <c r="FO638" s="118"/>
      <c r="FP638" s="118"/>
      <c r="FQ638" s="118"/>
      <c r="FR638" s="118"/>
      <c r="FS638" s="118"/>
      <c r="FT638" s="118"/>
      <c r="FU638" s="118"/>
      <c r="FV638" s="118"/>
      <c r="FW638" s="118"/>
      <c r="FX638" s="118"/>
      <c r="FY638" s="118"/>
      <c r="FZ638" s="118"/>
      <c r="GA638" s="118"/>
      <c r="GB638" s="118"/>
      <c r="GC638" s="118"/>
      <c r="GD638" s="118"/>
      <c r="GE638" s="118"/>
      <c r="GF638" s="118"/>
      <c r="GG638" s="118"/>
      <c r="GH638" s="118"/>
      <c r="GI638" s="118"/>
      <c r="GJ638" s="118"/>
      <c r="GK638" s="118"/>
      <c r="GL638" s="118"/>
      <c r="GM638" s="118"/>
      <c r="GN638" s="118"/>
      <c r="GO638" s="118"/>
      <c r="GP638" s="118"/>
      <c r="GQ638" s="118"/>
      <c r="GR638" s="118"/>
      <c r="GS638" s="118"/>
      <c r="GT638" s="118"/>
      <c r="GU638" s="118"/>
      <c r="GV638" s="118"/>
      <c r="GW638" s="118"/>
      <c r="GX638" s="118"/>
      <c r="GY638" s="118"/>
      <c r="GZ638" s="118"/>
      <c r="HA638" s="118"/>
      <c r="HB638" s="118"/>
      <c r="HC638" s="118"/>
      <c r="HD638" s="118"/>
      <c r="HE638" s="118"/>
      <c r="HF638" s="118"/>
      <c r="HG638" s="118"/>
      <c r="HH638" s="118"/>
      <c r="HI638" s="118"/>
    </row>
    <row r="639" spans="1:217" s="87" customFormat="1" ht="28.5" customHeight="1" hidden="1">
      <c r="A639" s="72" t="s">
        <v>210</v>
      </c>
      <c r="B639" s="126"/>
      <c r="C639" s="126"/>
      <c r="D639" s="122">
        <f aca="true" t="shared" si="32" ref="D639:D644">D646*D653</f>
        <v>9000</v>
      </c>
      <c r="E639" s="127"/>
      <c r="F639" s="122">
        <f aca="true" t="shared" si="33" ref="F639:G642">F646*F653</f>
        <v>9000</v>
      </c>
      <c r="G639" s="122">
        <f t="shared" si="33"/>
        <v>9600</v>
      </c>
      <c r="H639" s="127"/>
      <c r="I639" s="127"/>
      <c r="J639" s="122">
        <f aca="true" t="shared" si="34" ref="J639:J644">J646*J653</f>
        <v>9600</v>
      </c>
      <c r="K639" s="127"/>
      <c r="L639" s="125"/>
      <c r="M639" s="125"/>
      <c r="N639" s="122">
        <f aca="true" t="shared" si="35" ref="N639:N644">N646*N653</f>
        <v>10200</v>
      </c>
      <c r="O639" s="127"/>
      <c r="P639" s="122">
        <f aca="true" t="shared" si="36" ref="P639:P644">P646*P653</f>
        <v>10200</v>
      </c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  <c r="AG639" s="118"/>
      <c r="AH639" s="118"/>
      <c r="AI639" s="118"/>
      <c r="AJ639" s="118"/>
      <c r="AK639" s="118"/>
      <c r="AL639" s="118"/>
      <c r="AM639" s="118"/>
      <c r="AN639" s="118"/>
      <c r="AO639" s="118"/>
      <c r="AP639" s="118"/>
      <c r="AQ639" s="118"/>
      <c r="AR639" s="118"/>
      <c r="AS639" s="118"/>
      <c r="AT639" s="118"/>
      <c r="AU639" s="118"/>
      <c r="AV639" s="118"/>
      <c r="AW639" s="118"/>
      <c r="AX639" s="118"/>
      <c r="AY639" s="118"/>
      <c r="AZ639" s="118"/>
      <c r="BA639" s="118"/>
      <c r="BB639" s="118"/>
      <c r="BC639" s="118"/>
      <c r="BD639" s="118"/>
      <c r="BE639" s="118"/>
      <c r="BF639" s="118"/>
      <c r="BG639" s="118"/>
      <c r="BH639" s="118"/>
      <c r="BI639" s="118"/>
      <c r="BJ639" s="118"/>
      <c r="BK639" s="118"/>
      <c r="BL639" s="118"/>
      <c r="BM639" s="118"/>
      <c r="BN639" s="118"/>
      <c r="BO639" s="118"/>
      <c r="BP639" s="118"/>
      <c r="BQ639" s="118"/>
      <c r="BR639" s="118"/>
      <c r="BS639" s="118"/>
      <c r="BT639" s="118"/>
      <c r="BU639" s="118"/>
      <c r="BV639" s="118"/>
      <c r="BW639" s="118"/>
      <c r="BX639" s="118"/>
      <c r="BY639" s="118"/>
      <c r="BZ639" s="118"/>
      <c r="CA639" s="118"/>
      <c r="CB639" s="118"/>
      <c r="CC639" s="118"/>
      <c r="CD639" s="118"/>
      <c r="CE639" s="118"/>
      <c r="CF639" s="118"/>
      <c r="CG639" s="118"/>
      <c r="CH639" s="118"/>
      <c r="CI639" s="118"/>
      <c r="CJ639" s="118"/>
      <c r="CK639" s="118"/>
      <c r="CL639" s="118"/>
      <c r="CM639" s="118"/>
      <c r="CN639" s="118"/>
      <c r="CO639" s="118"/>
      <c r="CP639" s="118"/>
      <c r="CQ639" s="118"/>
      <c r="CR639" s="118"/>
      <c r="CS639" s="118"/>
      <c r="CT639" s="118"/>
      <c r="CU639" s="118"/>
      <c r="CV639" s="118"/>
      <c r="CW639" s="118"/>
      <c r="CX639" s="118"/>
      <c r="CY639" s="118"/>
      <c r="CZ639" s="118"/>
      <c r="DA639" s="118"/>
      <c r="DB639" s="118"/>
      <c r="DC639" s="118"/>
      <c r="DD639" s="118"/>
      <c r="DE639" s="118"/>
      <c r="DF639" s="118"/>
      <c r="DG639" s="118"/>
      <c r="DH639" s="118"/>
      <c r="DI639" s="118"/>
      <c r="DJ639" s="118"/>
      <c r="DK639" s="118"/>
      <c r="DL639" s="118"/>
      <c r="DM639" s="118"/>
      <c r="DN639" s="118"/>
      <c r="DO639" s="118"/>
      <c r="DP639" s="118"/>
      <c r="DQ639" s="118"/>
      <c r="DR639" s="118"/>
      <c r="DS639" s="118"/>
      <c r="DT639" s="118"/>
      <c r="DU639" s="118"/>
      <c r="DV639" s="118"/>
      <c r="DW639" s="118"/>
      <c r="DX639" s="118"/>
      <c r="DY639" s="118"/>
      <c r="DZ639" s="118"/>
      <c r="EA639" s="118"/>
      <c r="EB639" s="118"/>
      <c r="EC639" s="118"/>
      <c r="ED639" s="118"/>
      <c r="EE639" s="118"/>
      <c r="EF639" s="118"/>
      <c r="EG639" s="118"/>
      <c r="EH639" s="118"/>
      <c r="EI639" s="118"/>
      <c r="EJ639" s="118"/>
      <c r="EK639" s="118"/>
      <c r="EL639" s="118"/>
      <c r="EM639" s="118"/>
      <c r="EN639" s="118"/>
      <c r="EO639" s="118"/>
      <c r="EP639" s="118"/>
      <c r="EQ639" s="118"/>
      <c r="ER639" s="118"/>
      <c r="ES639" s="118"/>
      <c r="ET639" s="118"/>
      <c r="EU639" s="118"/>
      <c r="EV639" s="118"/>
      <c r="EW639" s="118"/>
      <c r="EX639" s="118"/>
      <c r="EY639" s="118"/>
      <c r="EZ639" s="118"/>
      <c r="FA639" s="118"/>
      <c r="FB639" s="118"/>
      <c r="FC639" s="118"/>
      <c r="FD639" s="118"/>
      <c r="FE639" s="118"/>
      <c r="FF639" s="118"/>
      <c r="FG639" s="118"/>
      <c r="FH639" s="118"/>
      <c r="FI639" s="118"/>
      <c r="FJ639" s="118"/>
      <c r="FK639" s="118"/>
      <c r="FL639" s="118"/>
      <c r="FM639" s="118"/>
      <c r="FN639" s="118"/>
      <c r="FO639" s="118"/>
      <c r="FP639" s="118"/>
      <c r="FQ639" s="118"/>
      <c r="FR639" s="118"/>
      <c r="FS639" s="118"/>
      <c r="FT639" s="118"/>
      <c r="FU639" s="118"/>
      <c r="FV639" s="118"/>
      <c r="FW639" s="118"/>
      <c r="FX639" s="118"/>
      <c r="FY639" s="118"/>
      <c r="FZ639" s="118"/>
      <c r="GA639" s="118"/>
      <c r="GB639" s="118"/>
      <c r="GC639" s="118"/>
      <c r="GD639" s="118"/>
      <c r="GE639" s="118"/>
      <c r="GF639" s="118"/>
      <c r="GG639" s="118"/>
      <c r="GH639" s="118"/>
      <c r="GI639" s="118"/>
      <c r="GJ639" s="118"/>
      <c r="GK639" s="118"/>
      <c r="GL639" s="118"/>
      <c r="GM639" s="118"/>
      <c r="GN639" s="118"/>
      <c r="GO639" s="118"/>
      <c r="GP639" s="118"/>
      <c r="GQ639" s="118"/>
      <c r="GR639" s="118"/>
      <c r="GS639" s="118"/>
      <c r="GT639" s="118"/>
      <c r="GU639" s="118"/>
      <c r="GV639" s="118"/>
      <c r="GW639" s="118"/>
      <c r="GX639" s="118"/>
      <c r="GY639" s="118"/>
      <c r="GZ639" s="118"/>
      <c r="HA639" s="118"/>
      <c r="HB639" s="118"/>
      <c r="HC639" s="118"/>
      <c r="HD639" s="118"/>
      <c r="HE639" s="118"/>
      <c r="HF639" s="118"/>
      <c r="HG639" s="118"/>
      <c r="HH639" s="118"/>
      <c r="HI639" s="118"/>
    </row>
    <row r="640" spans="1:217" s="87" customFormat="1" ht="22.5" hidden="1">
      <c r="A640" s="72" t="s">
        <v>211</v>
      </c>
      <c r="B640" s="126"/>
      <c r="C640" s="126"/>
      <c r="D640" s="122">
        <f t="shared" si="32"/>
        <v>28200</v>
      </c>
      <c r="E640" s="127"/>
      <c r="F640" s="122">
        <f t="shared" si="33"/>
        <v>28200</v>
      </c>
      <c r="G640" s="122">
        <f t="shared" si="33"/>
        <v>30000</v>
      </c>
      <c r="H640" s="127"/>
      <c r="I640" s="127"/>
      <c r="J640" s="122">
        <f t="shared" si="34"/>
        <v>30000</v>
      </c>
      <c r="K640" s="127"/>
      <c r="L640" s="125"/>
      <c r="M640" s="125"/>
      <c r="N640" s="122">
        <f t="shared" si="35"/>
        <v>31800</v>
      </c>
      <c r="O640" s="127"/>
      <c r="P640" s="122">
        <f t="shared" si="36"/>
        <v>31800</v>
      </c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  <c r="AJ640" s="118"/>
      <c r="AK640" s="118"/>
      <c r="AL640" s="118"/>
      <c r="AM640" s="118"/>
      <c r="AN640" s="118"/>
      <c r="AO640" s="118"/>
      <c r="AP640" s="118"/>
      <c r="AQ640" s="118"/>
      <c r="AR640" s="118"/>
      <c r="AS640" s="118"/>
      <c r="AT640" s="118"/>
      <c r="AU640" s="118"/>
      <c r="AV640" s="118"/>
      <c r="AW640" s="118"/>
      <c r="AX640" s="118"/>
      <c r="AY640" s="118"/>
      <c r="AZ640" s="118"/>
      <c r="BA640" s="118"/>
      <c r="BB640" s="118"/>
      <c r="BC640" s="118"/>
      <c r="BD640" s="118"/>
      <c r="BE640" s="118"/>
      <c r="BF640" s="118"/>
      <c r="BG640" s="118"/>
      <c r="BH640" s="118"/>
      <c r="BI640" s="118"/>
      <c r="BJ640" s="118"/>
      <c r="BK640" s="118"/>
      <c r="BL640" s="118"/>
      <c r="BM640" s="118"/>
      <c r="BN640" s="118"/>
      <c r="BO640" s="118"/>
      <c r="BP640" s="118"/>
      <c r="BQ640" s="118"/>
      <c r="BR640" s="118"/>
      <c r="BS640" s="118"/>
      <c r="BT640" s="118"/>
      <c r="BU640" s="118"/>
      <c r="BV640" s="118"/>
      <c r="BW640" s="118"/>
      <c r="BX640" s="118"/>
      <c r="BY640" s="118"/>
      <c r="BZ640" s="118"/>
      <c r="CA640" s="118"/>
      <c r="CB640" s="118"/>
      <c r="CC640" s="118"/>
      <c r="CD640" s="118"/>
      <c r="CE640" s="118"/>
      <c r="CF640" s="118"/>
      <c r="CG640" s="118"/>
      <c r="CH640" s="118"/>
      <c r="CI640" s="118"/>
      <c r="CJ640" s="118"/>
      <c r="CK640" s="118"/>
      <c r="CL640" s="118"/>
      <c r="CM640" s="118"/>
      <c r="CN640" s="118"/>
      <c r="CO640" s="118"/>
      <c r="CP640" s="118"/>
      <c r="CQ640" s="118"/>
      <c r="CR640" s="118"/>
      <c r="CS640" s="118"/>
      <c r="CT640" s="118"/>
      <c r="CU640" s="118"/>
      <c r="CV640" s="118"/>
      <c r="CW640" s="118"/>
      <c r="CX640" s="118"/>
      <c r="CY640" s="118"/>
      <c r="CZ640" s="118"/>
      <c r="DA640" s="118"/>
      <c r="DB640" s="118"/>
      <c r="DC640" s="118"/>
      <c r="DD640" s="118"/>
      <c r="DE640" s="118"/>
      <c r="DF640" s="118"/>
      <c r="DG640" s="118"/>
      <c r="DH640" s="118"/>
      <c r="DI640" s="118"/>
      <c r="DJ640" s="118"/>
      <c r="DK640" s="118"/>
      <c r="DL640" s="118"/>
      <c r="DM640" s="118"/>
      <c r="DN640" s="118"/>
      <c r="DO640" s="118"/>
      <c r="DP640" s="118"/>
      <c r="DQ640" s="118"/>
      <c r="DR640" s="118"/>
      <c r="DS640" s="118"/>
      <c r="DT640" s="118"/>
      <c r="DU640" s="118"/>
      <c r="DV640" s="118"/>
      <c r="DW640" s="118"/>
      <c r="DX640" s="118"/>
      <c r="DY640" s="118"/>
      <c r="DZ640" s="118"/>
      <c r="EA640" s="118"/>
      <c r="EB640" s="118"/>
      <c r="EC640" s="118"/>
      <c r="ED640" s="118"/>
      <c r="EE640" s="118"/>
      <c r="EF640" s="118"/>
      <c r="EG640" s="118"/>
      <c r="EH640" s="118"/>
      <c r="EI640" s="118"/>
      <c r="EJ640" s="118"/>
      <c r="EK640" s="118"/>
      <c r="EL640" s="118"/>
      <c r="EM640" s="118"/>
      <c r="EN640" s="118"/>
      <c r="EO640" s="118"/>
      <c r="EP640" s="118"/>
      <c r="EQ640" s="118"/>
      <c r="ER640" s="118"/>
      <c r="ES640" s="118"/>
      <c r="ET640" s="118"/>
      <c r="EU640" s="118"/>
      <c r="EV640" s="118"/>
      <c r="EW640" s="118"/>
      <c r="EX640" s="118"/>
      <c r="EY640" s="118"/>
      <c r="EZ640" s="118"/>
      <c r="FA640" s="118"/>
      <c r="FB640" s="118"/>
      <c r="FC640" s="118"/>
      <c r="FD640" s="118"/>
      <c r="FE640" s="118"/>
      <c r="FF640" s="118"/>
      <c r="FG640" s="118"/>
      <c r="FH640" s="118"/>
      <c r="FI640" s="118"/>
      <c r="FJ640" s="118"/>
      <c r="FK640" s="118"/>
      <c r="FL640" s="118"/>
      <c r="FM640" s="118"/>
      <c r="FN640" s="118"/>
      <c r="FO640" s="118"/>
      <c r="FP640" s="118"/>
      <c r="FQ640" s="118"/>
      <c r="FR640" s="118"/>
      <c r="FS640" s="118"/>
      <c r="FT640" s="118"/>
      <c r="FU640" s="118"/>
      <c r="FV640" s="118"/>
      <c r="FW640" s="118"/>
      <c r="FX640" s="118"/>
      <c r="FY640" s="118"/>
      <c r="FZ640" s="118"/>
      <c r="GA640" s="118"/>
      <c r="GB640" s="118"/>
      <c r="GC640" s="118"/>
      <c r="GD640" s="118"/>
      <c r="GE640" s="118"/>
      <c r="GF640" s="118"/>
      <c r="GG640" s="118"/>
      <c r="GH640" s="118"/>
      <c r="GI640" s="118"/>
      <c r="GJ640" s="118"/>
      <c r="GK640" s="118"/>
      <c r="GL640" s="118"/>
      <c r="GM640" s="118"/>
      <c r="GN640" s="118"/>
      <c r="GO640" s="118"/>
      <c r="GP640" s="118"/>
      <c r="GQ640" s="118"/>
      <c r="GR640" s="118"/>
      <c r="GS640" s="118"/>
      <c r="GT640" s="118"/>
      <c r="GU640" s="118"/>
      <c r="GV640" s="118"/>
      <c r="GW640" s="118"/>
      <c r="GX640" s="118"/>
      <c r="GY640" s="118"/>
      <c r="GZ640" s="118"/>
      <c r="HA640" s="118"/>
      <c r="HB640" s="118"/>
      <c r="HC640" s="118"/>
      <c r="HD640" s="118"/>
      <c r="HE640" s="118"/>
      <c r="HF640" s="118"/>
      <c r="HG640" s="118"/>
      <c r="HH640" s="118"/>
      <c r="HI640" s="118"/>
    </row>
    <row r="641" spans="1:217" s="87" customFormat="1" ht="33.75" hidden="1">
      <c r="A641" s="72" t="s">
        <v>212</v>
      </c>
      <c r="B641" s="126"/>
      <c r="C641" s="126"/>
      <c r="D641" s="122">
        <f t="shared" si="32"/>
        <v>49950</v>
      </c>
      <c r="E641" s="127"/>
      <c r="F641" s="122">
        <f t="shared" si="33"/>
        <v>49950</v>
      </c>
      <c r="G641" s="122">
        <f t="shared" si="33"/>
        <v>53250</v>
      </c>
      <c r="H641" s="127"/>
      <c r="I641" s="127"/>
      <c r="J641" s="122">
        <f t="shared" si="34"/>
        <v>53250</v>
      </c>
      <c r="K641" s="127"/>
      <c r="L641" s="125"/>
      <c r="M641" s="125"/>
      <c r="N641" s="122">
        <f t="shared" si="35"/>
        <v>56400</v>
      </c>
      <c r="O641" s="127"/>
      <c r="P641" s="122">
        <f t="shared" si="36"/>
        <v>56400</v>
      </c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  <c r="AG641" s="118"/>
      <c r="AH641" s="118"/>
      <c r="AI641" s="118"/>
      <c r="AJ641" s="118"/>
      <c r="AK641" s="118"/>
      <c r="AL641" s="118"/>
      <c r="AM641" s="118"/>
      <c r="AN641" s="118"/>
      <c r="AO641" s="118"/>
      <c r="AP641" s="118"/>
      <c r="AQ641" s="118"/>
      <c r="AR641" s="118"/>
      <c r="AS641" s="118"/>
      <c r="AT641" s="118"/>
      <c r="AU641" s="118"/>
      <c r="AV641" s="118"/>
      <c r="AW641" s="118"/>
      <c r="AX641" s="118"/>
      <c r="AY641" s="118"/>
      <c r="AZ641" s="118"/>
      <c r="BA641" s="118"/>
      <c r="BB641" s="118"/>
      <c r="BC641" s="118"/>
      <c r="BD641" s="118"/>
      <c r="BE641" s="118"/>
      <c r="BF641" s="118"/>
      <c r="BG641" s="118"/>
      <c r="BH641" s="118"/>
      <c r="BI641" s="118"/>
      <c r="BJ641" s="118"/>
      <c r="BK641" s="118"/>
      <c r="BL641" s="118"/>
      <c r="BM641" s="118"/>
      <c r="BN641" s="118"/>
      <c r="BO641" s="118"/>
      <c r="BP641" s="118"/>
      <c r="BQ641" s="118"/>
      <c r="BR641" s="118"/>
      <c r="BS641" s="118"/>
      <c r="BT641" s="118"/>
      <c r="BU641" s="118"/>
      <c r="BV641" s="118"/>
      <c r="BW641" s="118"/>
      <c r="BX641" s="118"/>
      <c r="BY641" s="118"/>
      <c r="BZ641" s="118"/>
      <c r="CA641" s="118"/>
      <c r="CB641" s="118"/>
      <c r="CC641" s="118"/>
      <c r="CD641" s="118"/>
      <c r="CE641" s="118"/>
      <c r="CF641" s="118"/>
      <c r="CG641" s="118"/>
      <c r="CH641" s="118"/>
      <c r="CI641" s="118"/>
      <c r="CJ641" s="118"/>
      <c r="CK641" s="118"/>
      <c r="CL641" s="118"/>
      <c r="CM641" s="118"/>
      <c r="CN641" s="118"/>
      <c r="CO641" s="118"/>
      <c r="CP641" s="118"/>
      <c r="CQ641" s="118"/>
      <c r="CR641" s="118"/>
      <c r="CS641" s="118"/>
      <c r="CT641" s="118"/>
      <c r="CU641" s="118"/>
      <c r="CV641" s="118"/>
      <c r="CW641" s="118"/>
      <c r="CX641" s="118"/>
      <c r="CY641" s="118"/>
      <c r="CZ641" s="118"/>
      <c r="DA641" s="118"/>
      <c r="DB641" s="118"/>
      <c r="DC641" s="118"/>
      <c r="DD641" s="118"/>
      <c r="DE641" s="118"/>
      <c r="DF641" s="118"/>
      <c r="DG641" s="118"/>
      <c r="DH641" s="118"/>
      <c r="DI641" s="118"/>
      <c r="DJ641" s="118"/>
      <c r="DK641" s="118"/>
      <c r="DL641" s="118"/>
      <c r="DM641" s="118"/>
      <c r="DN641" s="118"/>
      <c r="DO641" s="118"/>
      <c r="DP641" s="118"/>
      <c r="DQ641" s="118"/>
      <c r="DR641" s="118"/>
      <c r="DS641" s="118"/>
      <c r="DT641" s="118"/>
      <c r="DU641" s="118"/>
      <c r="DV641" s="118"/>
      <c r="DW641" s="118"/>
      <c r="DX641" s="118"/>
      <c r="DY641" s="118"/>
      <c r="DZ641" s="118"/>
      <c r="EA641" s="118"/>
      <c r="EB641" s="118"/>
      <c r="EC641" s="118"/>
      <c r="ED641" s="118"/>
      <c r="EE641" s="118"/>
      <c r="EF641" s="118"/>
      <c r="EG641" s="118"/>
      <c r="EH641" s="118"/>
      <c r="EI641" s="118"/>
      <c r="EJ641" s="118"/>
      <c r="EK641" s="118"/>
      <c r="EL641" s="118"/>
      <c r="EM641" s="118"/>
      <c r="EN641" s="118"/>
      <c r="EO641" s="118"/>
      <c r="EP641" s="118"/>
      <c r="EQ641" s="118"/>
      <c r="ER641" s="118"/>
      <c r="ES641" s="118"/>
      <c r="ET641" s="118"/>
      <c r="EU641" s="118"/>
      <c r="EV641" s="118"/>
      <c r="EW641" s="118"/>
      <c r="EX641" s="118"/>
      <c r="EY641" s="118"/>
      <c r="EZ641" s="118"/>
      <c r="FA641" s="118"/>
      <c r="FB641" s="118"/>
      <c r="FC641" s="118"/>
      <c r="FD641" s="118"/>
      <c r="FE641" s="118"/>
      <c r="FF641" s="118"/>
      <c r="FG641" s="118"/>
      <c r="FH641" s="118"/>
      <c r="FI641" s="118"/>
      <c r="FJ641" s="118"/>
      <c r="FK641" s="118"/>
      <c r="FL641" s="118"/>
      <c r="FM641" s="118"/>
      <c r="FN641" s="118"/>
      <c r="FO641" s="118"/>
      <c r="FP641" s="118"/>
      <c r="FQ641" s="118"/>
      <c r="FR641" s="118"/>
      <c r="FS641" s="118"/>
      <c r="FT641" s="118"/>
      <c r="FU641" s="118"/>
      <c r="FV641" s="118"/>
      <c r="FW641" s="118"/>
      <c r="FX641" s="118"/>
      <c r="FY641" s="118"/>
      <c r="FZ641" s="118"/>
      <c r="GA641" s="118"/>
      <c r="GB641" s="118"/>
      <c r="GC641" s="118"/>
      <c r="GD641" s="118"/>
      <c r="GE641" s="118"/>
      <c r="GF641" s="118"/>
      <c r="GG641" s="118"/>
      <c r="GH641" s="118"/>
      <c r="GI641" s="118"/>
      <c r="GJ641" s="118"/>
      <c r="GK641" s="118"/>
      <c r="GL641" s="118"/>
      <c r="GM641" s="118"/>
      <c r="GN641" s="118"/>
      <c r="GO641" s="118"/>
      <c r="GP641" s="118"/>
      <c r="GQ641" s="118"/>
      <c r="GR641" s="118"/>
      <c r="GS641" s="118"/>
      <c r="GT641" s="118"/>
      <c r="GU641" s="118"/>
      <c r="GV641" s="118"/>
      <c r="GW641" s="118"/>
      <c r="GX641" s="118"/>
      <c r="GY641" s="118"/>
      <c r="GZ641" s="118"/>
      <c r="HA641" s="118"/>
      <c r="HB641" s="118"/>
      <c r="HC641" s="118"/>
      <c r="HD641" s="118"/>
      <c r="HE641" s="118"/>
      <c r="HF641" s="118"/>
      <c r="HG641" s="118"/>
      <c r="HH641" s="118"/>
      <c r="HI641" s="118"/>
    </row>
    <row r="642" spans="1:217" s="87" customFormat="1" ht="33.75" hidden="1">
      <c r="A642" s="72" t="s">
        <v>213</v>
      </c>
      <c r="B642" s="126"/>
      <c r="C642" s="126"/>
      <c r="D642" s="122">
        <f t="shared" si="32"/>
        <v>31050</v>
      </c>
      <c r="E642" s="122"/>
      <c r="F642" s="122">
        <f t="shared" si="33"/>
        <v>31050</v>
      </c>
      <c r="G642" s="122">
        <f t="shared" si="33"/>
        <v>33300</v>
      </c>
      <c r="H642" s="122"/>
      <c r="I642" s="122"/>
      <c r="J642" s="122">
        <f t="shared" si="34"/>
        <v>33300</v>
      </c>
      <c r="K642" s="122"/>
      <c r="L642" s="129"/>
      <c r="M642" s="129"/>
      <c r="N642" s="122">
        <f t="shared" si="35"/>
        <v>35550</v>
      </c>
      <c r="O642" s="122"/>
      <c r="P642" s="122">
        <f t="shared" si="36"/>
        <v>35550</v>
      </c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  <c r="AG642" s="118"/>
      <c r="AH642" s="118"/>
      <c r="AI642" s="118"/>
      <c r="AJ642" s="118"/>
      <c r="AK642" s="118"/>
      <c r="AL642" s="118"/>
      <c r="AM642" s="118"/>
      <c r="AN642" s="118"/>
      <c r="AO642" s="118"/>
      <c r="AP642" s="118"/>
      <c r="AQ642" s="118"/>
      <c r="AR642" s="118"/>
      <c r="AS642" s="118"/>
      <c r="AT642" s="118"/>
      <c r="AU642" s="118"/>
      <c r="AV642" s="118"/>
      <c r="AW642" s="118"/>
      <c r="AX642" s="118"/>
      <c r="AY642" s="118"/>
      <c r="AZ642" s="118"/>
      <c r="BA642" s="118"/>
      <c r="BB642" s="118"/>
      <c r="BC642" s="118"/>
      <c r="BD642" s="118"/>
      <c r="BE642" s="118"/>
      <c r="BF642" s="118"/>
      <c r="BG642" s="118"/>
      <c r="BH642" s="118"/>
      <c r="BI642" s="118"/>
      <c r="BJ642" s="118"/>
      <c r="BK642" s="118"/>
      <c r="BL642" s="118"/>
      <c r="BM642" s="118"/>
      <c r="BN642" s="118"/>
      <c r="BO642" s="118"/>
      <c r="BP642" s="118"/>
      <c r="BQ642" s="118"/>
      <c r="BR642" s="118"/>
      <c r="BS642" s="118"/>
      <c r="BT642" s="118"/>
      <c r="BU642" s="118"/>
      <c r="BV642" s="118"/>
      <c r="BW642" s="118"/>
      <c r="BX642" s="118"/>
      <c r="BY642" s="118"/>
      <c r="BZ642" s="118"/>
      <c r="CA642" s="118"/>
      <c r="CB642" s="118"/>
      <c r="CC642" s="118"/>
      <c r="CD642" s="118"/>
      <c r="CE642" s="118"/>
      <c r="CF642" s="118"/>
      <c r="CG642" s="118"/>
      <c r="CH642" s="118"/>
      <c r="CI642" s="118"/>
      <c r="CJ642" s="118"/>
      <c r="CK642" s="118"/>
      <c r="CL642" s="118"/>
      <c r="CM642" s="118"/>
      <c r="CN642" s="118"/>
      <c r="CO642" s="118"/>
      <c r="CP642" s="118"/>
      <c r="CQ642" s="118"/>
      <c r="CR642" s="118"/>
      <c r="CS642" s="118"/>
      <c r="CT642" s="118"/>
      <c r="CU642" s="118"/>
      <c r="CV642" s="118"/>
      <c r="CW642" s="118"/>
      <c r="CX642" s="118"/>
      <c r="CY642" s="118"/>
      <c r="CZ642" s="118"/>
      <c r="DA642" s="118"/>
      <c r="DB642" s="118"/>
      <c r="DC642" s="118"/>
      <c r="DD642" s="118"/>
      <c r="DE642" s="118"/>
      <c r="DF642" s="118"/>
      <c r="DG642" s="118"/>
      <c r="DH642" s="118"/>
      <c r="DI642" s="118"/>
      <c r="DJ642" s="118"/>
      <c r="DK642" s="118"/>
      <c r="DL642" s="118"/>
      <c r="DM642" s="118"/>
      <c r="DN642" s="118"/>
      <c r="DO642" s="118"/>
      <c r="DP642" s="118"/>
      <c r="DQ642" s="118"/>
      <c r="DR642" s="118"/>
      <c r="DS642" s="118"/>
      <c r="DT642" s="118"/>
      <c r="DU642" s="118"/>
      <c r="DV642" s="118"/>
      <c r="DW642" s="118"/>
      <c r="DX642" s="118"/>
      <c r="DY642" s="118"/>
      <c r="DZ642" s="118"/>
      <c r="EA642" s="118"/>
      <c r="EB642" s="118"/>
      <c r="EC642" s="118"/>
      <c r="ED642" s="118"/>
      <c r="EE642" s="118"/>
      <c r="EF642" s="118"/>
      <c r="EG642" s="118"/>
      <c r="EH642" s="118"/>
      <c r="EI642" s="118"/>
      <c r="EJ642" s="118"/>
      <c r="EK642" s="118"/>
      <c r="EL642" s="118"/>
      <c r="EM642" s="118"/>
      <c r="EN642" s="118"/>
      <c r="EO642" s="118"/>
      <c r="EP642" s="118"/>
      <c r="EQ642" s="118"/>
      <c r="ER642" s="118"/>
      <c r="ES642" s="118"/>
      <c r="ET642" s="118"/>
      <c r="EU642" s="118"/>
      <c r="EV642" s="118"/>
      <c r="EW642" s="118"/>
      <c r="EX642" s="118"/>
      <c r="EY642" s="118"/>
      <c r="EZ642" s="118"/>
      <c r="FA642" s="118"/>
      <c r="FB642" s="118"/>
      <c r="FC642" s="118"/>
      <c r="FD642" s="118"/>
      <c r="FE642" s="118"/>
      <c r="FF642" s="118"/>
      <c r="FG642" s="118"/>
      <c r="FH642" s="118"/>
      <c r="FI642" s="118"/>
      <c r="FJ642" s="118"/>
      <c r="FK642" s="118"/>
      <c r="FL642" s="118"/>
      <c r="FM642" s="118"/>
      <c r="FN642" s="118"/>
      <c r="FO642" s="118"/>
      <c r="FP642" s="118"/>
      <c r="FQ642" s="118"/>
      <c r="FR642" s="118"/>
      <c r="FS642" s="118"/>
      <c r="FT642" s="118"/>
      <c r="FU642" s="118"/>
      <c r="FV642" s="118"/>
      <c r="FW642" s="118"/>
      <c r="FX642" s="118"/>
      <c r="FY642" s="118"/>
      <c r="FZ642" s="118"/>
      <c r="GA642" s="118"/>
      <c r="GB642" s="118"/>
      <c r="GC642" s="118"/>
      <c r="GD642" s="118"/>
      <c r="GE642" s="118"/>
      <c r="GF642" s="118"/>
      <c r="GG642" s="118"/>
      <c r="GH642" s="118"/>
      <c r="GI642" s="118"/>
      <c r="GJ642" s="118"/>
      <c r="GK642" s="118"/>
      <c r="GL642" s="118"/>
      <c r="GM642" s="118"/>
      <c r="GN642" s="118"/>
      <c r="GO642" s="118"/>
      <c r="GP642" s="118"/>
      <c r="GQ642" s="118"/>
      <c r="GR642" s="118"/>
      <c r="GS642" s="118"/>
      <c r="GT642" s="118"/>
      <c r="GU642" s="118"/>
      <c r="GV642" s="118"/>
      <c r="GW642" s="118"/>
      <c r="GX642" s="118"/>
      <c r="GY642" s="118"/>
      <c r="GZ642" s="118"/>
      <c r="HA642" s="118"/>
      <c r="HB642" s="118"/>
      <c r="HC642" s="118"/>
      <c r="HD642" s="118"/>
      <c r="HE642" s="118"/>
      <c r="HF642" s="118"/>
      <c r="HG642" s="118"/>
      <c r="HH642" s="118"/>
      <c r="HI642" s="118"/>
    </row>
    <row r="643" spans="1:217" s="87" customFormat="1" ht="22.5" hidden="1">
      <c r="A643" s="72" t="s">
        <v>214</v>
      </c>
      <c r="B643" s="126"/>
      <c r="C643" s="126"/>
      <c r="D643" s="122">
        <f t="shared" si="32"/>
        <v>7620</v>
      </c>
      <c r="E643" s="122"/>
      <c r="F643" s="122">
        <f>F650*F657</f>
        <v>7620</v>
      </c>
      <c r="G643" s="122">
        <f>G650*G657</f>
        <v>8160</v>
      </c>
      <c r="H643" s="122"/>
      <c r="I643" s="122"/>
      <c r="J643" s="122">
        <f t="shared" si="34"/>
        <v>8160</v>
      </c>
      <c r="K643" s="122"/>
      <c r="L643" s="129"/>
      <c r="M643" s="129"/>
      <c r="N643" s="122">
        <f t="shared" si="35"/>
        <v>8640</v>
      </c>
      <c r="O643" s="122"/>
      <c r="P643" s="122">
        <f t="shared" si="36"/>
        <v>8640</v>
      </c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  <c r="AG643" s="118"/>
      <c r="AH643" s="118"/>
      <c r="AI643" s="118"/>
      <c r="AJ643" s="118"/>
      <c r="AK643" s="118"/>
      <c r="AL643" s="118"/>
      <c r="AM643" s="118"/>
      <c r="AN643" s="118"/>
      <c r="AO643" s="118"/>
      <c r="AP643" s="118"/>
      <c r="AQ643" s="118"/>
      <c r="AR643" s="118"/>
      <c r="AS643" s="118"/>
      <c r="AT643" s="118"/>
      <c r="AU643" s="118"/>
      <c r="AV643" s="118"/>
      <c r="AW643" s="118"/>
      <c r="AX643" s="118"/>
      <c r="AY643" s="118"/>
      <c r="AZ643" s="118"/>
      <c r="BA643" s="118"/>
      <c r="BB643" s="118"/>
      <c r="BC643" s="118"/>
      <c r="BD643" s="118"/>
      <c r="BE643" s="118"/>
      <c r="BF643" s="118"/>
      <c r="BG643" s="118"/>
      <c r="BH643" s="118"/>
      <c r="BI643" s="118"/>
      <c r="BJ643" s="118"/>
      <c r="BK643" s="118"/>
      <c r="BL643" s="118"/>
      <c r="BM643" s="118"/>
      <c r="BN643" s="118"/>
      <c r="BO643" s="118"/>
      <c r="BP643" s="118"/>
      <c r="BQ643" s="118"/>
      <c r="BR643" s="118"/>
      <c r="BS643" s="118"/>
      <c r="BT643" s="118"/>
      <c r="BU643" s="118"/>
      <c r="BV643" s="118"/>
      <c r="BW643" s="118"/>
      <c r="BX643" s="118"/>
      <c r="BY643" s="118"/>
      <c r="BZ643" s="118"/>
      <c r="CA643" s="118"/>
      <c r="CB643" s="118"/>
      <c r="CC643" s="118"/>
      <c r="CD643" s="118"/>
      <c r="CE643" s="118"/>
      <c r="CF643" s="118"/>
      <c r="CG643" s="118"/>
      <c r="CH643" s="118"/>
      <c r="CI643" s="118"/>
      <c r="CJ643" s="118"/>
      <c r="CK643" s="118"/>
      <c r="CL643" s="118"/>
      <c r="CM643" s="118"/>
      <c r="CN643" s="118"/>
      <c r="CO643" s="118"/>
      <c r="CP643" s="118"/>
      <c r="CQ643" s="118"/>
      <c r="CR643" s="118"/>
      <c r="CS643" s="118"/>
      <c r="CT643" s="118"/>
      <c r="CU643" s="118"/>
      <c r="CV643" s="118"/>
      <c r="CW643" s="118"/>
      <c r="CX643" s="118"/>
      <c r="CY643" s="118"/>
      <c r="CZ643" s="118"/>
      <c r="DA643" s="118"/>
      <c r="DB643" s="118"/>
      <c r="DC643" s="118"/>
      <c r="DD643" s="118"/>
      <c r="DE643" s="118"/>
      <c r="DF643" s="118"/>
      <c r="DG643" s="118"/>
      <c r="DH643" s="118"/>
      <c r="DI643" s="118"/>
      <c r="DJ643" s="118"/>
      <c r="DK643" s="118"/>
      <c r="DL643" s="118"/>
      <c r="DM643" s="118"/>
      <c r="DN643" s="118"/>
      <c r="DO643" s="118"/>
      <c r="DP643" s="118"/>
      <c r="DQ643" s="118"/>
      <c r="DR643" s="118"/>
      <c r="DS643" s="118"/>
      <c r="DT643" s="118"/>
      <c r="DU643" s="118"/>
      <c r="DV643" s="118"/>
      <c r="DW643" s="118"/>
      <c r="DX643" s="118"/>
      <c r="DY643" s="118"/>
      <c r="DZ643" s="118"/>
      <c r="EA643" s="118"/>
      <c r="EB643" s="118"/>
      <c r="EC643" s="118"/>
      <c r="ED643" s="118"/>
      <c r="EE643" s="118"/>
      <c r="EF643" s="118"/>
      <c r="EG643" s="118"/>
      <c r="EH643" s="118"/>
      <c r="EI643" s="118"/>
      <c r="EJ643" s="118"/>
      <c r="EK643" s="118"/>
      <c r="EL643" s="118"/>
      <c r="EM643" s="118"/>
      <c r="EN643" s="118"/>
      <c r="EO643" s="118"/>
      <c r="EP643" s="118"/>
      <c r="EQ643" s="118"/>
      <c r="ER643" s="118"/>
      <c r="ES643" s="118"/>
      <c r="ET643" s="118"/>
      <c r="EU643" s="118"/>
      <c r="EV643" s="118"/>
      <c r="EW643" s="118"/>
      <c r="EX643" s="118"/>
      <c r="EY643" s="118"/>
      <c r="EZ643" s="118"/>
      <c r="FA643" s="118"/>
      <c r="FB643" s="118"/>
      <c r="FC643" s="118"/>
      <c r="FD643" s="118"/>
      <c r="FE643" s="118"/>
      <c r="FF643" s="118"/>
      <c r="FG643" s="118"/>
      <c r="FH643" s="118"/>
      <c r="FI643" s="118"/>
      <c r="FJ643" s="118"/>
      <c r="FK643" s="118"/>
      <c r="FL643" s="118"/>
      <c r="FM643" s="118"/>
      <c r="FN643" s="118"/>
      <c r="FO643" s="118"/>
      <c r="FP643" s="118"/>
      <c r="FQ643" s="118"/>
      <c r="FR643" s="118"/>
      <c r="FS643" s="118"/>
      <c r="FT643" s="118"/>
      <c r="FU643" s="118"/>
      <c r="FV643" s="118"/>
      <c r="FW643" s="118"/>
      <c r="FX643" s="118"/>
      <c r="FY643" s="118"/>
      <c r="FZ643" s="118"/>
      <c r="GA643" s="118"/>
      <c r="GB643" s="118"/>
      <c r="GC643" s="118"/>
      <c r="GD643" s="118"/>
      <c r="GE643" s="118"/>
      <c r="GF643" s="118"/>
      <c r="GG643" s="118"/>
      <c r="GH643" s="118"/>
      <c r="GI643" s="118"/>
      <c r="GJ643" s="118"/>
      <c r="GK643" s="118"/>
      <c r="GL643" s="118"/>
      <c r="GM643" s="118"/>
      <c r="GN643" s="118"/>
      <c r="GO643" s="118"/>
      <c r="GP643" s="118"/>
      <c r="GQ643" s="118"/>
      <c r="GR643" s="118"/>
      <c r="GS643" s="118"/>
      <c r="GT643" s="118"/>
      <c r="GU643" s="118"/>
      <c r="GV643" s="118"/>
      <c r="GW643" s="118"/>
      <c r="GX643" s="118"/>
      <c r="GY643" s="118"/>
      <c r="GZ643" s="118"/>
      <c r="HA643" s="118"/>
      <c r="HB643" s="118"/>
      <c r="HC643" s="118"/>
      <c r="HD643" s="118"/>
      <c r="HE643" s="118"/>
      <c r="HF643" s="118"/>
      <c r="HG643" s="118"/>
      <c r="HH643" s="118"/>
      <c r="HI643" s="118"/>
    </row>
    <row r="644" spans="1:217" s="87" customFormat="1" ht="33.75" hidden="1">
      <c r="A644" s="72" t="s">
        <v>193</v>
      </c>
      <c r="B644" s="126"/>
      <c r="C644" s="126"/>
      <c r="D644" s="122">
        <f t="shared" si="32"/>
        <v>1920</v>
      </c>
      <c r="E644" s="122"/>
      <c r="F644" s="122">
        <f>F651*F658</f>
        <v>1920</v>
      </c>
      <c r="G644" s="122">
        <f>G651*G658</f>
        <v>1920</v>
      </c>
      <c r="H644" s="122"/>
      <c r="I644" s="122"/>
      <c r="J644" s="122">
        <f t="shared" si="34"/>
        <v>1920</v>
      </c>
      <c r="K644" s="122"/>
      <c r="L644" s="129"/>
      <c r="M644" s="129"/>
      <c r="N644" s="122">
        <f t="shared" si="35"/>
        <v>1920</v>
      </c>
      <c r="O644" s="122"/>
      <c r="P644" s="122">
        <f t="shared" si="36"/>
        <v>1920</v>
      </c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  <c r="AG644" s="118"/>
      <c r="AH644" s="118"/>
      <c r="AI644" s="118"/>
      <c r="AJ644" s="118"/>
      <c r="AK644" s="118"/>
      <c r="AL644" s="118"/>
      <c r="AM644" s="118"/>
      <c r="AN644" s="118"/>
      <c r="AO644" s="118"/>
      <c r="AP644" s="118"/>
      <c r="AQ644" s="118"/>
      <c r="AR644" s="118"/>
      <c r="AS644" s="118"/>
      <c r="AT644" s="118"/>
      <c r="AU644" s="118"/>
      <c r="AV644" s="118"/>
      <c r="AW644" s="118"/>
      <c r="AX644" s="118"/>
      <c r="AY644" s="118"/>
      <c r="AZ644" s="118"/>
      <c r="BA644" s="118"/>
      <c r="BB644" s="118"/>
      <c r="BC644" s="118"/>
      <c r="BD644" s="118"/>
      <c r="BE644" s="118"/>
      <c r="BF644" s="118"/>
      <c r="BG644" s="118"/>
      <c r="BH644" s="118"/>
      <c r="BI644" s="118"/>
      <c r="BJ644" s="118"/>
      <c r="BK644" s="118"/>
      <c r="BL644" s="118"/>
      <c r="BM644" s="118"/>
      <c r="BN644" s="118"/>
      <c r="BO644" s="118"/>
      <c r="BP644" s="118"/>
      <c r="BQ644" s="118"/>
      <c r="BR644" s="118"/>
      <c r="BS644" s="118"/>
      <c r="BT644" s="118"/>
      <c r="BU644" s="118"/>
      <c r="BV644" s="118"/>
      <c r="BW644" s="118"/>
      <c r="BX644" s="118"/>
      <c r="BY644" s="118"/>
      <c r="BZ644" s="118"/>
      <c r="CA644" s="118"/>
      <c r="CB644" s="118"/>
      <c r="CC644" s="118"/>
      <c r="CD644" s="118"/>
      <c r="CE644" s="118"/>
      <c r="CF644" s="118"/>
      <c r="CG644" s="118"/>
      <c r="CH644" s="118"/>
      <c r="CI644" s="118"/>
      <c r="CJ644" s="118"/>
      <c r="CK644" s="118"/>
      <c r="CL644" s="118"/>
      <c r="CM644" s="118"/>
      <c r="CN644" s="118"/>
      <c r="CO644" s="118"/>
      <c r="CP644" s="118"/>
      <c r="CQ644" s="118"/>
      <c r="CR644" s="118"/>
      <c r="CS644" s="118"/>
      <c r="CT644" s="118"/>
      <c r="CU644" s="118"/>
      <c r="CV644" s="118"/>
      <c r="CW644" s="118"/>
      <c r="CX644" s="118"/>
      <c r="CY644" s="118"/>
      <c r="CZ644" s="118"/>
      <c r="DA644" s="118"/>
      <c r="DB644" s="118"/>
      <c r="DC644" s="118"/>
      <c r="DD644" s="118"/>
      <c r="DE644" s="118"/>
      <c r="DF644" s="118"/>
      <c r="DG644" s="118"/>
      <c r="DH644" s="118"/>
      <c r="DI644" s="118"/>
      <c r="DJ644" s="118"/>
      <c r="DK644" s="118"/>
      <c r="DL644" s="118"/>
      <c r="DM644" s="118"/>
      <c r="DN644" s="118"/>
      <c r="DO644" s="118"/>
      <c r="DP644" s="118"/>
      <c r="DQ644" s="118"/>
      <c r="DR644" s="118"/>
      <c r="DS644" s="118"/>
      <c r="DT644" s="118"/>
      <c r="DU644" s="118"/>
      <c r="DV644" s="118"/>
      <c r="DW644" s="118"/>
      <c r="DX644" s="118"/>
      <c r="DY644" s="118"/>
      <c r="DZ644" s="118"/>
      <c r="EA644" s="118"/>
      <c r="EB644" s="118"/>
      <c r="EC644" s="118"/>
      <c r="ED644" s="118"/>
      <c r="EE644" s="118"/>
      <c r="EF644" s="118"/>
      <c r="EG644" s="118"/>
      <c r="EH644" s="118"/>
      <c r="EI644" s="118"/>
      <c r="EJ644" s="118"/>
      <c r="EK644" s="118"/>
      <c r="EL644" s="118"/>
      <c r="EM644" s="118"/>
      <c r="EN644" s="118"/>
      <c r="EO644" s="118"/>
      <c r="EP644" s="118"/>
      <c r="EQ644" s="118"/>
      <c r="ER644" s="118"/>
      <c r="ES644" s="118"/>
      <c r="ET644" s="118"/>
      <c r="EU644" s="118"/>
      <c r="EV644" s="118"/>
      <c r="EW644" s="118"/>
      <c r="EX644" s="118"/>
      <c r="EY644" s="118"/>
      <c r="EZ644" s="118"/>
      <c r="FA644" s="118"/>
      <c r="FB644" s="118"/>
      <c r="FC644" s="118"/>
      <c r="FD644" s="118"/>
      <c r="FE644" s="118"/>
      <c r="FF644" s="118"/>
      <c r="FG644" s="118"/>
      <c r="FH644" s="118"/>
      <c r="FI644" s="118"/>
      <c r="FJ644" s="118"/>
      <c r="FK644" s="118"/>
      <c r="FL644" s="118"/>
      <c r="FM644" s="118"/>
      <c r="FN644" s="118"/>
      <c r="FO644" s="118"/>
      <c r="FP644" s="118"/>
      <c r="FQ644" s="118"/>
      <c r="FR644" s="118"/>
      <c r="FS644" s="118"/>
      <c r="FT644" s="118"/>
      <c r="FU644" s="118"/>
      <c r="FV644" s="118"/>
      <c r="FW644" s="118"/>
      <c r="FX644" s="118"/>
      <c r="FY644" s="118"/>
      <c r="FZ644" s="118"/>
      <c r="GA644" s="118"/>
      <c r="GB644" s="118"/>
      <c r="GC644" s="118"/>
      <c r="GD644" s="118"/>
      <c r="GE644" s="118"/>
      <c r="GF644" s="118"/>
      <c r="GG644" s="118"/>
      <c r="GH644" s="118"/>
      <c r="GI644" s="118"/>
      <c r="GJ644" s="118"/>
      <c r="GK644" s="118"/>
      <c r="GL644" s="118"/>
      <c r="GM644" s="118"/>
      <c r="GN644" s="118"/>
      <c r="GO644" s="118"/>
      <c r="GP644" s="118"/>
      <c r="GQ644" s="118"/>
      <c r="GR644" s="118"/>
      <c r="GS644" s="118"/>
      <c r="GT644" s="118"/>
      <c r="GU644" s="118"/>
      <c r="GV644" s="118"/>
      <c r="GW644" s="118"/>
      <c r="GX644" s="118"/>
      <c r="GY644" s="118"/>
      <c r="GZ644" s="118"/>
      <c r="HA644" s="118"/>
      <c r="HB644" s="118"/>
      <c r="HC644" s="118"/>
      <c r="HD644" s="118"/>
      <c r="HE644" s="118"/>
      <c r="HF644" s="118"/>
      <c r="HG644" s="118"/>
      <c r="HH644" s="118"/>
      <c r="HI644" s="118"/>
    </row>
    <row r="645" spans="1:217" s="156" customFormat="1" ht="11.25" hidden="1">
      <c r="A645" s="128" t="s">
        <v>3</v>
      </c>
      <c r="B645" s="128"/>
      <c r="C645" s="128"/>
      <c r="D645" s="130"/>
      <c r="E645" s="130"/>
      <c r="F645" s="122"/>
      <c r="G645" s="130"/>
      <c r="H645" s="130"/>
      <c r="I645" s="130"/>
      <c r="J645" s="122"/>
      <c r="K645" s="122"/>
      <c r="L645" s="130"/>
      <c r="M645" s="130"/>
      <c r="N645" s="130"/>
      <c r="O645" s="130"/>
      <c r="P645" s="122"/>
      <c r="Q645" s="75"/>
      <c r="R645" s="75"/>
      <c r="S645" s="75"/>
      <c r="T645" s="75"/>
      <c r="U645" s="75"/>
      <c r="V645" s="75"/>
      <c r="W645" s="75"/>
      <c r="X645" s="75"/>
      <c r="Y645" s="75"/>
      <c r="Z645" s="75"/>
      <c r="AA645" s="75"/>
      <c r="AB645" s="75"/>
      <c r="AC645" s="75"/>
      <c r="AD645" s="75"/>
      <c r="AE645" s="75"/>
      <c r="AF645" s="75"/>
      <c r="AG645" s="75"/>
      <c r="AH645" s="75"/>
      <c r="AI645" s="75"/>
      <c r="AJ645" s="75"/>
      <c r="AK645" s="75"/>
      <c r="AL645" s="75"/>
      <c r="AM645" s="75"/>
      <c r="AN645" s="75"/>
      <c r="AO645" s="75"/>
      <c r="AP645" s="75"/>
      <c r="AQ645" s="75"/>
      <c r="AR645" s="75"/>
      <c r="AS645" s="75"/>
      <c r="AT645" s="75"/>
      <c r="AU645" s="75"/>
      <c r="AV645" s="75"/>
      <c r="AW645" s="75"/>
      <c r="AX645" s="75"/>
      <c r="AY645" s="75"/>
      <c r="AZ645" s="75"/>
      <c r="BA645" s="75"/>
      <c r="BB645" s="75"/>
      <c r="BC645" s="75"/>
      <c r="BD645" s="75"/>
      <c r="BE645" s="75"/>
      <c r="BF645" s="75"/>
      <c r="BG645" s="75"/>
      <c r="BH645" s="75"/>
      <c r="BI645" s="75"/>
      <c r="BJ645" s="75"/>
      <c r="BK645" s="75"/>
      <c r="BL645" s="75"/>
      <c r="BM645" s="75"/>
      <c r="BN645" s="75"/>
      <c r="BO645" s="75"/>
      <c r="BP645" s="75"/>
      <c r="BQ645" s="75"/>
      <c r="BR645" s="75"/>
      <c r="BS645" s="75"/>
      <c r="BT645" s="75"/>
      <c r="BU645" s="75"/>
      <c r="BV645" s="75"/>
      <c r="BW645" s="75"/>
      <c r="BX645" s="75"/>
      <c r="BY645" s="75"/>
      <c r="BZ645" s="75"/>
      <c r="CA645" s="75"/>
      <c r="CB645" s="75"/>
      <c r="CC645" s="75"/>
      <c r="CD645" s="75"/>
      <c r="CE645" s="75"/>
      <c r="CF645" s="75"/>
      <c r="CG645" s="75"/>
      <c r="CH645" s="75"/>
      <c r="CI645" s="75"/>
      <c r="CJ645" s="75"/>
      <c r="CK645" s="75"/>
      <c r="CL645" s="75"/>
      <c r="CM645" s="75"/>
      <c r="CN645" s="75"/>
      <c r="CO645" s="75"/>
      <c r="CP645" s="75"/>
      <c r="CQ645" s="75"/>
      <c r="CR645" s="75"/>
      <c r="CS645" s="75"/>
      <c r="CT645" s="75"/>
      <c r="CU645" s="75"/>
      <c r="CV645" s="75"/>
      <c r="CW645" s="75"/>
      <c r="CX645" s="75"/>
      <c r="CY645" s="75"/>
      <c r="CZ645" s="75"/>
      <c r="DA645" s="75"/>
      <c r="DB645" s="75"/>
      <c r="DC645" s="75"/>
      <c r="DD645" s="75"/>
      <c r="DE645" s="75"/>
      <c r="DF645" s="75"/>
      <c r="DG645" s="75"/>
      <c r="DH645" s="75"/>
      <c r="DI645" s="75"/>
      <c r="DJ645" s="75"/>
      <c r="DK645" s="75"/>
      <c r="DL645" s="75"/>
      <c r="DM645" s="75"/>
      <c r="DN645" s="75"/>
      <c r="DO645" s="75"/>
      <c r="DP645" s="75"/>
      <c r="DQ645" s="75"/>
      <c r="DR645" s="75"/>
      <c r="DS645" s="75"/>
      <c r="DT645" s="75"/>
      <c r="DU645" s="75"/>
      <c r="DV645" s="75"/>
      <c r="DW645" s="75"/>
      <c r="DX645" s="75"/>
      <c r="DY645" s="75"/>
      <c r="DZ645" s="75"/>
      <c r="EA645" s="75"/>
      <c r="EB645" s="75"/>
      <c r="EC645" s="75"/>
      <c r="ED645" s="75"/>
      <c r="EE645" s="75"/>
      <c r="EF645" s="75"/>
      <c r="EG645" s="75"/>
      <c r="EH645" s="75"/>
      <c r="EI645" s="75"/>
      <c r="EJ645" s="75"/>
      <c r="EK645" s="75"/>
      <c r="EL645" s="75"/>
      <c r="EM645" s="75"/>
      <c r="EN645" s="75"/>
      <c r="EO645" s="75"/>
      <c r="EP645" s="75"/>
      <c r="EQ645" s="75"/>
      <c r="ER645" s="75"/>
      <c r="ES645" s="75"/>
      <c r="ET645" s="75"/>
      <c r="EU645" s="75"/>
      <c r="EV645" s="75"/>
      <c r="EW645" s="75"/>
      <c r="EX645" s="75"/>
      <c r="EY645" s="75"/>
      <c r="EZ645" s="75"/>
      <c r="FA645" s="75"/>
      <c r="FB645" s="75"/>
      <c r="FC645" s="75"/>
      <c r="FD645" s="75"/>
      <c r="FE645" s="75"/>
      <c r="FF645" s="75"/>
      <c r="FG645" s="75"/>
      <c r="FH645" s="75"/>
      <c r="FI645" s="75"/>
      <c r="FJ645" s="75"/>
      <c r="FK645" s="75"/>
      <c r="FL645" s="75"/>
      <c r="FM645" s="75"/>
      <c r="FN645" s="75"/>
      <c r="FO645" s="75"/>
      <c r="FP645" s="75"/>
      <c r="FQ645" s="75"/>
      <c r="FR645" s="75"/>
      <c r="FS645" s="75"/>
      <c r="FT645" s="75"/>
      <c r="FU645" s="75"/>
      <c r="FV645" s="75"/>
      <c r="FW645" s="75"/>
      <c r="FX645" s="75"/>
      <c r="FY645" s="75"/>
      <c r="FZ645" s="75"/>
      <c r="GA645" s="75"/>
      <c r="GB645" s="75"/>
      <c r="GC645" s="75"/>
      <c r="GD645" s="75"/>
      <c r="GE645" s="75"/>
      <c r="GF645" s="75"/>
      <c r="GG645" s="75"/>
      <c r="GH645" s="75"/>
      <c r="GI645" s="75"/>
      <c r="GJ645" s="75"/>
      <c r="GK645" s="75"/>
      <c r="GL645" s="75"/>
      <c r="GM645" s="75"/>
      <c r="GN645" s="75"/>
      <c r="GO645" s="75"/>
      <c r="GP645" s="75"/>
      <c r="GQ645" s="75"/>
      <c r="GR645" s="75"/>
      <c r="GS645" s="75"/>
      <c r="GT645" s="75"/>
      <c r="GU645" s="75"/>
      <c r="GV645" s="75"/>
      <c r="GW645" s="75"/>
      <c r="GX645" s="75"/>
      <c r="GY645" s="75"/>
      <c r="GZ645" s="75"/>
      <c r="HA645" s="75"/>
      <c r="HB645" s="75"/>
      <c r="HC645" s="75"/>
      <c r="HD645" s="75"/>
      <c r="HE645" s="75"/>
      <c r="HF645" s="75"/>
      <c r="HG645" s="75"/>
      <c r="HH645" s="75"/>
      <c r="HI645" s="75"/>
    </row>
    <row r="646" spans="1:217" s="156" customFormat="1" ht="33.75" customHeight="1" hidden="1">
      <c r="A646" s="72" t="s">
        <v>146</v>
      </c>
      <c r="B646" s="131"/>
      <c r="C646" s="131"/>
      <c r="D646" s="132">
        <v>30</v>
      </c>
      <c r="E646" s="133"/>
      <c r="F646" s="132">
        <v>30</v>
      </c>
      <c r="G646" s="132">
        <v>30</v>
      </c>
      <c r="H646" s="133"/>
      <c r="I646" s="133"/>
      <c r="J646" s="132">
        <v>30</v>
      </c>
      <c r="K646" s="133"/>
      <c r="L646" s="133"/>
      <c r="M646" s="133"/>
      <c r="N646" s="132">
        <v>30</v>
      </c>
      <c r="O646" s="133"/>
      <c r="P646" s="132">
        <v>30</v>
      </c>
      <c r="Q646" s="75"/>
      <c r="R646" s="75"/>
      <c r="S646" s="75"/>
      <c r="T646" s="75"/>
      <c r="U646" s="75"/>
      <c r="V646" s="75"/>
      <c r="W646" s="75"/>
      <c r="X646" s="75"/>
      <c r="Y646" s="75"/>
      <c r="Z646" s="75"/>
      <c r="AA646" s="75"/>
      <c r="AB646" s="75"/>
      <c r="AC646" s="75"/>
      <c r="AD646" s="75"/>
      <c r="AE646" s="75"/>
      <c r="AF646" s="75"/>
      <c r="AG646" s="75"/>
      <c r="AH646" s="75"/>
      <c r="AI646" s="75"/>
      <c r="AJ646" s="75"/>
      <c r="AK646" s="75"/>
      <c r="AL646" s="75"/>
      <c r="AM646" s="75"/>
      <c r="AN646" s="75"/>
      <c r="AO646" s="75"/>
      <c r="AP646" s="75"/>
      <c r="AQ646" s="75"/>
      <c r="AR646" s="75"/>
      <c r="AS646" s="75"/>
      <c r="AT646" s="75"/>
      <c r="AU646" s="75"/>
      <c r="AV646" s="75"/>
      <c r="AW646" s="75"/>
      <c r="AX646" s="75"/>
      <c r="AY646" s="75"/>
      <c r="AZ646" s="75"/>
      <c r="BA646" s="75"/>
      <c r="BB646" s="75"/>
      <c r="BC646" s="75"/>
      <c r="BD646" s="75"/>
      <c r="BE646" s="75"/>
      <c r="BF646" s="75"/>
      <c r="BG646" s="75"/>
      <c r="BH646" s="75"/>
      <c r="BI646" s="75"/>
      <c r="BJ646" s="75"/>
      <c r="BK646" s="75"/>
      <c r="BL646" s="75"/>
      <c r="BM646" s="75"/>
      <c r="BN646" s="75"/>
      <c r="BO646" s="75"/>
      <c r="BP646" s="75"/>
      <c r="BQ646" s="75"/>
      <c r="BR646" s="75"/>
      <c r="BS646" s="75"/>
      <c r="BT646" s="75"/>
      <c r="BU646" s="75"/>
      <c r="BV646" s="75"/>
      <c r="BW646" s="75"/>
      <c r="BX646" s="75"/>
      <c r="BY646" s="75"/>
      <c r="BZ646" s="75"/>
      <c r="CA646" s="75"/>
      <c r="CB646" s="75"/>
      <c r="CC646" s="75"/>
      <c r="CD646" s="75"/>
      <c r="CE646" s="75"/>
      <c r="CF646" s="75"/>
      <c r="CG646" s="75"/>
      <c r="CH646" s="75"/>
      <c r="CI646" s="75"/>
      <c r="CJ646" s="75"/>
      <c r="CK646" s="75"/>
      <c r="CL646" s="75"/>
      <c r="CM646" s="75"/>
      <c r="CN646" s="75"/>
      <c r="CO646" s="75"/>
      <c r="CP646" s="75"/>
      <c r="CQ646" s="75"/>
      <c r="CR646" s="75"/>
      <c r="CS646" s="75"/>
      <c r="CT646" s="75"/>
      <c r="CU646" s="75"/>
      <c r="CV646" s="75"/>
      <c r="CW646" s="75"/>
      <c r="CX646" s="75"/>
      <c r="CY646" s="75"/>
      <c r="CZ646" s="75"/>
      <c r="DA646" s="75"/>
      <c r="DB646" s="75"/>
      <c r="DC646" s="75"/>
      <c r="DD646" s="75"/>
      <c r="DE646" s="75"/>
      <c r="DF646" s="75"/>
      <c r="DG646" s="75"/>
      <c r="DH646" s="75"/>
      <c r="DI646" s="75"/>
      <c r="DJ646" s="75"/>
      <c r="DK646" s="75"/>
      <c r="DL646" s="75"/>
      <c r="DM646" s="75"/>
      <c r="DN646" s="75"/>
      <c r="DO646" s="75"/>
      <c r="DP646" s="75"/>
      <c r="DQ646" s="75"/>
      <c r="DR646" s="75"/>
      <c r="DS646" s="75"/>
      <c r="DT646" s="75"/>
      <c r="DU646" s="75"/>
      <c r="DV646" s="75"/>
      <c r="DW646" s="75"/>
      <c r="DX646" s="75"/>
      <c r="DY646" s="75"/>
      <c r="DZ646" s="75"/>
      <c r="EA646" s="75"/>
      <c r="EB646" s="75"/>
      <c r="EC646" s="75"/>
      <c r="ED646" s="75"/>
      <c r="EE646" s="75"/>
      <c r="EF646" s="75"/>
      <c r="EG646" s="75"/>
      <c r="EH646" s="75"/>
      <c r="EI646" s="75"/>
      <c r="EJ646" s="75"/>
      <c r="EK646" s="75"/>
      <c r="EL646" s="75"/>
      <c r="EM646" s="75"/>
      <c r="EN646" s="75"/>
      <c r="EO646" s="75"/>
      <c r="EP646" s="75"/>
      <c r="EQ646" s="75"/>
      <c r="ER646" s="75"/>
      <c r="ES646" s="75"/>
      <c r="ET646" s="75"/>
      <c r="EU646" s="75"/>
      <c r="EV646" s="75"/>
      <c r="EW646" s="75"/>
      <c r="EX646" s="75"/>
      <c r="EY646" s="75"/>
      <c r="EZ646" s="75"/>
      <c r="FA646" s="75"/>
      <c r="FB646" s="75"/>
      <c r="FC646" s="75"/>
      <c r="FD646" s="75"/>
      <c r="FE646" s="75"/>
      <c r="FF646" s="75"/>
      <c r="FG646" s="75"/>
      <c r="FH646" s="75"/>
      <c r="FI646" s="75"/>
      <c r="FJ646" s="75"/>
      <c r="FK646" s="75"/>
      <c r="FL646" s="75"/>
      <c r="FM646" s="75"/>
      <c r="FN646" s="75"/>
      <c r="FO646" s="75"/>
      <c r="FP646" s="75"/>
      <c r="FQ646" s="75"/>
      <c r="FR646" s="75"/>
      <c r="FS646" s="75"/>
      <c r="FT646" s="75"/>
      <c r="FU646" s="75"/>
      <c r="FV646" s="75"/>
      <c r="FW646" s="75"/>
      <c r="FX646" s="75"/>
      <c r="FY646" s="75"/>
      <c r="FZ646" s="75"/>
      <c r="GA646" s="75"/>
      <c r="GB646" s="75"/>
      <c r="GC646" s="75"/>
      <c r="GD646" s="75"/>
      <c r="GE646" s="75"/>
      <c r="GF646" s="75"/>
      <c r="GG646" s="75"/>
      <c r="GH646" s="75"/>
      <c r="GI646" s="75"/>
      <c r="GJ646" s="75"/>
      <c r="GK646" s="75"/>
      <c r="GL646" s="75"/>
      <c r="GM646" s="75"/>
      <c r="GN646" s="75"/>
      <c r="GO646" s="75"/>
      <c r="GP646" s="75"/>
      <c r="GQ646" s="75"/>
      <c r="GR646" s="75"/>
      <c r="GS646" s="75"/>
      <c r="GT646" s="75"/>
      <c r="GU646" s="75"/>
      <c r="GV646" s="75"/>
      <c r="GW646" s="75"/>
      <c r="GX646" s="75"/>
      <c r="GY646" s="75"/>
      <c r="GZ646" s="75"/>
      <c r="HA646" s="75"/>
      <c r="HB646" s="75"/>
      <c r="HC646" s="75"/>
      <c r="HD646" s="75"/>
      <c r="HE646" s="75"/>
      <c r="HF646" s="75"/>
      <c r="HG646" s="75"/>
      <c r="HH646" s="75"/>
      <c r="HI646" s="75"/>
    </row>
    <row r="647" spans="1:217" s="156" customFormat="1" ht="35.25" customHeight="1" hidden="1">
      <c r="A647" s="72" t="s">
        <v>147</v>
      </c>
      <c r="B647" s="131"/>
      <c r="C647" s="131"/>
      <c r="D647" s="132">
        <v>30</v>
      </c>
      <c r="E647" s="133"/>
      <c r="F647" s="132">
        <v>30</v>
      </c>
      <c r="G647" s="132">
        <v>30</v>
      </c>
      <c r="H647" s="133"/>
      <c r="I647" s="133"/>
      <c r="J647" s="132">
        <v>30</v>
      </c>
      <c r="K647" s="133"/>
      <c r="L647" s="133"/>
      <c r="M647" s="133"/>
      <c r="N647" s="132">
        <v>30</v>
      </c>
      <c r="O647" s="133"/>
      <c r="P647" s="132">
        <v>30</v>
      </c>
      <c r="Q647" s="75"/>
      <c r="R647" s="75"/>
      <c r="S647" s="75"/>
      <c r="T647" s="75"/>
      <c r="U647" s="75"/>
      <c r="V647" s="75"/>
      <c r="W647" s="75"/>
      <c r="X647" s="75"/>
      <c r="Y647" s="75"/>
      <c r="Z647" s="75"/>
      <c r="AA647" s="75"/>
      <c r="AB647" s="75"/>
      <c r="AC647" s="75"/>
      <c r="AD647" s="75"/>
      <c r="AE647" s="75"/>
      <c r="AF647" s="75"/>
      <c r="AG647" s="75"/>
      <c r="AH647" s="75"/>
      <c r="AI647" s="75"/>
      <c r="AJ647" s="75"/>
      <c r="AK647" s="75"/>
      <c r="AL647" s="75"/>
      <c r="AM647" s="75"/>
      <c r="AN647" s="75"/>
      <c r="AO647" s="75"/>
      <c r="AP647" s="75"/>
      <c r="AQ647" s="75"/>
      <c r="AR647" s="75"/>
      <c r="AS647" s="75"/>
      <c r="AT647" s="75"/>
      <c r="AU647" s="75"/>
      <c r="AV647" s="75"/>
      <c r="AW647" s="75"/>
      <c r="AX647" s="75"/>
      <c r="AY647" s="75"/>
      <c r="AZ647" s="75"/>
      <c r="BA647" s="75"/>
      <c r="BB647" s="75"/>
      <c r="BC647" s="75"/>
      <c r="BD647" s="75"/>
      <c r="BE647" s="75"/>
      <c r="BF647" s="75"/>
      <c r="BG647" s="75"/>
      <c r="BH647" s="75"/>
      <c r="BI647" s="75"/>
      <c r="BJ647" s="75"/>
      <c r="BK647" s="75"/>
      <c r="BL647" s="75"/>
      <c r="BM647" s="75"/>
      <c r="BN647" s="75"/>
      <c r="BO647" s="75"/>
      <c r="BP647" s="75"/>
      <c r="BQ647" s="75"/>
      <c r="BR647" s="75"/>
      <c r="BS647" s="75"/>
      <c r="BT647" s="75"/>
      <c r="BU647" s="75"/>
      <c r="BV647" s="75"/>
      <c r="BW647" s="75"/>
      <c r="BX647" s="75"/>
      <c r="BY647" s="75"/>
      <c r="BZ647" s="75"/>
      <c r="CA647" s="75"/>
      <c r="CB647" s="75"/>
      <c r="CC647" s="75"/>
      <c r="CD647" s="75"/>
      <c r="CE647" s="75"/>
      <c r="CF647" s="75"/>
      <c r="CG647" s="75"/>
      <c r="CH647" s="75"/>
      <c r="CI647" s="75"/>
      <c r="CJ647" s="75"/>
      <c r="CK647" s="75"/>
      <c r="CL647" s="75"/>
      <c r="CM647" s="75"/>
      <c r="CN647" s="75"/>
      <c r="CO647" s="75"/>
      <c r="CP647" s="75"/>
      <c r="CQ647" s="75"/>
      <c r="CR647" s="75"/>
      <c r="CS647" s="75"/>
      <c r="CT647" s="75"/>
      <c r="CU647" s="75"/>
      <c r="CV647" s="75"/>
      <c r="CW647" s="75"/>
      <c r="CX647" s="75"/>
      <c r="CY647" s="75"/>
      <c r="CZ647" s="75"/>
      <c r="DA647" s="75"/>
      <c r="DB647" s="75"/>
      <c r="DC647" s="75"/>
      <c r="DD647" s="75"/>
      <c r="DE647" s="75"/>
      <c r="DF647" s="75"/>
      <c r="DG647" s="75"/>
      <c r="DH647" s="75"/>
      <c r="DI647" s="75"/>
      <c r="DJ647" s="75"/>
      <c r="DK647" s="75"/>
      <c r="DL647" s="75"/>
      <c r="DM647" s="75"/>
      <c r="DN647" s="75"/>
      <c r="DO647" s="75"/>
      <c r="DP647" s="75"/>
      <c r="DQ647" s="75"/>
      <c r="DR647" s="75"/>
      <c r="DS647" s="75"/>
      <c r="DT647" s="75"/>
      <c r="DU647" s="75"/>
      <c r="DV647" s="75"/>
      <c r="DW647" s="75"/>
      <c r="DX647" s="75"/>
      <c r="DY647" s="75"/>
      <c r="DZ647" s="75"/>
      <c r="EA647" s="75"/>
      <c r="EB647" s="75"/>
      <c r="EC647" s="75"/>
      <c r="ED647" s="75"/>
      <c r="EE647" s="75"/>
      <c r="EF647" s="75"/>
      <c r="EG647" s="75"/>
      <c r="EH647" s="75"/>
      <c r="EI647" s="75"/>
      <c r="EJ647" s="75"/>
      <c r="EK647" s="75"/>
      <c r="EL647" s="75"/>
      <c r="EM647" s="75"/>
      <c r="EN647" s="75"/>
      <c r="EO647" s="75"/>
      <c r="EP647" s="75"/>
      <c r="EQ647" s="75"/>
      <c r="ER647" s="75"/>
      <c r="ES647" s="75"/>
      <c r="ET647" s="75"/>
      <c r="EU647" s="75"/>
      <c r="EV647" s="75"/>
      <c r="EW647" s="75"/>
      <c r="EX647" s="75"/>
      <c r="EY647" s="75"/>
      <c r="EZ647" s="75"/>
      <c r="FA647" s="75"/>
      <c r="FB647" s="75"/>
      <c r="FC647" s="75"/>
      <c r="FD647" s="75"/>
      <c r="FE647" s="75"/>
      <c r="FF647" s="75"/>
      <c r="FG647" s="75"/>
      <c r="FH647" s="75"/>
      <c r="FI647" s="75"/>
      <c r="FJ647" s="75"/>
      <c r="FK647" s="75"/>
      <c r="FL647" s="75"/>
      <c r="FM647" s="75"/>
      <c r="FN647" s="75"/>
      <c r="FO647" s="75"/>
      <c r="FP647" s="75"/>
      <c r="FQ647" s="75"/>
      <c r="FR647" s="75"/>
      <c r="FS647" s="75"/>
      <c r="FT647" s="75"/>
      <c r="FU647" s="75"/>
      <c r="FV647" s="75"/>
      <c r="FW647" s="75"/>
      <c r="FX647" s="75"/>
      <c r="FY647" s="75"/>
      <c r="FZ647" s="75"/>
      <c r="GA647" s="75"/>
      <c r="GB647" s="75"/>
      <c r="GC647" s="75"/>
      <c r="GD647" s="75"/>
      <c r="GE647" s="75"/>
      <c r="GF647" s="75"/>
      <c r="GG647" s="75"/>
      <c r="GH647" s="75"/>
      <c r="GI647" s="75"/>
      <c r="GJ647" s="75"/>
      <c r="GK647" s="75"/>
      <c r="GL647" s="75"/>
      <c r="GM647" s="75"/>
      <c r="GN647" s="75"/>
      <c r="GO647" s="75"/>
      <c r="GP647" s="75"/>
      <c r="GQ647" s="75"/>
      <c r="GR647" s="75"/>
      <c r="GS647" s="75"/>
      <c r="GT647" s="75"/>
      <c r="GU647" s="75"/>
      <c r="GV647" s="75"/>
      <c r="GW647" s="75"/>
      <c r="GX647" s="75"/>
      <c r="GY647" s="75"/>
      <c r="GZ647" s="75"/>
      <c r="HA647" s="75"/>
      <c r="HB647" s="75"/>
      <c r="HC647" s="75"/>
      <c r="HD647" s="75"/>
      <c r="HE647" s="75"/>
      <c r="HF647" s="75"/>
      <c r="HG647" s="75"/>
      <c r="HH647" s="75"/>
      <c r="HI647" s="75"/>
    </row>
    <row r="648" spans="1:217" s="156" customFormat="1" ht="39.75" customHeight="1" hidden="1">
      <c r="A648" s="72" t="s">
        <v>215</v>
      </c>
      <c r="B648" s="131"/>
      <c r="C648" s="131"/>
      <c r="D648" s="132">
        <v>30</v>
      </c>
      <c r="E648" s="133"/>
      <c r="F648" s="132">
        <v>30</v>
      </c>
      <c r="G648" s="132">
        <v>30</v>
      </c>
      <c r="H648" s="133"/>
      <c r="I648" s="133"/>
      <c r="J648" s="132">
        <v>30</v>
      </c>
      <c r="K648" s="133"/>
      <c r="L648" s="133"/>
      <c r="M648" s="133"/>
      <c r="N648" s="132">
        <v>30</v>
      </c>
      <c r="O648" s="133"/>
      <c r="P648" s="132">
        <v>30</v>
      </c>
      <c r="Q648" s="75"/>
      <c r="R648" s="75"/>
      <c r="S648" s="75"/>
      <c r="T648" s="75"/>
      <c r="U648" s="75"/>
      <c r="V648" s="75"/>
      <c r="W648" s="75"/>
      <c r="X648" s="75"/>
      <c r="Y648" s="75"/>
      <c r="Z648" s="75"/>
      <c r="AA648" s="75"/>
      <c r="AB648" s="75"/>
      <c r="AC648" s="75"/>
      <c r="AD648" s="75"/>
      <c r="AE648" s="75"/>
      <c r="AF648" s="75"/>
      <c r="AG648" s="75"/>
      <c r="AH648" s="75"/>
      <c r="AI648" s="75"/>
      <c r="AJ648" s="75"/>
      <c r="AK648" s="75"/>
      <c r="AL648" s="75"/>
      <c r="AM648" s="75"/>
      <c r="AN648" s="75"/>
      <c r="AO648" s="75"/>
      <c r="AP648" s="75"/>
      <c r="AQ648" s="75"/>
      <c r="AR648" s="75"/>
      <c r="AS648" s="75"/>
      <c r="AT648" s="75"/>
      <c r="AU648" s="75"/>
      <c r="AV648" s="75"/>
      <c r="AW648" s="75"/>
      <c r="AX648" s="75"/>
      <c r="AY648" s="75"/>
      <c r="AZ648" s="75"/>
      <c r="BA648" s="75"/>
      <c r="BB648" s="75"/>
      <c r="BC648" s="75"/>
      <c r="BD648" s="75"/>
      <c r="BE648" s="75"/>
      <c r="BF648" s="75"/>
      <c r="BG648" s="75"/>
      <c r="BH648" s="75"/>
      <c r="BI648" s="75"/>
      <c r="BJ648" s="75"/>
      <c r="BK648" s="75"/>
      <c r="BL648" s="75"/>
      <c r="BM648" s="75"/>
      <c r="BN648" s="75"/>
      <c r="BO648" s="75"/>
      <c r="BP648" s="75"/>
      <c r="BQ648" s="75"/>
      <c r="BR648" s="75"/>
      <c r="BS648" s="75"/>
      <c r="BT648" s="75"/>
      <c r="BU648" s="75"/>
      <c r="BV648" s="75"/>
      <c r="BW648" s="75"/>
      <c r="BX648" s="75"/>
      <c r="BY648" s="75"/>
      <c r="BZ648" s="75"/>
      <c r="CA648" s="75"/>
      <c r="CB648" s="75"/>
      <c r="CC648" s="75"/>
      <c r="CD648" s="75"/>
      <c r="CE648" s="75"/>
      <c r="CF648" s="75"/>
      <c r="CG648" s="75"/>
      <c r="CH648" s="75"/>
      <c r="CI648" s="75"/>
      <c r="CJ648" s="75"/>
      <c r="CK648" s="75"/>
      <c r="CL648" s="75"/>
      <c r="CM648" s="75"/>
      <c r="CN648" s="75"/>
      <c r="CO648" s="75"/>
      <c r="CP648" s="75"/>
      <c r="CQ648" s="75"/>
      <c r="CR648" s="75"/>
      <c r="CS648" s="75"/>
      <c r="CT648" s="75"/>
      <c r="CU648" s="75"/>
      <c r="CV648" s="75"/>
      <c r="CW648" s="75"/>
      <c r="CX648" s="75"/>
      <c r="CY648" s="75"/>
      <c r="CZ648" s="75"/>
      <c r="DA648" s="75"/>
      <c r="DB648" s="75"/>
      <c r="DC648" s="75"/>
      <c r="DD648" s="75"/>
      <c r="DE648" s="75"/>
      <c r="DF648" s="75"/>
      <c r="DG648" s="75"/>
      <c r="DH648" s="75"/>
      <c r="DI648" s="75"/>
      <c r="DJ648" s="75"/>
      <c r="DK648" s="75"/>
      <c r="DL648" s="75"/>
      <c r="DM648" s="75"/>
      <c r="DN648" s="75"/>
      <c r="DO648" s="75"/>
      <c r="DP648" s="75"/>
      <c r="DQ648" s="75"/>
      <c r="DR648" s="75"/>
      <c r="DS648" s="75"/>
      <c r="DT648" s="75"/>
      <c r="DU648" s="75"/>
      <c r="DV648" s="75"/>
      <c r="DW648" s="75"/>
      <c r="DX648" s="75"/>
      <c r="DY648" s="75"/>
      <c r="DZ648" s="75"/>
      <c r="EA648" s="75"/>
      <c r="EB648" s="75"/>
      <c r="EC648" s="75"/>
      <c r="ED648" s="75"/>
      <c r="EE648" s="75"/>
      <c r="EF648" s="75"/>
      <c r="EG648" s="75"/>
      <c r="EH648" s="75"/>
      <c r="EI648" s="75"/>
      <c r="EJ648" s="75"/>
      <c r="EK648" s="75"/>
      <c r="EL648" s="75"/>
      <c r="EM648" s="75"/>
      <c r="EN648" s="75"/>
      <c r="EO648" s="75"/>
      <c r="EP648" s="75"/>
      <c r="EQ648" s="75"/>
      <c r="ER648" s="75"/>
      <c r="ES648" s="75"/>
      <c r="ET648" s="75"/>
      <c r="EU648" s="75"/>
      <c r="EV648" s="75"/>
      <c r="EW648" s="75"/>
      <c r="EX648" s="75"/>
      <c r="EY648" s="75"/>
      <c r="EZ648" s="75"/>
      <c r="FA648" s="75"/>
      <c r="FB648" s="75"/>
      <c r="FC648" s="75"/>
      <c r="FD648" s="75"/>
      <c r="FE648" s="75"/>
      <c r="FF648" s="75"/>
      <c r="FG648" s="75"/>
      <c r="FH648" s="75"/>
      <c r="FI648" s="75"/>
      <c r="FJ648" s="75"/>
      <c r="FK648" s="75"/>
      <c r="FL648" s="75"/>
      <c r="FM648" s="75"/>
      <c r="FN648" s="75"/>
      <c r="FO648" s="75"/>
      <c r="FP648" s="75"/>
      <c r="FQ648" s="75"/>
      <c r="FR648" s="75"/>
      <c r="FS648" s="75"/>
      <c r="FT648" s="75"/>
      <c r="FU648" s="75"/>
      <c r="FV648" s="75"/>
      <c r="FW648" s="75"/>
      <c r="FX648" s="75"/>
      <c r="FY648" s="75"/>
      <c r="FZ648" s="75"/>
      <c r="GA648" s="75"/>
      <c r="GB648" s="75"/>
      <c r="GC648" s="75"/>
      <c r="GD648" s="75"/>
      <c r="GE648" s="75"/>
      <c r="GF648" s="75"/>
      <c r="GG648" s="75"/>
      <c r="GH648" s="75"/>
      <c r="GI648" s="75"/>
      <c r="GJ648" s="75"/>
      <c r="GK648" s="75"/>
      <c r="GL648" s="75"/>
      <c r="GM648" s="75"/>
      <c r="GN648" s="75"/>
      <c r="GO648" s="75"/>
      <c r="GP648" s="75"/>
      <c r="GQ648" s="75"/>
      <c r="GR648" s="75"/>
      <c r="GS648" s="75"/>
      <c r="GT648" s="75"/>
      <c r="GU648" s="75"/>
      <c r="GV648" s="75"/>
      <c r="GW648" s="75"/>
      <c r="GX648" s="75"/>
      <c r="GY648" s="75"/>
      <c r="GZ648" s="75"/>
      <c r="HA648" s="75"/>
      <c r="HB648" s="75"/>
      <c r="HC648" s="75"/>
      <c r="HD648" s="75"/>
      <c r="HE648" s="75"/>
      <c r="HF648" s="75"/>
      <c r="HG648" s="75"/>
      <c r="HH648" s="75"/>
      <c r="HI648" s="75"/>
    </row>
    <row r="649" spans="1:217" s="156" customFormat="1" ht="36" customHeight="1" hidden="1">
      <c r="A649" s="72" t="s">
        <v>216</v>
      </c>
      <c r="B649" s="131"/>
      <c r="C649" s="131"/>
      <c r="D649" s="132">
        <v>90</v>
      </c>
      <c r="E649" s="132"/>
      <c r="F649" s="132">
        <v>90</v>
      </c>
      <c r="G649" s="132">
        <v>90</v>
      </c>
      <c r="H649" s="132"/>
      <c r="I649" s="132"/>
      <c r="J649" s="132">
        <v>90</v>
      </c>
      <c r="K649" s="132"/>
      <c r="L649" s="132"/>
      <c r="M649" s="132"/>
      <c r="N649" s="132">
        <v>90</v>
      </c>
      <c r="O649" s="132"/>
      <c r="P649" s="132">
        <v>90</v>
      </c>
      <c r="Q649" s="75"/>
      <c r="R649" s="75"/>
      <c r="S649" s="75"/>
      <c r="T649" s="75"/>
      <c r="U649" s="75"/>
      <c r="V649" s="75"/>
      <c r="W649" s="75"/>
      <c r="X649" s="75"/>
      <c r="Y649" s="75"/>
      <c r="Z649" s="75"/>
      <c r="AA649" s="75"/>
      <c r="AB649" s="75"/>
      <c r="AC649" s="75"/>
      <c r="AD649" s="75"/>
      <c r="AE649" s="75"/>
      <c r="AF649" s="75"/>
      <c r="AG649" s="75"/>
      <c r="AH649" s="75"/>
      <c r="AI649" s="75"/>
      <c r="AJ649" s="75"/>
      <c r="AK649" s="75"/>
      <c r="AL649" s="75"/>
      <c r="AM649" s="75"/>
      <c r="AN649" s="75"/>
      <c r="AO649" s="75"/>
      <c r="AP649" s="75"/>
      <c r="AQ649" s="75"/>
      <c r="AR649" s="75"/>
      <c r="AS649" s="75"/>
      <c r="AT649" s="75"/>
      <c r="AU649" s="75"/>
      <c r="AV649" s="75"/>
      <c r="AW649" s="75"/>
      <c r="AX649" s="75"/>
      <c r="AY649" s="75"/>
      <c r="AZ649" s="75"/>
      <c r="BA649" s="75"/>
      <c r="BB649" s="75"/>
      <c r="BC649" s="75"/>
      <c r="BD649" s="75"/>
      <c r="BE649" s="75"/>
      <c r="BF649" s="75"/>
      <c r="BG649" s="75"/>
      <c r="BH649" s="75"/>
      <c r="BI649" s="75"/>
      <c r="BJ649" s="75"/>
      <c r="BK649" s="75"/>
      <c r="BL649" s="75"/>
      <c r="BM649" s="75"/>
      <c r="BN649" s="75"/>
      <c r="BO649" s="75"/>
      <c r="BP649" s="75"/>
      <c r="BQ649" s="75"/>
      <c r="BR649" s="75"/>
      <c r="BS649" s="75"/>
      <c r="BT649" s="75"/>
      <c r="BU649" s="75"/>
      <c r="BV649" s="75"/>
      <c r="BW649" s="75"/>
      <c r="BX649" s="75"/>
      <c r="BY649" s="75"/>
      <c r="BZ649" s="75"/>
      <c r="CA649" s="75"/>
      <c r="CB649" s="75"/>
      <c r="CC649" s="75"/>
      <c r="CD649" s="75"/>
      <c r="CE649" s="75"/>
      <c r="CF649" s="75"/>
      <c r="CG649" s="75"/>
      <c r="CH649" s="75"/>
      <c r="CI649" s="75"/>
      <c r="CJ649" s="75"/>
      <c r="CK649" s="75"/>
      <c r="CL649" s="75"/>
      <c r="CM649" s="75"/>
      <c r="CN649" s="75"/>
      <c r="CO649" s="75"/>
      <c r="CP649" s="75"/>
      <c r="CQ649" s="75"/>
      <c r="CR649" s="75"/>
      <c r="CS649" s="75"/>
      <c r="CT649" s="75"/>
      <c r="CU649" s="75"/>
      <c r="CV649" s="75"/>
      <c r="CW649" s="75"/>
      <c r="CX649" s="75"/>
      <c r="CY649" s="75"/>
      <c r="CZ649" s="75"/>
      <c r="DA649" s="75"/>
      <c r="DB649" s="75"/>
      <c r="DC649" s="75"/>
      <c r="DD649" s="75"/>
      <c r="DE649" s="75"/>
      <c r="DF649" s="75"/>
      <c r="DG649" s="75"/>
      <c r="DH649" s="75"/>
      <c r="DI649" s="75"/>
      <c r="DJ649" s="75"/>
      <c r="DK649" s="75"/>
      <c r="DL649" s="75"/>
      <c r="DM649" s="75"/>
      <c r="DN649" s="75"/>
      <c r="DO649" s="75"/>
      <c r="DP649" s="75"/>
      <c r="DQ649" s="75"/>
      <c r="DR649" s="75"/>
      <c r="DS649" s="75"/>
      <c r="DT649" s="75"/>
      <c r="DU649" s="75"/>
      <c r="DV649" s="75"/>
      <c r="DW649" s="75"/>
      <c r="DX649" s="75"/>
      <c r="DY649" s="75"/>
      <c r="DZ649" s="75"/>
      <c r="EA649" s="75"/>
      <c r="EB649" s="75"/>
      <c r="EC649" s="75"/>
      <c r="ED649" s="75"/>
      <c r="EE649" s="75"/>
      <c r="EF649" s="75"/>
      <c r="EG649" s="75"/>
      <c r="EH649" s="75"/>
      <c r="EI649" s="75"/>
      <c r="EJ649" s="75"/>
      <c r="EK649" s="75"/>
      <c r="EL649" s="75"/>
      <c r="EM649" s="75"/>
      <c r="EN649" s="75"/>
      <c r="EO649" s="75"/>
      <c r="EP649" s="75"/>
      <c r="EQ649" s="75"/>
      <c r="ER649" s="75"/>
      <c r="ES649" s="75"/>
      <c r="ET649" s="75"/>
      <c r="EU649" s="75"/>
      <c r="EV649" s="75"/>
      <c r="EW649" s="75"/>
      <c r="EX649" s="75"/>
      <c r="EY649" s="75"/>
      <c r="EZ649" s="75"/>
      <c r="FA649" s="75"/>
      <c r="FB649" s="75"/>
      <c r="FC649" s="75"/>
      <c r="FD649" s="75"/>
      <c r="FE649" s="75"/>
      <c r="FF649" s="75"/>
      <c r="FG649" s="75"/>
      <c r="FH649" s="75"/>
      <c r="FI649" s="75"/>
      <c r="FJ649" s="75"/>
      <c r="FK649" s="75"/>
      <c r="FL649" s="75"/>
      <c r="FM649" s="75"/>
      <c r="FN649" s="75"/>
      <c r="FO649" s="75"/>
      <c r="FP649" s="75"/>
      <c r="FQ649" s="75"/>
      <c r="FR649" s="75"/>
      <c r="FS649" s="75"/>
      <c r="FT649" s="75"/>
      <c r="FU649" s="75"/>
      <c r="FV649" s="75"/>
      <c r="FW649" s="75"/>
      <c r="FX649" s="75"/>
      <c r="FY649" s="75"/>
      <c r="FZ649" s="75"/>
      <c r="GA649" s="75"/>
      <c r="GB649" s="75"/>
      <c r="GC649" s="75"/>
      <c r="GD649" s="75"/>
      <c r="GE649" s="75"/>
      <c r="GF649" s="75"/>
      <c r="GG649" s="75"/>
      <c r="GH649" s="75"/>
      <c r="GI649" s="75"/>
      <c r="GJ649" s="75"/>
      <c r="GK649" s="75"/>
      <c r="GL649" s="75"/>
      <c r="GM649" s="75"/>
      <c r="GN649" s="75"/>
      <c r="GO649" s="75"/>
      <c r="GP649" s="75"/>
      <c r="GQ649" s="75"/>
      <c r="GR649" s="75"/>
      <c r="GS649" s="75"/>
      <c r="GT649" s="75"/>
      <c r="GU649" s="75"/>
      <c r="GV649" s="75"/>
      <c r="GW649" s="75"/>
      <c r="GX649" s="75"/>
      <c r="GY649" s="75"/>
      <c r="GZ649" s="75"/>
      <c r="HA649" s="75"/>
      <c r="HB649" s="75"/>
      <c r="HC649" s="75"/>
      <c r="HD649" s="75"/>
      <c r="HE649" s="75"/>
      <c r="HF649" s="75"/>
      <c r="HG649" s="75"/>
      <c r="HH649" s="75"/>
      <c r="HI649" s="75"/>
    </row>
    <row r="650" spans="1:217" s="156" customFormat="1" ht="31.5" customHeight="1" hidden="1">
      <c r="A650" s="72" t="s">
        <v>217</v>
      </c>
      <c r="B650" s="131"/>
      <c r="C650" s="131"/>
      <c r="D650" s="132">
        <v>12</v>
      </c>
      <c r="E650" s="132"/>
      <c r="F650" s="132">
        <f>D650</f>
        <v>12</v>
      </c>
      <c r="G650" s="132">
        <v>12</v>
      </c>
      <c r="H650" s="133"/>
      <c r="I650" s="133"/>
      <c r="J650" s="132">
        <v>12</v>
      </c>
      <c r="K650" s="133"/>
      <c r="L650" s="133"/>
      <c r="M650" s="133"/>
      <c r="N650" s="132">
        <v>12</v>
      </c>
      <c r="O650" s="133"/>
      <c r="P650" s="132">
        <v>12</v>
      </c>
      <c r="Q650" s="75"/>
      <c r="R650" s="75"/>
      <c r="S650" s="75"/>
      <c r="T650" s="75"/>
      <c r="U650" s="75"/>
      <c r="V650" s="75"/>
      <c r="W650" s="75"/>
      <c r="X650" s="75"/>
      <c r="Y650" s="75"/>
      <c r="Z650" s="75"/>
      <c r="AA650" s="75"/>
      <c r="AB650" s="75"/>
      <c r="AC650" s="75"/>
      <c r="AD650" s="75"/>
      <c r="AE650" s="75"/>
      <c r="AF650" s="75"/>
      <c r="AG650" s="75"/>
      <c r="AH650" s="75"/>
      <c r="AI650" s="75"/>
      <c r="AJ650" s="75"/>
      <c r="AK650" s="75"/>
      <c r="AL650" s="75"/>
      <c r="AM650" s="75"/>
      <c r="AN650" s="75"/>
      <c r="AO650" s="75"/>
      <c r="AP650" s="75"/>
      <c r="AQ650" s="75"/>
      <c r="AR650" s="75"/>
      <c r="AS650" s="75"/>
      <c r="AT650" s="75"/>
      <c r="AU650" s="75"/>
      <c r="AV650" s="75"/>
      <c r="AW650" s="75"/>
      <c r="AX650" s="75"/>
      <c r="AY650" s="75"/>
      <c r="AZ650" s="75"/>
      <c r="BA650" s="75"/>
      <c r="BB650" s="75"/>
      <c r="BC650" s="75"/>
      <c r="BD650" s="75"/>
      <c r="BE650" s="75"/>
      <c r="BF650" s="75"/>
      <c r="BG650" s="75"/>
      <c r="BH650" s="75"/>
      <c r="BI650" s="75"/>
      <c r="BJ650" s="75"/>
      <c r="BK650" s="75"/>
      <c r="BL650" s="75"/>
      <c r="BM650" s="75"/>
      <c r="BN650" s="75"/>
      <c r="BO650" s="75"/>
      <c r="BP650" s="75"/>
      <c r="BQ650" s="75"/>
      <c r="BR650" s="75"/>
      <c r="BS650" s="75"/>
      <c r="BT650" s="75"/>
      <c r="BU650" s="75"/>
      <c r="BV650" s="75"/>
      <c r="BW650" s="75"/>
      <c r="BX650" s="75"/>
      <c r="BY650" s="75"/>
      <c r="BZ650" s="75"/>
      <c r="CA650" s="75"/>
      <c r="CB650" s="75"/>
      <c r="CC650" s="75"/>
      <c r="CD650" s="75"/>
      <c r="CE650" s="75"/>
      <c r="CF650" s="75"/>
      <c r="CG650" s="75"/>
      <c r="CH650" s="75"/>
      <c r="CI650" s="75"/>
      <c r="CJ650" s="75"/>
      <c r="CK650" s="75"/>
      <c r="CL650" s="75"/>
      <c r="CM650" s="75"/>
      <c r="CN650" s="75"/>
      <c r="CO650" s="75"/>
      <c r="CP650" s="75"/>
      <c r="CQ650" s="75"/>
      <c r="CR650" s="75"/>
      <c r="CS650" s="75"/>
      <c r="CT650" s="75"/>
      <c r="CU650" s="75"/>
      <c r="CV650" s="75"/>
      <c r="CW650" s="75"/>
      <c r="CX650" s="75"/>
      <c r="CY650" s="75"/>
      <c r="CZ650" s="75"/>
      <c r="DA650" s="75"/>
      <c r="DB650" s="75"/>
      <c r="DC650" s="75"/>
      <c r="DD650" s="75"/>
      <c r="DE650" s="75"/>
      <c r="DF650" s="75"/>
      <c r="DG650" s="75"/>
      <c r="DH650" s="75"/>
      <c r="DI650" s="75"/>
      <c r="DJ650" s="75"/>
      <c r="DK650" s="75"/>
      <c r="DL650" s="75"/>
      <c r="DM650" s="75"/>
      <c r="DN650" s="75"/>
      <c r="DO650" s="75"/>
      <c r="DP650" s="75"/>
      <c r="DQ650" s="75"/>
      <c r="DR650" s="75"/>
      <c r="DS650" s="75"/>
      <c r="DT650" s="75"/>
      <c r="DU650" s="75"/>
      <c r="DV650" s="75"/>
      <c r="DW650" s="75"/>
      <c r="DX650" s="75"/>
      <c r="DY650" s="75"/>
      <c r="DZ650" s="75"/>
      <c r="EA650" s="75"/>
      <c r="EB650" s="75"/>
      <c r="EC650" s="75"/>
      <c r="ED650" s="75"/>
      <c r="EE650" s="75"/>
      <c r="EF650" s="75"/>
      <c r="EG650" s="75"/>
      <c r="EH650" s="75"/>
      <c r="EI650" s="75"/>
      <c r="EJ650" s="75"/>
      <c r="EK650" s="75"/>
      <c r="EL650" s="75"/>
      <c r="EM650" s="75"/>
      <c r="EN650" s="75"/>
      <c r="EO650" s="75"/>
      <c r="EP650" s="75"/>
      <c r="EQ650" s="75"/>
      <c r="ER650" s="75"/>
      <c r="ES650" s="75"/>
      <c r="ET650" s="75"/>
      <c r="EU650" s="75"/>
      <c r="EV650" s="75"/>
      <c r="EW650" s="75"/>
      <c r="EX650" s="75"/>
      <c r="EY650" s="75"/>
      <c r="EZ650" s="75"/>
      <c r="FA650" s="75"/>
      <c r="FB650" s="75"/>
      <c r="FC650" s="75"/>
      <c r="FD650" s="75"/>
      <c r="FE650" s="75"/>
      <c r="FF650" s="75"/>
      <c r="FG650" s="75"/>
      <c r="FH650" s="75"/>
      <c r="FI650" s="75"/>
      <c r="FJ650" s="75"/>
      <c r="FK650" s="75"/>
      <c r="FL650" s="75"/>
      <c r="FM650" s="75"/>
      <c r="FN650" s="75"/>
      <c r="FO650" s="75"/>
      <c r="FP650" s="75"/>
      <c r="FQ650" s="75"/>
      <c r="FR650" s="75"/>
      <c r="FS650" s="75"/>
      <c r="FT650" s="75"/>
      <c r="FU650" s="75"/>
      <c r="FV650" s="75"/>
      <c r="FW650" s="75"/>
      <c r="FX650" s="75"/>
      <c r="FY650" s="75"/>
      <c r="FZ650" s="75"/>
      <c r="GA650" s="75"/>
      <c r="GB650" s="75"/>
      <c r="GC650" s="75"/>
      <c r="GD650" s="75"/>
      <c r="GE650" s="75"/>
      <c r="GF650" s="75"/>
      <c r="GG650" s="75"/>
      <c r="GH650" s="75"/>
      <c r="GI650" s="75"/>
      <c r="GJ650" s="75"/>
      <c r="GK650" s="75"/>
      <c r="GL650" s="75"/>
      <c r="GM650" s="75"/>
      <c r="GN650" s="75"/>
      <c r="GO650" s="75"/>
      <c r="GP650" s="75"/>
      <c r="GQ650" s="75"/>
      <c r="GR650" s="75"/>
      <c r="GS650" s="75"/>
      <c r="GT650" s="75"/>
      <c r="GU650" s="75"/>
      <c r="GV650" s="75"/>
      <c r="GW650" s="75"/>
      <c r="GX650" s="75"/>
      <c r="GY650" s="75"/>
      <c r="GZ650" s="75"/>
      <c r="HA650" s="75"/>
      <c r="HB650" s="75"/>
      <c r="HC650" s="75"/>
      <c r="HD650" s="75"/>
      <c r="HE650" s="75"/>
      <c r="HF650" s="75"/>
      <c r="HG650" s="75"/>
      <c r="HH650" s="75"/>
      <c r="HI650" s="75"/>
    </row>
    <row r="651" spans="1:217" s="156" customFormat="1" ht="23.25" customHeight="1" hidden="1">
      <c r="A651" s="72" t="s">
        <v>218</v>
      </c>
      <c r="B651" s="131"/>
      <c r="C651" s="131"/>
      <c r="D651" s="132">
        <v>12</v>
      </c>
      <c r="E651" s="132"/>
      <c r="F651" s="132">
        <f>D651</f>
        <v>12</v>
      </c>
      <c r="G651" s="132">
        <v>12</v>
      </c>
      <c r="H651" s="132"/>
      <c r="I651" s="132"/>
      <c r="J651" s="132">
        <v>12</v>
      </c>
      <c r="K651" s="132"/>
      <c r="L651" s="132"/>
      <c r="M651" s="132"/>
      <c r="N651" s="132">
        <v>12</v>
      </c>
      <c r="O651" s="132"/>
      <c r="P651" s="132">
        <v>12</v>
      </c>
      <c r="Q651" s="75"/>
      <c r="R651" s="75"/>
      <c r="S651" s="75"/>
      <c r="T651" s="75"/>
      <c r="U651" s="75"/>
      <c r="V651" s="75"/>
      <c r="W651" s="75"/>
      <c r="X651" s="75"/>
      <c r="Y651" s="75"/>
      <c r="Z651" s="75"/>
      <c r="AA651" s="75"/>
      <c r="AB651" s="75"/>
      <c r="AC651" s="75"/>
      <c r="AD651" s="75"/>
      <c r="AE651" s="75"/>
      <c r="AF651" s="75"/>
      <c r="AG651" s="75"/>
      <c r="AH651" s="75"/>
      <c r="AI651" s="75"/>
      <c r="AJ651" s="75"/>
      <c r="AK651" s="75"/>
      <c r="AL651" s="75"/>
      <c r="AM651" s="75"/>
      <c r="AN651" s="75"/>
      <c r="AO651" s="75"/>
      <c r="AP651" s="75"/>
      <c r="AQ651" s="75"/>
      <c r="AR651" s="75"/>
      <c r="AS651" s="75"/>
      <c r="AT651" s="75"/>
      <c r="AU651" s="75"/>
      <c r="AV651" s="75"/>
      <c r="AW651" s="75"/>
      <c r="AX651" s="75"/>
      <c r="AY651" s="75"/>
      <c r="AZ651" s="75"/>
      <c r="BA651" s="75"/>
      <c r="BB651" s="75"/>
      <c r="BC651" s="75"/>
      <c r="BD651" s="75"/>
      <c r="BE651" s="75"/>
      <c r="BF651" s="75"/>
      <c r="BG651" s="75"/>
      <c r="BH651" s="75"/>
      <c r="BI651" s="75"/>
      <c r="BJ651" s="75"/>
      <c r="BK651" s="75"/>
      <c r="BL651" s="75"/>
      <c r="BM651" s="75"/>
      <c r="BN651" s="75"/>
      <c r="BO651" s="75"/>
      <c r="BP651" s="75"/>
      <c r="BQ651" s="75"/>
      <c r="BR651" s="75"/>
      <c r="BS651" s="75"/>
      <c r="BT651" s="75"/>
      <c r="BU651" s="75"/>
      <c r="BV651" s="75"/>
      <c r="BW651" s="75"/>
      <c r="BX651" s="75"/>
      <c r="BY651" s="75"/>
      <c r="BZ651" s="75"/>
      <c r="CA651" s="75"/>
      <c r="CB651" s="75"/>
      <c r="CC651" s="75"/>
      <c r="CD651" s="75"/>
      <c r="CE651" s="75"/>
      <c r="CF651" s="75"/>
      <c r="CG651" s="75"/>
      <c r="CH651" s="75"/>
      <c r="CI651" s="75"/>
      <c r="CJ651" s="75"/>
      <c r="CK651" s="75"/>
      <c r="CL651" s="75"/>
      <c r="CM651" s="75"/>
      <c r="CN651" s="75"/>
      <c r="CO651" s="75"/>
      <c r="CP651" s="75"/>
      <c r="CQ651" s="75"/>
      <c r="CR651" s="75"/>
      <c r="CS651" s="75"/>
      <c r="CT651" s="75"/>
      <c r="CU651" s="75"/>
      <c r="CV651" s="75"/>
      <c r="CW651" s="75"/>
      <c r="CX651" s="75"/>
      <c r="CY651" s="75"/>
      <c r="CZ651" s="75"/>
      <c r="DA651" s="75"/>
      <c r="DB651" s="75"/>
      <c r="DC651" s="75"/>
      <c r="DD651" s="75"/>
      <c r="DE651" s="75"/>
      <c r="DF651" s="75"/>
      <c r="DG651" s="75"/>
      <c r="DH651" s="75"/>
      <c r="DI651" s="75"/>
      <c r="DJ651" s="75"/>
      <c r="DK651" s="75"/>
      <c r="DL651" s="75"/>
      <c r="DM651" s="75"/>
      <c r="DN651" s="75"/>
      <c r="DO651" s="75"/>
      <c r="DP651" s="75"/>
      <c r="DQ651" s="75"/>
      <c r="DR651" s="75"/>
      <c r="DS651" s="75"/>
      <c r="DT651" s="75"/>
      <c r="DU651" s="75"/>
      <c r="DV651" s="75"/>
      <c r="DW651" s="75"/>
      <c r="DX651" s="75"/>
      <c r="DY651" s="75"/>
      <c r="DZ651" s="75"/>
      <c r="EA651" s="75"/>
      <c r="EB651" s="75"/>
      <c r="EC651" s="75"/>
      <c r="ED651" s="75"/>
      <c r="EE651" s="75"/>
      <c r="EF651" s="75"/>
      <c r="EG651" s="75"/>
      <c r="EH651" s="75"/>
      <c r="EI651" s="75"/>
      <c r="EJ651" s="75"/>
      <c r="EK651" s="75"/>
      <c r="EL651" s="75"/>
      <c r="EM651" s="75"/>
      <c r="EN651" s="75"/>
      <c r="EO651" s="75"/>
      <c r="EP651" s="75"/>
      <c r="EQ651" s="75"/>
      <c r="ER651" s="75"/>
      <c r="ES651" s="75"/>
      <c r="ET651" s="75"/>
      <c r="EU651" s="75"/>
      <c r="EV651" s="75"/>
      <c r="EW651" s="75"/>
      <c r="EX651" s="75"/>
      <c r="EY651" s="75"/>
      <c r="EZ651" s="75"/>
      <c r="FA651" s="75"/>
      <c r="FB651" s="75"/>
      <c r="FC651" s="75"/>
      <c r="FD651" s="75"/>
      <c r="FE651" s="75"/>
      <c r="FF651" s="75"/>
      <c r="FG651" s="75"/>
      <c r="FH651" s="75"/>
      <c r="FI651" s="75"/>
      <c r="FJ651" s="75"/>
      <c r="FK651" s="75"/>
      <c r="FL651" s="75"/>
      <c r="FM651" s="75"/>
      <c r="FN651" s="75"/>
      <c r="FO651" s="75"/>
      <c r="FP651" s="75"/>
      <c r="FQ651" s="75"/>
      <c r="FR651" s="75"/>
      <c r="FS651" s="75"/>
      <c r="FT651" s="75"/>
      <c r="FU651" s="75"/>
      <c r="FV651" s="75"/>
      <c r="FW651" s="75"/>
      <c r="FX651" s="75"/>
      <c r="FY651" s="75"/>
      <c r="FZ651" s="75"/>
      <c r="GA651" s="75"/>
      <c r="GB651" s="75"/>
      <c r="GC651" s="75"/>
      <c r="GD651" s="75"/>
      <c r="GE651" s="75"/>
      <c r="GF651" s="75"/>
      <c r="GG651" s="75"/>
      <c r="GH651" s="75"/>
      <c r="GI651" s="75"/>
      <c r="GJ651" s="75"/>
      <c r="GK651" s="75"/>
      <c r="GL651" s="75"/>
      <c r="GM651" s="75"/>
      <c r="GN651" s="75"/>
      <c r="GO651" s="75"/>
      <c r="GP651" s="75"/>
      <c r="GQ651" s="75"/>
      <c r="GR651" s="75"/>
      <c r="GS651" s="75"/>
      <c r="GT651" s="75"/>
      <c r="GU651" s="75"/>
      <c r="GV651" s="75"/>
      <c r="GW651" s="75"/>
      <c r="GX651" s="75"/>
      <c r="GY651" s="75"/>
      <c r="GZ651" s="75"/>
      <c r="HA651" s="75"/>
      <c r="HB651" s="75"/>
      <c r="HC651" s="75"/>
      <c r="HD651" s="75"/>
      <c r="HE651" s="75"/>
      <c r="HF651" s="75"/>
      <c r="HG651" s="75"/>
      <c r="HH651" s="75"/>
      <c r="HI651" s="75"/>
    </row>
    <row r="652" spans="1:217" s="156" customFormat="1" ht="11.25" hidden="1">
      <c r="A652" s="128" t="s">
        <v>5</v>
      </c>
      <c r="B652" s="128"/>
      <c r="C652" s="128"/>
      <c r="D652" s="134"/>
      <c r="E652" s="130"/>
      <c r="F652" s="134"/>
      <c r="G652" s="134"/>
      <c r="H652" s="130"/>
      <c r="I652" s="130"/>
      <c r="J652" s="134"/>
      <c r="K652" s="122"/>
      <c r="L652" s="130"/>
      <c r="M652" s="130"/>
      <c r="N652" s="134"/>
      <c r="O652" s="130"/>
      <c r="P652" s="134"/>
      <c r="Q652" s="75"/>
      <c r="R652" s="75"/>
      <c r="S652" s="75"/>
      <c r="T652" s="75"/>
      <c r="U652" s="75"/>
      <c r="V652" s="75"/>
      <c r="W652" s="75"/>
      <c r="X652" s="75"/>
      <c r="Y652" s="75"/>
      <c r="Z652" s="75"/>
      <c r="AA652" s="75"/>
      <c r="AB652" s="75"/>
      <c r="AC652" s="75"/>
      <c r="AD652" s="75"/>
      <c r="AE652" s="75"/>
      <c r="AF652" s="75"/>
      <c r="AG652" s="75"/>
      <c r="AH652" s="75"/>
      <c r="AI652" s="75"/>
      <c r="AJ652" s="75"/>
      <c r="AK652" s="75"/>
      <c r="AL652" s="75"/>
      <c r="AM652" s="75"/>
      <c r="AN652" s="75"/>
      <c r="AO652" s="75"/>
      <c r="AP652" s="75"/>
      <c r="AQ652" s="75"/>
      <c r="AR652" s="75"/>
      <c r="AS652" s="75"/>
      <c r="AT652" s="75"/>
      <c r="AU652" s="75"/>
      <c r="AV652" s="75"/>
      <c r="AW652" s="75"/>
      <c r="AX652" s="75"/>
      <c r="AY652" s="75"/>
      <c r="AZ652" s="75"/>
      <c r="BA652" s="75"/>
      <c r="BB652" s="75"/>
      <c r="BC652" s="75"/>
      <c r="BD652" s="75"/>
      <c r="BE652" s="75"/>
      <c r="BF652" s="75"/>
      <c r="BG652" s="75"/>
      <c r="BH652" s="75"/>
      <c r="BI652" s="75"/>
      <c r="BJ652" s="75"/>
      <c r="BK652" s="75"/>
      <c r="BL652" s="75"/>
      <c r="BM652" s="75"/>
      <c r="BN652" s="75"/>
      <c r="BO652" s="75"/>
      <c r="BP652" s="75"/>
      <c r="BQ652" s="75"/>
      <c r="BR652" s="75"/>
      <c r="BS652" s="75"/>
      <c r="BT652" s="75"/>
      <c r="BU652" s="75"/>
      <c r="BV652" s="75"/>
      <c r="BW652" s="75"/>
      <c r="BX652" s="75"/>
      <c r="BY652" s="75"/>
      <c r="BZ652" s="75"/>
      <c r="CA652" s="75"/>
      <c r="CB652" s="75"/>
      <c r="CC652" s="75"/>
      <c r="CD652" s="75"/>
      <c r="CE652" s="75"/>
      <c r="CF652" s="75"/>
      <c r="CG652" s="75"/>
      <c r="CH652" s="75"/>
      <c r="CI652" s="75"/>
      <c r="CJ652" s="75"/>
      <c r="CK652" s="75"/>
      <c r="CL652" s="75"/>
      <c r="CM652" s="75"/>
      <c r="CN652" s="75"/>
      <c r="CO652" s="75"/>
      <c r="CP652" s="75"/>
      <c r="CQ652" s="75"/>
      <c r="CR652" s="75"/>
      <c r="CS652" s="75"/>
      <c r="CT652" s="75"/>
      <c r="CU652" s="75"/>
      <c r="CV652" s="75"/>
      <c r="CW652" s="75"/>
      <c r="CX652" s="75"/>
      <c r="CY652" s="75"/>
      <c r="CZ652" s="75"/>
      <c r="DA652" s="75"/>
      <c r="DB652" s="75"/>
      <c r="DC652" s="75"/>
      <c r="DD652" s="75"/>
      <c r="DE652" s="75"/>
      <c r="DF652" s="75"/>
      <c r="DG652" s="75"/>
      <c r="DH652" s="75"/>
      <c r="DI652" s="75"/>
      <c r="DJ652" s="75"/>
      <c r="DK652" s="75"/>
      <c r="DL652" s="75"/>
      <c r="DM652" s="75"/>
      <c r="DN652" s="75"/>
      <c r="DO652" s="75"/>
      <c r="DP652" s="75"/>
      <c r="DQ652" s="75"/>
      <c r="DR652" s="75"/>
      <c r="DS652" s="75"/>
      <c r="DT652" s="75"/>
      <c r="DU652" s="75"/>
      <c r="DV652" s="75"/>
      <c r="DW652" s="75"/>
      <c r="DX652" s="75"/>
      <c r="DY652" s="75"/>
      <c r="DZ652" s="75"/>
      <c r="EA652" s="75"/>
      <c r="EB652" s="75"/>
      <c r="EC652" s="75"/>
      <c r="ED652" s="75"/>
      <c r="EE652" s="75"/>
      <c r="EF652" s="75"/>
      <c r="EG652" s="75"/>
      <c r="EH652" s="75"/>
      <c r="EI652" s="75"/>
      <c r="EJ652" s="75"/>
      <c r="EK652" s="75"/>
      <c r="EL652" s="75"/>
      <c r="EM652" s="75"/>
      <c r="EN652" s="75"/>
      <c r="EO652" s="75"/>
      <c r="EP652" s="75"/>
      <c r="EQ652" s="75"/>
      <c r="ER652" s="75"/>
      <c r="ES652" s="75"/>
      <c r="ET652" s="75"/>
      <c r="EU652" s="75"/>
      <c r="EV652" s="75"/>
      <c r="EW652" s="75"/>
      <c r="EX652" s="75"/>
      <c r="EY652" s="75"/>
      <c r="EZ652" s="75"/>
      <c r="FA652" s="75"/>
      <c r="FB652" s="75"/>
      <c r="FC652" s="75"/>
      <c r="FD652" s="75"/>
      <c r="FE652" s="75"/>
      <c r="FF652" s="75"/>
      <c r="FG652" s="75"/>
      <c r="FH652" s="75"/>
      <c r="FI652" s="75"/>
      <c r="FJ652" s="75"/>
      <c r="FK652" s="75"/>
      <c r="FL652" s="75"/>
      <c r="FM652" s="75"/>
      <c r="FN652" s="75"/>
      <c r="FO652" s="75"/>
      <c r="FP652" s="75"/>
      <c r="FQ652" s="75"/>
      <c r="FR652" s="75"/>
      <c r="FS652" s="75"/>
      <c r="FT652" s="75"/>
      <c r="FU652" s="75"/>
      <c r="FV652" s="75"/>
      <c r="FW652" s="75"/>
      <c r="FX652" s="75"/>
      <c r="FY652" s="75"/>
      <c r="FZ652" s="75"/>
      <c r="GA652" s="75"/>
      <c r="GB652" s="75"/>
      <c r="GC652" s="75"/>
      <c r="GD652" s="75"/>
      <c r="GE652" s="75"/>
      <c r="GF652" s="75"/>
      <c r="GG652" s="75"/>
      <c r="GH652" s="75"/>
      <c r="GI652" s="75"/>
      <c r="GJ652" s="75"/>
      <c r="GK652" s="75"/>
      <c r="GL652" s="75"/>
      <c r="GM652" s="75"/>
      <c r="GN652" s="75"/>
      <c r="GO652" s="75"/>
      <c r="GP652" s="75"/>
      <c r="GQ652" s="75"/>
      <c r="GR652" s="75"/>
      <c r="GS652" s="75"/>
      <c r="GT652" s="75"/>
      <c r="GU652" s="75"/>
      <c r="GV652" s="75"/>
      <c r="GW652" s="75"/>
      <c r="GX652" s="75"/>
      <c r="GY652" s="75"/>
      <c r="GZ652" s="75"/>
      <c r="HA652" s="75"/>
      <c r="HB652" s="75"/>
      <c r="HC652" s="75"/>
      <c r="HD652" s="75"/>
      <c r="HE652" s="75"/>
      <c r="HF652" s="75"/>
      <c r="HG652" s="75"/>
      <c r="HH652" s="75"/>
      <c r="HI652" s="75"/>
    </row>
    <row r="653" spans="1:217" s="156" customFormat="1" ht="39" customHeight="1" hidden="1">
      <c r="A653" s="131" t="s">
        <v>219</v>
      </c>
      <c r="B653" s="131"/>
      <c r="C653" s="131"/>
      <c r="D653" s="136">
        <v>300</v>
      </c>
      <c r="E653" s="129"/>
      <c r="F653" s="122">
        <f aca="true" t="shared" si="37" ref="F653:F658">D653</f>
        <v>300</v>
      </c>
      <c r="G653" s="136">
        <v>320</v>
      </c>
      <c r="H653" s="129"/>
      <c r="I653" s="129"/>
      <c r="J653" s="122">
        <f aca="true" t="shared" si="38" ref="J653:J658">G653</f>
        <v>320</v>
      </c>
      <c r="K653" s="137"/>
      <c r="L653" s="138"/>
      <c r="M653" s="139"/>
      <c r="N653" s="136">
        <v>340</v>
      </c>
      <c r="O653" s="129"/>
      <c r="P653" s="122">
        <f aca="true" t="shared" si="39" ref="P653:P658">N653</f>
        <v>340</v>
      </c>
      <c r="Q653" s="75"/>
      <c r="R653" s="75"/>
      <c r="S653" s="75"/>
      <c r="T653" s="75"/>
      <c r="U653" s="75"/>
      <c r="V653" s="75"/>
      <c r="W653" s="75"/>
      <c r="X653" s="75"/>
      <c r="Y653" s="75"/>
      <c r="Z653" s="75"/>
      <c r="AA653" s="75"/>
      <c r="AB653" s="75"/>
      <c r="AC653" s="75"/>
      <c r="AD653" s="75"/>
      <c r="AE653" s="75"/>
      <c r="AF653" s="75"/>
      <c r="AG653" s="75"/>
      <c r="AH653" s="75"/>
      <c r="AI653" s="75"/>
      <c r="AJ653" s="75"/>
      <c r="AK653" s="75"/>
      <c r="AL653" s="75"/>
      <c r="AM653" s="75"/>
      <c r="AN653" s="75"/>
      <c r="AO653" s="75"/>
      <c r="AP653" s="75"/>
      <c r="AQ653" s="75"/>
      <c r="AR653" s="75"/>
      <c r="AS653" s="75"/>
      <c r="AT653" s="75"/>
      <c r="AU653" s="75"/>
      <c r="AV653" s="75"/>
      <c r="AW653" s="75"/>
      <c r="AX653" s="75"/>
      <c r="AY653" s="75"/>
      <c r="AZ653" s="75"/>
      <c r="BA653" s="75"/>
      <c r="BB653" s="75"/>
      <c r="BC653" s="75"/>
      <c r="BD653" s="75"/>
      <c r="BE653" s="75"/>
      <c r="BF653" s="75"/>
      <c r="BG653" s="75"/>
      <c r="BH653" s="75"/>
      <c r="BI653" s="75"/>
      <c r="BJ653" s="75"/>
      <c r="BK653" s="75"/>
      <c r="BL653" s="75"/>
      <c r="BM653" s="75"/>
      <c r="BN653" s="75"/>
      <c r="BO653" s="75"/>
      <c r="BP653" s="75"/>
      <c r="BQ653" s="75"/>
      <c r="BR653" s="75"/>
      <c r="BS653" s="75"/>
      <c r="BT653" s="75"/>
      <c r="BU653" s="75"/>
      <c r="BV653" s="75"/>
      <c r="BW653" s="75"/>
      <c r="BX653" s="75"/>
      <c r="BY653" s="75"/>
      <c r="BZ653" s="75"/>
      <c r="CA653" s="75"/>
      <c r="CB653" s="75"/>
      <c r="CC653" s="75"/>
      <c r="CD653" s="75"/>
      <c r="CE653" s="75"/>
      <c r="CF653" s="75"/>
      <c r="CG653" s="75"/>
      <c r="CH653" s="75"/>
      <c r="CI653" s="75"/>
      <c r="CJ653" s="75"/>
      <c r="CK653" s="75"/>
      <c r="CL653" s="75"/>
      <c r="CM653" s="75"/>
      <c r="CN653" s="75"/>
      <c r="CO653" s="75"/>
      <c r="CP653" s="75"/>
      <c r="CQ653" s="75"/>
      <c r="CR653" s="75"/>
      <c r="CS653" s="75"/>
      <c r="CT653" s="75"/>
      <c r="CU653" s="75"/>
      <c r="CV653" s="75"/>
      <c r="CW653" s="75"/>
      <c r="CX653" s="75"/>
      <c r="CY653" s="75"/>
      <c r="CZ653" s="75"/>
      <c r="DA653" s="75"/>
      <c r="DB653" s="75"/>
      <c r="DC653" s="75"/>
      <c r="DD653" s="75"/>
      <c r="DE653" s="75"/>
      <c r="DF653" s="75"/>
      <c r="DG653" s="75"/>
      <c r="DH653" s="75"/>
      <c r="DI653" s="75"/>
      <c r="DJ653" s="75"/>
      <c r="DK653" s="75"/>
      <c r="DL653" s="75"/>
      <c r="DM653" s="75"/>
      <c r="DN653" s="75"/>
      <c r="DO653" s="75"/>
      <c r="DP653" s="75"/>
      <c r="DQ653" s="75"/>
      <c r="DR653" s="75"/>
      <c r="DS653" s="75"/>
      <c r="DT653" s="75"/>
      <c r="DU653" s="75"/>
      <c r="DV653" s="75"/>
      <c r="DW653" s="75"/>
      <c r="DX653" s="75"/>
      <c r="DY653" s="75"/>
      <c r="DZ653" s="75"/>
      <c r="EA653" s="75"/>
      <c r="EB653" s="75"/>
      <c r="EC653" s="75"/>
      <c r="ED653" s="75"/>
      <c r="EE653" s="75"/>
      <c r="EF653" s="75"/>
      <c r="EG653" s="75"/>
      <c r="EH653" s="75"/>
      <c r="EI653" s="75"/>
      <c r="EJ653" s="75"/>
      <c r="EK653" s="75"/>
      <c r="EL653" s="75"/>
      <c r="EM653" s="75"/>
      <c r="EN653" s="75"/>
      <c r="EO653" s="75"/>
      <c r="EP653" s="75"/>
      <c r="EQ653" s="75"/>
      <c r="ER653" s="75"/>
      <c r="ES653" s="75"/>
      <c r="ET653" s="75"/>
      <c r="EU653" s="75"/>
      <c r="EV653" s="75"/>
      <c r="EW653" s="75"/>
      <c r="EX653" s="75"/>
      <c r="EY653" s="75"/>
      <c r="EZ653" s="75"/>
      <c r="FA653" s="75"/>
      <c r="FB653" s="75"/>
      <c r="FC653" s="75"/>
      <c r="FD653" s="75"/>
      <c r="FE653" s="75"/>
      <c r="FF653" s="75"/>
      <c r="FG653" s="75"/>
      <c r="FH653" s="75"/>
      <c r="FI653" s="75"/>
      <c r="FJ653" s="75"/>
      <c r="FK653" s="75"/>
      <c r="FL653" s="75"/>
      <c r="FM653" s="75"/>
      <c r="FN653" s="75"/>
      <c r="FO653" s="75"/>
      <c r="FP653" s="75"/>
      <c r="FQ653" s="75"/>
      <c r="FR653" s="75"/>
      <c r="FS653" s="75"/>
      <c r="FT653" s="75"/>
      <c r="FU653" s="75"/>
      <c r="FV653" s="75"/>
      <c r="FW653" s="75"/>
      <c r="FX653" s="75"/>
      <c r="FY653" s="75"/>
      <c r="FZ653" s="75"/>
      <c r="GA653" s="75"/>
      <c r="GB653" s="75"/>
      <c r="GC653" s="75"/>
      <c r="GD653" s="75"/>
      <c r="GE653" s="75"/>
      <c r="GF653" s="75"/>
      <c r="GG653" s="75"/>
      <c r="GH653" s="75"/>
      <c r="GI653" s="75"/>
      <c r="GJ653" s="75"/>
      <c r="GK653" s="75"/>
      <c r="GL653" s="75"/>
      <c r="GM653" s="75"/>
      <c r="GN653" s="75"/>
      <c r="GO653" s="75"/>
      <c r="GP653" s="75"/>
      <c r="GQ653" s="75"/>
      <c r="GR653" s="75"/>
      <c r="GS653" s="75"/>
      <c r="GT653" s="75"/>
      <c r="GU653" s="75"/>
      <c r="GV653" s="75"/>
      <c r="GW653" s="75"/>
      <c r="GX653" s="75"/>
      <c r="GY653" s="75"/>
      <c r="GZ653" s="75"/>
      <c r="HA653" s="75"/>
      <c r="HB653" s="75"/>
      <c r="HC653" s="75"/>
      <c r="HD653" s="75"/>
      <c r="HE653" s="75"/>
      <c r="HF653" s="75"/>
      <c r="HG653" s="75"/>
      <c r="HH653" s="75"/>
      <c r="HI653" s="75"/>
    </row>
    <row r="654" spans="1:217" s="156" customFormat="1" ht="33.75" hidden="1">
      <c r="A654" s="131" t="s">
        <v>220</v>
      </c>
      <c r="B654" s="131"/>
      <c r="C654" s="131"/>
      <c r="D654" s="136">
        <v>940</v>
      </c>
      <c r="E654" s="129"/>
      <c r="F654" s="122">
        <f t="shared" si="37"/>
        <v>940</v>
      </c>
      <c r="G654" s="136">
        <v>1000</v>
      </c>
      <c r="H654" s="129"/>
      <c r="I654" s="129"/>
      <c r="J654" s="122">
        <f t="shared" si="38"/>
        <v>1000</v>
      </c>
      <c r="K654" s="122"/>
      <c r="L654" s="129"/>
      <c r="M654" s="136"/>
      <c r="N654" s="136">
        <v>1060</v>
      </c>
      <c r="O654" s="129"/>
      <c r="P654" s="122">
        <f t="shared" si="39"/>
        <v>1060</v>
      </c>
      <c r="Q654" s="75"/>
      <c r="R654" s="75"/>
      <c r="S654" s="75"/>
      <c r="T654" s="75"/>
      <c r="U654" s="75"/>
      <c r="V654" s="75"/>
      <c r="W654" s="75"/>
      <c r="X654" s="75"/>
      <c r="Y654" s="75"/>
      <c r="Z654" s="75"/>
      <c r="AA654" s="75"/>
      <c r="AB654" s="75"/>
      <c r="AC654" s="75"/>
      <c r="AD654" s="75"/>
      <c r="AE654" s="75"/>
      <c r="AF654" s="75"/>
      <c r="AG654" s="75"/>
      <c r="AH654" s="75"/>
      <c r="AI654" s="75"/>
      <c r="AJ654" s="75"/>
      <c r="AK654" s="75"/>
      <c r="AL654" s="75"/>
      <c r="AM654" s="75"/>
      <c r="AN654" s="75"/>
      <c r="AO654" s="75"/>
      <c r="AP654" s="75"/>
      <c r="AQ654" s="75"/>
      <c r="AR654" s="75"/>
      <c r="AS654" s="75"/>
      <c r="AT654" s="75"/>
      <c r="AU654" s="75"/>
      <c r="AV654" s="75"/>
      <c r="AW654" s="75"/>
      <c r="AX654" s="75"/>
      <c r="AY654" s="75"/>
      <c r="AZ654" s="75"/>
      <c r="BA654" s="75"/>
      <c r="BB654" s="75"/>
      <c r="BC654" s="75"/>
      <c r="BD654" s="75"/>
      <c r="BE654" s="75"/>
      <c r="BF654" s="75"/>
      <c r="BG654" s="75"/>
      <c r="BH654" s="75"/>
      <c r="BI654" s="75"/>
      <c r="BJ654" s="75"/>
      <c r="BK654" s="75"/>
      <c r="BL654" s="75"/>
      <c r="BM654" s="75"/>
      <c r="BN654" s="75"/>
      <c r="BO654" s="75"/>
      <c r="BP654" s="75"/>
      <c r="BQ654" s="75"/>
      <c r="BR654" s="75"/>
      <c r="BS654" s="75"/>
      <c r="BT654" s="75"/>
      <c r="BU654" s="75"/>
      <c r="BV654" s="75"/>
      <c r="BW654" s="75"/>
      <c r="BX654" s="75"/>
      <c r="BY654" s="75"/>
      <c r="BZ654" s="75"/>
      <c r="CA654" s="75"/>
      <c r="CB654" s="75"/>
      <c r="CC654" s="75"/>
      <c r="CD654" s="75"/>
      <c r="CE654" s="75"/>
      <c r="CF654" s="75"/>
      <c r="CG654" s="75"/>
      <c r="CH654" s="75"/>
      <c r="CI654" s="75"/>
      <c r="CJ654" s="75"/>
      <c r="CK654" s="75"/>
      <c r="CL654" s="75"/>
      <c r="CM654" s="75"/>
      <c r="CN654" s="75"/>
      <c r="CO654" s="75"/>
      <c r="CP654" s="75"/>
      <c r="CQ654" s="75"/>
      <c r="CR654" s="75"/>
      <c r="CS654" s="75"/>
      <c r="CT654" s="75"/>
      <c r="CU654" s="75"/>
      <c r="CV654" s="75"/>
      <c r="CW654" s="75"/>
      <c r="CX654" s="75"/>
      <c r="CY654" s="75"/>
      <c r="CZ654" s="75"/>
      <c r="DA654" s="75"/>
      <c r="DB654" s="75"/>
      <c r="DC654" s="75"/>
      <c r="DD654" s="75"/>
      <c r="DE654" s="75"/>
      <c r="DF654" s="75"/>
      <c r="DG654" s="75"/>
      <c r="DH654" s="75"/>
      <c r="DI654" s="75"/>
      <c r="DJ654" s="75"/>
      <c r="DK654" s="75"/>
      <c r="DL654" s="75"/>
      <c r="DM654" s="75"/>
      <c r="DN654" s="75"/>
      <c r="DO654" s="75"/>
      <c r="DP654" s="75"/>
      <c r="DQ654" s="75"/>
      <c r="DR654" s="75"/>
      <c r="DS654" s="75"/>
      <c r="DT654" s="75"/>
      <c r="DU654" s="75"/>
      <c r="DV654" s="75"/>
      <c r="DW654" s="75"/>
      <c r="DX654" s="75"/>
      <c r="DY654" s="75"/>
      <c r="DZ654" s="75"/>
      <c r="EA654" s="75"/>
      <c r="EB654" s="75"/>
      <c r="EC654" s="75"/>
      <c r="ED654" s="75"/>
      <c r="EE654" s="75"/>
      <c r="EF654" s="75"/>
      <c r="EG654" s="75"/>
      <c r="EH654" s="75"/>
      <c r="EI654" s="75"/>
      <c r="EJ654" s="75"/>
      <c r="EK654" s="75"/>
      <c r="EL654" s="75"/>
      <c r="EM654" s="75"/>
      <c r="EN654" s="75"/>
      <c r="EO654" s="75"/>
      <c r="EP654" s="75"/>
      <c r="EQ654" s="75"/>
      <c r="ER654" s="75"/>
      <c r="ES654" s="75"/>
      <c r="ET654" s="75"/>
      <c r="EU654" s="75"/>
      <c r="EV654" s="75"/>
      <c r="EW654" s="75"/>
      <c r="EX654" s="75"/>
      <c r="EY654" s="75"/>
      <c r="EZ654" s="75"/>
      <c r="FA654" s="75"/>
      <c r="FB654" s="75"/>
      <c r="FC654" s="75"/>
      <c r="FD654" s="75"/>
      <c r="FE654" s="75"/>
      <c r="FF654" s="75"/>
      <c r="FG654" s="75"/>
      <c r="FH654" s="75"/>
      <c r="FI654" s="75"/>
      <c r="FJ654" s="75"/>
      <c r="FK654" s="75"/>
      <c r="FL654" s="75"/>
      <c r="FM654" s="75"/>
      <c r="FN654" s="75"/>
      <c r="FO654" s="75"/>
      <c r="FP654" s="75"/>
      <c r="FQ654" s="75"/>
      <c r="FR654" s="75"/>
      <c r="FS654" s="75"/>
      <c r="FT654" s="75"/>
      <c r="FU654" s="75"/>
      <c r="FV654" s="75"/>
      <c r="FW654" s="75"/>
      <c r="FX654" s="75"/>
      <c r="FY654" s="75"/>
      <c r="FZ654" s="75"/>
      <c r="GA654" s="75"/>
      <c r="GB654" s="75"/>
      <c r="GC654" s="75"/>
      <c r="GD654" s="75"/>
      <c r="GE654" s="75"/>
      <c r="GF654" s="75"/>
      <c r="GG654" s="75"/>
      <c r="GH654" s="75"/>
      <c r="GI654" s="75"/>
      <c r="GJ654" s="75"/>
      <c r="GK654" s="75"/>
      <c r="GL654" s="75"/>
      <c r="GM654" s="75"/>
      <c r="GN654" s="75"/>
      <c r="GO654" s="75"/>
      <c r="GP654" s="75"/>
      <c r="GQ654" s="75"/>
      <c r="GR654" s="75"/>
      <c r="GS654" s="75"/>
      <c r="GT654" s="75"/>
      <c r="GU654" s="75"/>
      <c r="GV654" s="75"/>
      <c r="GW654" s="75"/>
      <c r="GX654" s="75"/>
      <c r="GY654" s="75"/>
      <c r="GZ654" s="75"/>
      <c r="HA654" s="75"/>
      <c r="HB654" s="75"/>
      <c r="HC654" s="75"/>
      <c r="HD654" s="75"/>
      <c r="HE654" s="75"/>
      <c r="HF654" s="75"/>
      <c r="HG654" s="75"/>
      <c r="HH654" s="75"/>
      <c r="HI654" s="75"/>
    </row>
    <row r="655" spans="1:217" s="156" customFormat="1" ht="33.75" hidden="1">
      <c r="A655" s="131" t="s">
        <v>221</v>
      </c>
      <c r="B655" s="131"/>
      <c r="C655" s="131"/>
      <c r="D655" s="136">
        <v>1665</v>
      </c>
      <c r="E655" s="129"/>
      <c r="F655" s="122">
        <f t="shared" si="37"/>
        <v>1665</v>
      </c>
      <c r="G655" s="136">
        <v>1775</v>
      </c>
      <c r="H655" s="129"/>
      <c r="I655" s="129"/>
      <c r="J655" s="122">
        <f t="shared" si="38"/>
        <v>1775</v>
      </c>
      <c r="K655" s="122"/>
      <c r="L655" s="129"/>
      <c r="M655" s="136"/>
      <c r="N655" s="136">
        <v>1880</v>
      </c>
      <c r="O655" s="129"/>
      <c r="P655" s="122">
        <f t="shared" si="39"/>
        <v>1880</v>
      </c>
      <c r="Q655" s="75"/>
      <c r="R655" s="75"/>
      <c r="S655" s="75"/>
      <c r="T655" s="75"/>
      <c r="U655" s="75"/>
      <c r="V655" s="75"/>
      <c r="W655" s="75"/>
      <c r="X655" s="75"/>
      <c r="Y655" s="75"/>
      <c r="Z655" s="75"/>
      <c r="AA655" s="75"/>
      <c r="AB655" s="75"/>
      <c r="AC655" s="75"/>
      <c r="AD655" s="75"/>
      <c r="AE655" s="75"/>
      <c r="AF655" s="75"/>
      <c r="AG655" s="75"/>
      <c r="AH655" s="75"/>
      <c r="AI655" s="75"/>
      <c r="AJ655" s="75"/>
      <c r="AK655" s="75"/>
      <c r="AL655" s="75"/>
      <c r="AM655" s="75"/>
      <c r="AN655" s="75"/>
      <c r="AO655" s="75"/>
      <c r="AP655" s="75"/>
      <c r="AQ655" s="75"/>
      <c r="AR655" s="75"/>
      <c r="AS655" s="75"/>
      <c r="AT655" s="75"/>
      <c r="AU655" s="75"/>
      <c r="AV655" s="75"/>
      <c r="AW655" s="75"/>
      <c r="AX655" s="75"/>
      <c r="AY655" s="75"/>
      <c r="AZ655" s="75"/>
      <c r="BA655" s="75"/>
      <c r="BB655" s="75"/>
      <c r="BC655" s="75"/>
      <c r="BD655" s="75"/>
      <c r="BE655" s="75"/>
      <c r="BF655" s="75"/>
      <c r="BG655" s="75"/>
      <c r="BH655" s="75"/>
      <c r="BI655" s="75"/>
      <c r="BJ655" s="75"/>
      <c r="BK655" s="75"/>
      <c r="BL655" s="75"/>
      <c r="BM655" s="75"/>
      <c r="BN655" s="75"/>
      <c r="BO655" s="75"/>
      <c r="BP655" s="75"/>
      <c r="BQ655" s="75"/>
      <c r="BR655" s="75"/>
      <c r="BS655" s="75"/>
      <c r="BT655" s="75"/>
      <c r="BU655" s="75"/>
      <c r="BV655" s="75"/>
      <c r="BW655" s="75"/>
      <c r="BX655" s="75"/>
      <c r="BY655" s="75"/>
      <c r="BZ655" s="75"/>
      <c r="CA655" s="75"/>
      <c r="CB655" s="75"/>
      <c r="CC655" s="75"/>
      <c r="CD655" s="75"/>
      <c r="CE655" s="75"/>
      <c r="CF655" s="75"/>
      <c r="CG655" s="75"/>
      <c r="CH655" s="75"/>
      <c r="CI655" s="75"/>
      <c r="CJ655" s="75"/>
      <c r="CK655" s="75"/>
      <c r="CL655" s="75"/>
      <c r="CM655" s="75"/>
      <c r="CN655" s="75"/>
      <c r="CO655" s="75"/>
      <c r="CP655" s="75"/>
      <c r="CQ655" s="75"/>
      <c r="CR655" s="75"/>
      <c r="CS655" s="75"/>
      <c r="CT655" s="75"/>
      <c r="CU655" s="75"/>
      <c r="CV655" s="75"/>
      <c r="CW655" s="75"/>
      <c r="CX655" s="75"/>
      <c r="CY655" s="75"/>
      <c r="CZ655" s="75"/>
      <c r="DA655" s="75"/>
      <c r="DB655" s="75"/>
      <c r="DC655" s="75"/>
      <c r="DD655" s="75"/>
      <c r="DE655" s="75"/>
      <c r="DF655" s="75"/>
      <c r="DG655" s="75"/>
      <c r="DH655" s="75"/>
      <c r="DI655" s="75"/>
      <c r="DJ655" s="75"/>
      <c r="DK655" s="75"/>
      <c r="DL655" s="75"/>
      <c r="DM655" s="75"/>
      <c r="DN655" s="75"/>
      <c r="DO655" s="75"/>
      <c r="DP655" s="75"/>
      <c r="DQ655" s="75"/>
      <c r="DR655" s="75"/>
      <c r="DS655" s="75"/>
      <c r="DT655" s="75"/>
      <c r="DU655" s="75"/>
      <c r="DV655" s="75"/>
      <c r="DW655" s="75"/>
      <c r="DX655" s="75"/>
      <c r="DY655" s="75"/>
      <c r="DZ655" s="75"/>
      <c r="EA655" s="75"/>
      <c r="EB655" s="75"/>
      <c r="EC655" s="75"/>
      <c r="ED655" s="75"/>
      <c r="EE655" s="75"/>
      <c r="EF655" s="75"/>
      <c r="EG655" s="75"/>
      <c r="EH655" s="75"/>
      <c r="EI655" s="75"/>
      <c r="EJ655" s="75"/>
      <c r="EK655" s="75"/>
      <c r="EL655" s="75"/>
      <c r="EM655" s="75"/>
      <c r="EN655" s="75"/>
      <c r="EO655" s="75"/>
      <c r="EP655" s="75"/>
      <c r="EQ655" s="75"/>
      <c r="ER655" s="75"/>
      <c r="ES655" s="75"/>
      <c r="ET655" s="75"/>
      <c r="EU655" s="75"/>
      <c r="EV655" s="75"/>
      <c r="EW655" s="75"/>
      <c r="EX655" s="75"/>
      <c r="EY655" s="75"/>
      <c r="EZ655" s="75"/>
      <c r="FA655" s="75"/>
      <c r="FB655" s="75"/>
      <c r="FC655" s="75"/>
      <c r="FD655" s="75"/>
      <c r="FE655" s="75"/>
      <c r="FF655" s="75"/>
      <c r="FG655" s="75"/>
      <c r="FH655" s="75"/>
      <c r="FI655" s="75"/>
      <c r="FJ655" s="75"/>
      <c r="FK655" s="75"/>
      <c r="FL655" s="75"/>
      <c r="FM655" s="75"/>
      <c r="FN655" s="75"/>
      <c r="FO655" s="75"/>
      <c r="FP655" s="75"/>
      <c r="FQ655" s="75"/>
      <c r="FR655" s="75"/>
      <c r="FS655" s="75"/>
      <c r="FT655" s="75"/>
      <c r="FU655" s="75"/>
      <c r="FV655" s="75"/>
      <c r="FW655" s="75"/>
      <c r="FX655" s="75"/>
      <c r="FY655" s="75"/>
      <c r="FZ655" s="75"/>
      <c r="GA655" s="75"/>
      <c r="GB655" s="75"/>
      <c r="GC655" s="75"/>
      <c r="GD655" s="75"/>
      <c r="GE655" s="75"/>
      <c r="GF655" s="75"/>
      <c r="GG655" s="75"/>
      <c r="GH655" s="75"/>
      <c r="GI655" s="75"/>
      <c r="GJ655" s="75"/>
      <c r="GK655" s="75"/>
      <c r="GL655" s="75"/>
      <c r="GM655" s="75"/>
      <c r="GN655" s="75"/>
      <c r="GO655" s="75"/>
      <c r="GP655" s="75"/>
      <c r="GQ655" s="75"/>
      <c r="GR655" s="75"/>
      <c r="GS655" s="75"/>
      <c r="GT655" s="75"/>
      <c r="GU655" s="75"/>
      <c r="GV655" s="75"/>
      <c r="GW655" s="75"/>
      <c r="GX655" s="75"/>
      <c r="GY655" s="75"/>
      <c r="GZ655" s="75"/>
      <c r="HA655" s="75"/>
      <c r="HB655" s="75"/>
      <c r="HC655" s="75"/>
      <c r="HD655" s="75"/>
      <c r="HE655" s="75"/>
      <c r="HF655" s="75"/>
      <c r="HG655" s="75"/>
      <c r="HH655" s="75"/>
      <c r="HI655" s="75"/>
    </row>
    <row r="656" spans="1:217" s="156" customFormat="1" ht="33.75" hidden="1">
      <c r="A656" s="131" t="s">
        <v>222</v>
      </c>
      <c r="B656" s="131"/>
      <c r="C656" s="131"/>
      <c r="D656" s="136">
        <v>345</v>
      </c>
      <c r="E656" s="129"/>
      <c r="F656" s="122">
        <f t="shared" si="37"/>
        <v>345</v>
      </c>
      <c r="G656" s="136">
        <v>370</v>
      </c>
      <c r="H656" s="129"/>
      <c r="I656" s="129"/>
      <c r="J656" s="122">
        <f t="shared" si="38"/>
        <v>370</v>
      </c>
      <c r="K656" s="122"/>
      <c r="L656" s="129"/>
      <c r="M656" s="136"/>
      <c r="N656" s="136">
        <v>395</v>
      </c>
      <c r="O656" s="129"/>
      <c r="P656" s="122">
        <f t="shared" si="39"/>
        <v>395</v>
      </c>
      <c r="Q656" s="75"/>
      <c r="R656" s="75"/>
      <c r="S656" s="75"/>
      <c r="T656" s="75"/>
      <c r="U656" s="75"/>
      <c r="V656" s="75"/>
      <c r="W656" s="75"/>
      <c r="X656" s="75"/>
      <c r="Y656" s="75"/>
      <c r="Z656" s="75"/>
      <c r="AA656" s="75"/>
      <c r="AB656" s="75"/>
      <c r="AC656" s="75"/>
      <c r="AD656" s="75"/>
      <c r="AE656" s="75"/>
      <c r="AF656" s="75"/>
      <c r="AG656" s="75"/>
      <c r="AH656" s="75"/>
      <c r="AI656" s="75"/>
      <c r="AJ656" s="75"/>
      <c r="AK656" s="75"/>
      <c r="AL656" s="75"/>
      <c r="AM656" s="75"/>
      <c r="AN656" s="75"/>
      <c r="AO656" s="75"/>
      <c r="AP656" s="75"/>
      <c r="AQ656" s="75"/>
      <c r="AR656" s="75"/>
      <c r="AS656" s="75"/>
      <c r="AT656" s="75"/>
      <c r="AU656" s="75"/>
      <c r="AV656" s="75"/>
      <c r="AW656" s="75"/>
      <c r="AX656" s="75"/>
      <c r="AY656" s="75"/>
      <c r="AZ656" s="75"/>
      <c r="BA656" s="75"/>
      <c r="BB656" s="75"/>
      <c r="BC656" s="75"/>
      <c r="BD656" s="75"/>
      <c r="BE656" s="75"/>
      <c r="BF656" s="75"/>
      <c r="BG656" s="75"/>
      <c r="BH656" s="75"/>
      <c r="BI656" s="75"/>
      <c r="BJ656" s="75"/>
      <c r="BK656" s="75"/>
      <c r="BL656" s="75"/>
      <c r="BM656" s="75"/>
      <c r="BN656" s="75"/>
      <c r="BO656" s="75"/>
      <c r="BP656" s="75"/>
      <c r="BQ656" s="75"/>
      <c r="BR656" s="75"/>
      <c r="BS656" s="75"/>
      <c r="BT656" s="75"/>
      <c r="BU656" s="75"/>
      <c r="BV656" s="75"/>
      <c r="BW656" s="75"/>
      <c r="BX656" s="75"/>
      <c r="BY656" s="75"/>
      <c r="BZ656" s="75"/>
      <c r="CA656" s="75"/>
      <c r="CB656" s="75"/>
      <c r="CC656" s="75"/>
      <c r="CD656" s="75"/>
      <c r="CE656" s="75"/>
      <c r="CF656" s="75"/>
      <c r="CG656" s="75"/>
      <c r="CH656" s="75"/>
      <c r="CI656" s="75"/>
      <c r="CJ656" s="75"/>
      <c r="CK656" s="75"/>
      <c r="CL656" s="75"/>
      <c r="CM656" s="75"/>
      <c r="CN656" s="75"/>
      <c r="CO656" s="75"/>
      <c r="CP656" s="75"/>
      <c r="CQ656" s="75"/>
      <c r="CR656" s="75"/>
      <c r="CS656" s="75"/>
      <c r="CT656" s="75"/>
      <c r="CU656" s="75"/>
      <c r="CV656" s="75"/>
      <c r="CW656" s="75"/>
      <c r="CX656" s="75"/>
      <c r="CY656" s="75"/>
      <c r="CZ656" s="75"/>
      <c r="DA656" s="75"/>
      <c r="DB656" s="75"/>
      <c r="DC656" s="75"/>
      <c r="DD656" s="75"/>
      <c r="DE656" s="75"/>
      <c r="DF656" s="75"/>
      <c r="DG656" s="75"/>
      <c r="DH656" s="75"/>
      <c r="DI656" s="75"/>
      <c r="DJ656" s="75"/>
      <c r="DK656" s="75"/>
      <c r="DL656" s="75"/>
      <c r="DM656" s="75"/>
      <c r="DN656" s="75"/>
      <c r="DO656" s="75"/>
      <c r="DP656" s="75"/>
      <c r="DQ656" s="75"/>
      <c r="DR656" s="75"/>
      <c r="DS656" s="75"/>
      <c r="DT656" s="75"/>
      <c r="DU656" s="75"/>
      <c r="DV656" s="75"/>
      <c r="DW656" s="75"/>
      <c r="DX656" s="75"/>
      <c r="DY656" s="75"/>
      <c r="DZ656" s="75"/>
      <c r="EA656" s="75"/>
      <c r="EB656" s="75"/>
      <c r="EC656" s="75"/>
      <c r="ED656" s="75"/>
      <c r="EE656" s="75"/>
      <c r="EF656" s="75"/>
      <c r="EG656" s="75"/>
      <c r="EH656" s="75"/>
      <c r="EI656" s="75"/>
      <c r="EJ656" s="75"/>
      <c r="EK656" s="75"/>
      <c r="EL656" s="75"/>
      <c r="EM656" s="75"/>
      <c r="EN656" s="75"/>
      <c r="EO656" s="75"/>
      <c r="EP656" s="75"/>
      <c r="EQ656" s="75"/>
      <c r="ER656" s="75"/>
      <c r="ES656" s="75"/>
      <c r="ET656" s="75"/>
      <c r="EU656" s="75"/>
      <c r="EV656" s="75"/>
      <c r="EW656" s="75"/>
      <c r="EX656" s="75"/>
      <c r="EY656" s="75"/>
      <c r="EZ656" s="75"/>
      <c r="FA656" s="75"/>
      <c r="FB656" s="75"/>
      <c r="FC656" s="75"/>
      <c r="FD656" s="75"/>
      <c r="FE656" s="75"/>
      <c r="FF656" s="75"/>
      <c r="FG656" s="75"/>
      <c r="FH656" s="75"/>
      <c r="FI656" s="75"/>
      <c r="FJ656" s="75"/>
      <c r="FK656" s="75"/>
      <c r="FL656" s="75"/>
      <c r="FM656" s="75"/>
      <c r="FN656" s="75"/>
      <c r="FO656" s="75"/>
      <c r="FP656" s="75"/>
      <c r="FQ656" s="75"/>
      <c r="FR656" s="75"/>
      <c r="FS656" s="75"/>
      <c r="FT656" s="75"/>
      <c r="FU656" s="75"/>
      <c r="FV656" s="75"/>
      <c r="FW656" s="75"/>
      <c r="FX656" s="75"/>
      <c r="FY656" s="75"/>
      <c r="FZ656" s="75"/>
      <c r="GA656" s="75"/>
      <c r="GB656" s="75"/>
      <c r="GC656" s="75"/>
      <c r="GD656" s="75"/>
      <c r="GE656" s="75"/>
      <c r="GF656" s="75"/>
      <c r="GG656" s="75"/>
      <c r="GH656" s="75"/>
      <c r="GI656" s="75"/>
      <c r="GJ656" s="75"/>
      <c r="GK656" s="75"/>
      <c r="GL656" s="75"/>
      <c r="GM656" s="75"/>
      <c r="GN656" s="75"/>
      <c r="GO656" s="75"/>
      <c r="GP656" s="75"/>
      <c r="GQ656" s="75"/>
      <c r="GR656" s="75"/>
      <c r="GS656" s="75"/>
      <c r="GT656" s="75"/>
      <c r="GU656" s="75"/>
      <c r="GV656" s="75"/>
      <c r="GW656" s="75"/>
      <c r="GX656" s="75"/>
      <c r="GY656" s="75"/>
      <c r="GZ656" s="75"/>
      <c r="HA656" s="75"/>
      <c r="HB656" s="75"/>
      <c r="HC656" s="75"/>
      <c r="HD656" s="75"/>
      <c r="HE656" s="75"/>
      <c r="HF656" s="75"/>
      <c r="HG656" s="75"/>
      <c r="HH656" s="75"/>
      <c r="HI656" s="75"/>
    </row>
    <row r="657" spans="1:217" s="156" customFormat="1" ht="23.25" customHeight="1" hidden="1">
      <c r="A657" s="131" t="s">
        <v>223</v>
      </c>
      <c r="B657" s="131"/>
      <c r="C657" s="131"/>
      <c r="D657" s="136">
        <v>635</v>
      </c>
      <c r="E657" s="129"/>
      <c r="F657" s="122">
        <f t="shared" si="37"/>
        <v>635</v>
      </c>
      <c r="G657" s="136">
        <v>680</v>
      </c>
      <c r="H657" s="129"/>
      <c r="I657" s="129"/>
      <c r="J657" s="122">
        <f t="shared" si="38"/>
        <v>680</v>
      </c>
      <c r="K657" s="122"/>
      <c r="L657" s="129"/>
      <c r="M657" s="136"/>
      <c r="N657" s="136">
        <v>720</v>
      </c>
      <c r="O657" s="129"/>
      <c r="P657" s="122">
        <f t="shared" si="39"/>
        <v>720</v>
      </c>
      <c r="Q657" s="75"/>
      <c r="R657" s="75"/>
      <c r="S657" s="75"/>
      <c r="T657" s="75"/>
      <c r="U657" s="75"/>
      <c r="V657" s="75"/>
      <c r="W657" s="75"/>
      <c r="X657" s="75"/>
      <c r="Y657" s="75"/>
      <c r="Z657" s="75"/>
      <c r="AA657" s="75"/>
      <c r="AB657" s="75"/>
      <c r="AC657" s="75"/>
      <c r="AD657" s="75"/>
      <c r="AE657" s="75"/>
      <c r="AF657" s="75"/>
      <c r="AG657" s="75"/>
      <c r="AH657" s="75"/>
      <c r="AI657" s="75"/>
      <c r="AJ657" s="75"/>
      <c r="AK657" s="75"/>
      <c r="AL657" s="75"/>
      <c r="AM657" s="75"/>
      <c r="AN657" s="75"/>
      <c r="AO657" s="75"/>
      <c r="AP657" s="75"/>
      <c r="AQ657" s="75"/>
      <c r="AR657" s="75"/>
      <c r="AS657" s="75"/>
      <c r="AT657" s="75"/>
      <c r="AU657" s="75"/>
      <c r="AV657" s="75"/>
      <c r="AW657" s="75"/>
      <c r="AX657" s="75"/>
      <c r="AY657" s="75"/>
      <c r="AZ657" s="75"/>
      <c r="BA657" s="75"/>
      <c r="BB657" s="75"/>
      <c r="BC657" s="75"/>
      <c r="BD657" s="75"/>
      <c r="BE657" s="75"/>
      <c r="BF657" s="75"/>
      <c r="BG657" s="75"/>
      <c r="BH657" s="75"/>
      <c r="BI657" s="75"/>
      <c r="BJ657" s="75"/>
      <c r="BK657" s="75"/>
      <c r="BL657" s="75"/>
      <c r="BM657" s="75"/>
      <c r="BN657" s="75"/>
      <c r="BO657" s="75"/>
      <c r="BP657" s="75"/>
      <c r="BQ657" s="75"/>
      <c r="BR657" s="75"/>
      <c r="BS657" s="75"/>
      <c r="BT657" s="75"/>
      <c r="BU657" s="75"/>
      <c r="BV657" s="75"/>
      <c r="BW657" s="75"/>
      <c r="BX657" s="75"/>
      <c r="BY657" s="75"/>
      <c r="BZ657" s="75"/>
      <c r="CA657" s="75"/>
      <c r="CB657" s="75"/>
      <c r="CC657" s="75"/>
      <c r="CD657" s="75"/>
      <c r="CE657" s="75"/>
      <c r="CF657" s="75"/>
      <c r="CG657" s="75"/>
      <c r="CH657" s="75"/>
      <c r="CI657" s="75"/>
      <c r="CJ657" s="75"/>
      <c r="CK657" s="75"/>
      <c r="CL657" s="75"/>
      <c r="CM657" s="75"/>
      <c r="CN657" s="75"/>
      <c r="CO657" s="75"/>
      <c r="CP657" s="75"/>
      <c r="CQ657" s="75"/>
      <c r="CR657" s="75"/>
      <c r="CS657" s="75"/>
      <c r="CT657" s="75"/>
      <c r="CU657" s="75"/>
      <c r="CV657" s="75"/>
      <c r="CW657" s="75"/>
      <c r="CX657" s="75"/>
      <c r="CY657" s="75"/>
      <c r="CZ657" s="75"/>
      <c r="DA657" s="75"/>
      <c r="DB657" s="75"/>
      <c r="DC657" s="75"/>
      <c r="DD657" s="75"/>
      <c r="DE657" s="75"/>
      <c r="DF657" s="75"/>
      <c r="DG657" s="75"/>
      <c r="DH657" s="75"/>
      <c r="DI657" s="75"/>
      <c r="DJ657" s="75"/>
      <c r="DK657" s="75"/>
      <c r="DL657" s="75"/>
      <c r="DM657" s="75"/>
      <c r="DN657" s="75"/>
      <c r="DO657" s="75"/>
      <c r="DP657" s="75"/>
      <c r="DQ657" s="75"/>
      <c r="DR657" s="75"/>
      <c r="DS657" s="75"/>
      <c r="DT657" s="75"/>
      <c r="DU657" s="75"/>
      <c r="DV657" s="75"/>
      <c r="DW657" s="75"/>
      <c r="DX657" s="75"/>
      <c r="DY657" s="75"/>
      <c r="DZ657" s="75"/>
      <c r="EA657" s="75"/>
      <c r="EB657" s="75"/>
      <c r="EC657" s="75"/>
      <c r="ED657" s="75"/>
      <c r="EE657" s="75"/>
      <c r="EF657" s="75"/>
      <c r="EG657" s="75"/>
      <c r="EH657" s="75"/>
      <c r="EI657" s="75"/>
      <c r="EJ657" s="75"/>
      <c r="EK657" s="75"/>
      <c r="EL657" s="75"/>
      <c r="EM657" s="75"/>
      <c r="EN657" s="75"/>
      <c r="EO657" s="75"/>
      <c r="EP657" s="75"/>
      <c r="EQ657" s="75"/>
      <c r="ER657" s="75"/>
      <c r="ES657" s="75"/>
      <c r="ET657" s="75"/>
      <c r="EU657" s="75"/>
      <c r="EV657" s="75"/>
      <c r="EW657" s="75"/>
      <c r="EX657" s="75"/>
      <c r="EY657" s="75"/>
      <c r="EZ657" s="75"/>
      <c r="FA657" s="75"/>
      <c r="FB657" s="75"/>
      <c r="FC657" s="75"/>
      <c r="FD657" s="75"/>
      <c r="FE657" s="75"/>
      <c r="FF657" s="75"/>
      <c r="FG657" s="75"/>
      <c r="FH657" s="75"/>
      <c r="FI657" s="75"/>
      <c r="FJ657" s="75"/>
      <c r="FK657" s="75"/>
      <c r="FL657" s="75"/>
      <c r="FM657" s="75"/>
      <c r="FN657" s="75"/>
      <c r="FO657" s="75"/>
      <c r="FP657" s="75"/>
      <c r="FQ657" s="75"/>
      <c r="FR657" s="75"/>
      <c r="FS657" s="75"/>
      <c r="FT657" s="75"/>
      <c r="FU657" s="75"/>
      <c r="FV657" s="75"/>
      <c r="FW657" s="75"/>
      <c r="FX657" s="75"/>
      <c r="FY657" s="75"/>
      <c r="FZ657" s="75"/>
      <c r="GA657" s="75"/>
      <c r="GB657" s="75"/>
      <c r="GC657" s="75"/>
      <c r="GD657" s="75"/>
      <c r="GE657" s="75"/>
      <c r="GF657" s="75"/>
      <c r="GG657" s="75"/>
      <c r="GH657" s="75"/>
      <c r="GI657" s="75"/>
      <c r="GJ657" s="75"/>
      <c r="GK657" s="75"/>
      <c r="GL657" s="75"/>
      <c r="GM657" s="75"/>
      <c r="GN657" s="75"/>
      <c r="GO657" s="75"/>
      <c r="GP657" s="75"/>
      <c r="GQ657" s="75"/>
      <c r="GR657" s="75"/>
      <c r="GS657" s="75"/>
      <c r="GT657" s="75"/>
      <c r="GU657" s="75"/>
      <c r="GV657" s="75"/>
      <c r="GW657" s="75"/>
      <c r="GX657" s="75"/>
      <c r="GY657" s="75"/>
      <c r="GZ657" s="75"/>
      <c r="HA657" s="75"/>
      <c r="HB657" s="75"/>
      <c r="HC657" s="75"/>
      <c r="HD657" s="75"/>
      <c r="HE657" s="75"/>
      <c r="HF657" s="75"/>
      <c r="HG657" s="75"/>
      <c r="HH657" s="75"/>
      <c r="HI657" s="75"/>
    </row>
    <row r="658" spans="1:217" s="156" customFormat="1" ht="34.5" customHeight="1" hidden="1">
      <c r="A658" s="131" t="s">
        <v>224</v>
      </c>
      <c r="B658" s="131"/>
      <c r="C658" s="131"/>
      <c r="D658" s="136">
        <v>160</v>
      </c>
      <c r="E658" s="129"/>
      <c r="F658" s="122">
        <f t="shared" si="37"/>
        <v>160</v>
      </c>
      <c r="G658" s="136">
        <v>160</v>
      </c>
      <c r="H658" s="129"/>
      <c r="I658" s="136"/>
      <c r="J658" s="122">
        <f t="shared" si="38"/>
        <v>160</v>
      </c>
      <c r="K658" s="122"/>
      <c r="L658" s="129"/>
      <c r="M658" s="136"/>
      <c r="N658" s="136">
        <v>160</v>
      </c>
      <c r="O658" s="129"/>
      <c r="P658" s="122">
        <f t="shared" si="39"/>
        <v>160</v>
      </c>
      <c r="Q658" s="75"/>
      <c r="R658" s="75"/>
      <c r="S658" s="75"/>
      <c r="T658" s="75"/>
      <c r="U658" s="75"/>
      <c r="V658" s="75"/>
      <c r="W658" s="75"/>
      <c r="X658" s="75"/>
      <c r="Y658" s="75"/>
      <c r="Z658" s="75"/>
      <c r="AA658" s="75"/>
      <c r="AB658" s="75"/>
      <c r="AC658" s="75"/>
      <c r="AD658" s="75"/>
      <c r="AE658" s="75"/>
      <c r="AF658" s="75"/>
      <c r="AG658" s="75"/>
      <c r="AH658" s="75"/>
      <c r="AI658" s="75"/>
      <c r="AJ658" s="75"/>
      <c r="AK658" s="75"/>
      <c r="AL658" s="75"/>
      <c r="AM658" s="75"/>
      <c r="AN658" s="75"/>
      <c r="AO658" s="75"/>
      <c r="AP658" s="75"/>
      <c r="AQ658" s="75"/>
      <c r="AR658" s="75"/>
      <c r="AS658" s="75"/>
      <c r="AT658" s="75"/>
      <c r="AU658" s="75"/>
      <c r="AV658" s="75"/>
      <c r="AW658" s="75"/>
      <c r="AX658" s="75"/>
      <c r="AY658" s="75"/>
      <c r="AZ658" s="75"/>
      <c r="BA658" s="75"/>
      <c r="BB658" s="75"/>
      <c r="BC658" s="75"/>
      <c r="BD658" s="75"/>
      <c r="BE658" s="75"/>
      <c r="BF658" s="75"/>
      <c r="BG658" s="75"/>
      <c r="BH658" s="75"/>
      <c r="BI658" s="75"/>
      <c r="BJ658" s="75"/>
      <c r="BK658" s="75"/>
      <c r="BL658" s="75"/>
      <c r="BM658" s="75"/>
      <c r="BN658" s="75"/>
      <c r="BO658" s="75"/>
      <c r="BP658" s="75"/>
      <c r="BQ658" s="75"/>
      <c r="BR658" s="75"/>
      <c r="BS658" s="75"/>
      <c r="BT658" s="75"/>
      <c r="BU658" s="75"/>
      <c r="BV658" s="75"/>
      <c r="BW658" s="75"/>
      <c r="BX658" s="75"/>
      <c r="BY658" s="75"/>
      <c r="BZ658" s="75"/>
      <c r="CA658" s="75"/>
      <c r="CB658" s="75"/>
      <c r="CC658" s="75"/>
      <c r="CD658" s="75"/>
      <c r="CE658" s="75"/>
      <c r="CF658" s="75"/>
      <c r="CG658" s="75"/>
      <c r="CH658" s="75"/>
      <c r="CI658" s="75"/>
      <c r="CJ658" s="75"/>
      <c r="CK658" s="75"/>
      <c r="CL658" s="75"/>
      <c r="CM658" s="75"/>
      <c r="CN658" s="75"/>
      <c r="CO658" s="75"/>
      <c r="CP658" s="75"/>
      <c r="CQ658" s="75"/>
      <c r="CR658" s="75"/>
      <c r="CS658" s="75"/>
      <c r="CT658" s="75"/>
      <c r="CU658" s="75"/>
      <c r="CV658" s="75"/>
      <c r="CW658" s="75"/>
      <c r="CX658" s="75"/>
      <c r="CY658" s="75"/>
      <c r="CZ658" s="75"/>
      <c r="DA658" s="75"/>
      <c r="DB658" s="75"/>
      <c r="DC658" s="75"/>
      <c r="DD658" s="75"/>
      <c r="DE658" s="75"/>
      <c r="DF658" s="75"/>
      <c r="DG658" s="75"/>
      <c r="DH658" s="75"/>
      <c r="DI658" s="75"/>
      <c r="DJ658" s="75"/>
      <c r="DK658" s="75"/>
      <c r="DL658" s="75"/>
      <c r="DM658" s="75"/>
      <c r="DN658" s="75"/>
      <c r="DO658" s="75"/>
      <c r="DP658" s="75"/>
      <c r="DQ658" s="75"/>
      <c r="DR658" s="75"/>
      <c r="DS658" s="75"/>
      <c r="DT658" s="75"/>
      <c r="DU658" s="75"/>
      <c r="DV658" s="75"/>
      <c r="DW658" s="75"/>
      <c r="DX658" s="75"/>
      <c r="DY658" s="75"/>
      <c r="DZ658" s="75"/>
      <c r="EA658" s="75"/>
      <c r="EB658" s="75"/>
      <c r="EC658" s="75"/>
      <c r="ED658" s="75"/>
      <c r="EE658" s="75"/>
      <c r="EF658" s="75"/>
      <c r="EG658" s="75"/>
      <c r="EH658" s="75"/>
      <c r="EI658" s="75"/>
      <c r="EJ658" s="75"/>
      <c r="EK658" s="75"/>
      <c r="EL658" s="75"/>
      <c r="EM658" s="75"/>
      <c r="EN658" s="75"/>
      <c r="EO658" s="75"/>
      <c r="EP658" s="75"/>
      <c r="EQ658" s="75"/>
      <c r="ER658" s="75"/>
      <c r="ES658" s="75"/>
      <c r="ET658" s="75"/>
      <c r="EU658" s="75"/>
      <c r="EV658" s="75"/>
      <c r="EW658" s="75"/>
      <c r="EX658" s="75"/>
      <c r="EY658" s="75"/>
      <c r="EZ658" s="75"/>
      <c r="FA658" s="75"/>
      <c r="FB658" s="75"/>
      <c r="FC658" s="75"/>
      <c r="FD658" s="75"/>
      <c r="FE658" s="75"/>
      <c r="FF658" s="75"/>
      <c r="FG658" s="75"/>
      <c r="FH658" s="75"/>
      <c r="FI658" s="75"/>
      <c r="FJ658" s="75"/>
      <c r="FK658" s="75"/>
      <c r="FL658" s="75"/>
      <c r="FM658" s="75"/>
      <c r="FN658" s="75"/>
      <c r="FO658" s="75"/>
      <c r="FP658" s="75"/>
      <c r="FQ658" s="75"/>
      <c r="FR658" s="75"/>
      <c r="FS658" s="75"/>
      <c r="FT658" s="75"/>
      <c r="FU658" s="75"/>
      <c r="FV658" s="75"/>
      <c r="FW658" s="75"/>
      <c r="FX658" s="75"/>
      <c r="FY658" s="75"/>
      <c r="FZ658" s="75"/>
      <c r="GA658" s="75"/>
      <c r="GB658" s="75"/>
      <c r="GC658" s="75"/>
      <c r="GD658" s="75"/>
      <c r="GE658" s="75"/>
      <c r="GF658" s="75"/>
      <c r="GG658" s="75"/>
      <c r="GH658" s="75"/>
      <c r="GI658" s="75"/>
      <c r="GJ658" s="75"/>
      <c r="GK658" s="75"/>
      <c r="GL658" s="75"/>
      <c r="GM658" s="75"/>
      <c r="GN658" s="75"/>
      <c r="GO658" s="75"/>
      <c r="GP658" s="75"/>
      <c r="GQ658" s="75"/>
      <c r="GR658" s="75"/>
      <c r="GS658" s="75"/>
      <c r="GT658" s="75"/>
      <c r="GU658" s="75"/>
      <c r="GV658" s="75"/>
      <c r="GW658" s="75"/>
      <c r="GX658" s="75"/>
      <c r="GY658" s="75"/>
      <c r="GZ658" s="75"/>
      <c r="HA658" s="75"/>
      <c r="HB658" s="75"/>
      <c r="HC658" s="75"/>
      <c r="HD658" s="75"/>
      <c r="HE658" s="75"/>
      <c r="HF658" s="75"/>
      <c r="HG658" s="75"/>
      <c r="HH658" s="75"/>
      <c r="HI658" s="75"/>
    </row>
    <row r="659" spans="1:16" ht="75.75" customHeight="1" hidden="1">
      <c r="A659" s="123" t="s">
        <v>189</v>
      </c>
      <c r="B659" s="123"/>
      <c r="C659" s="123"/>
      <c r="D659" s="124"/>
      <c r="E659" s="124"/>
      <c r="F659" s="124"/>
      <c r="G659" s="124"/>
      <c r="H659" s="124"/>
      <c r="I659" s="124"/>
      <c r="J659" s="124"/>
      <c r="K659" s="122"/>
      <c r="L659" s="125"/>
      <c r="M659" s="124"/>
      <c r="N659" s="124"/>
      <c r="O659" s="124"/>
      <c r="P659" s="124"/>
    </row>
    <row r="660" spans="1:16" ht="71.25" customHeight="1" hidden="1">
      <c r="A660" s="126" t="s">
        <v>430</v>
      </c>
      <c r="B660" s="126"/>
      <c r="C660" s="126"/>
      <c r="D660" s="127"/>
      <c r="E660" s="127">
        <f>SUM(E662:E665)-8.5</f>
        <v>156200</v>
      </c>
      <c r="F660" s="127">
        <f>E660</f>
        <v>156200</v>
      </c>
      <c r="G660" s="127"/>
      <c r="H660" s="127">
        <f>SUM(H662:H665)</f>
        <v>563170</v>
      </c>
      <c r="I660" s="127"/>
      <c r="J660" s="127">
        <f>SUM(J662:J665)</f>
        <v>563170</v>
      </c>
      <c r="K660" s="122"/>
      <c r="L660" s="125"/>
      <c r="M660" s="125"/>
      <c r="N660" s="127"/>
      <c r="O660" s="127">
        <f>SUM(O662:O665)</f>
        <v>597180</v>
      </c>
      <c r="P660" s="127">
        <f>SUM(P662:P665)</f>
        <v>597180</v>
      </c>
    </row>
    <row r="661" spans="1:16" ht="21.75" customHeight="1" hidden="1">
      <c r="A661" s="128" t="s">
        <v>2</v>
      </c>
      <c r="B661" s="126"/>
      <c r="C661" s="126"/>
      <c r="D661" s="127"/>
      <c r="E661" s="127"/>
      <c r="F661" s="127"/>
      <c r="G661" s="127"/>
      <c r="H661" s="127"/>
      <c r="I661" s="127"/>
      <c r="J661" s="127"/>
      <c r="K661" s="127"/>
      <c r="L661" s="125"/>
      <c r="M661" s="125"/>
      <c r="N661" s="127"/>
      <c r="O661" s="127"/>
      <c r="P661" s="127"/>
    </row>
    <row r="662" spans="1:16" ht="39" customHeight="1" hidden="1">
      <c r="A662" s="72" t="s">
        <v>190</v>
      </c>
      <c r="B662" s="126"/>
      <c r="C662" s="126"/>
      <c r="D662" s="122"/>
      <c r="E662" s="122">
        <f>E667*E672</f>
        <v>114300</v>
      </c>
      <c r="F662" s="122">
        <f>F667*F672</f>
        <v>114300</v>
      </c>
      <c r="G662" s="122"/>
      <c r="H662" s="122">
        <f>H667*H672</f>
        <v>508750</v>
      </c>
      <c r="I662" s="127"/>
      <c r="J662" s="122">
        <f>J667*J672</f>
        <v>508750</v>
      </c>
      <c r="K662" s="127"/>
      <c r="L662" s="125"/>
      <c r="M662" s="125"/>
      <c r="N662" s="122"/>
      <c r="O662" s="122">
        <f>O667*O672</f>
        <v>540000</v>
      </c>
      <c r="P662" s="122">
        <f>P667*P672</f>
        <v>540000</v>
      </c>
    </row>
    <row r="663" spans="1:16" ht="21.75" customHeight="1" hidden="1">
      <c r="A663" s="72" t="s">
        <v>191</v>
      </c>
      <c r="B663" s="126"/>
      <c r="C663" s="126"/>
      <c r="D663" s="122"/>
      <c r="E663" s="122">
        <f aca="true" t="shared" si="40" ref="E663:F665">E668*E673</f>
        <v>13335</v>
      </c>
      <c r="F663" s="122">
        <f t="shared" si="40"/>
        <v>13335</v>
      </c>
      <c r="G663" s="122"/>
      <c r="H663" s="122">
        <f>H668*H673</f>
        <v>16320</v>
      </c>
      <c r="I663" s="127"/>
      <c r="J663" s="122">
        <f>J668*J673</f>
        <v>16320</v>
      </c>
      <c r="K663" s="127"/>
      <c r="L663" s="125"/>
      <c r="M663" s="125"/>
      <c r="N663" s="122"/>
      <c r="O663" s="122">
        <f aca="true" t="shared" si="41" ref="O663:P665">O668*O673</f>
        <v>17280</v>
      </c>
      <c r="P663" s="122">
        <f t="shared" si="41"/>
        <v>17280</v>
      </c>
    </row>
    <row r="664" spans="1:16" ht="39.75" customHeight="1" hidden="1">
      <c r="A664" s="72" t="s">
        <v>192</v>
      </c>
      <c r="B664" s="126"/>
      <c r="C664" s="126"/>
      <c r="D664" s="122"/>
      <c r="E664" s="122">
        <f t="shared" si="40"/>
        <v>24253.5</v>
      </c>
      <c r="F664" s="122">
        <f t="shared" si="40"/>
        <v>24253.5</v>
      </c>
      <c r="G664" s="122"/>
      <c r="H664" s="122">
        <f>H669*H674</f>
        <v>33300</v>
      </c>
      <c r="I664" s="127"/>
      <c r="J664" s="122">
        <f>J669*J674</f>
        <v>33300</v>
      </c>
      <c r="K664" s="127"/>
      <c r="L664" s="125"/>
      <c r="M664" s="125"/>
      <c r="N664" s="122"/>
      <c r="O664" s="122">
        <f t="shared" si="41"/>
        <v>35100</v>
      </c>
      <c r="P664" s="122">
        <f t="shared" si="41"/>
        <v>35100</v>
      </c>
    </row>
    <row r="665" spans="1:16" ht="41.25" customHeight="1" hidden="1">
      <c r="A665" s="72" t="s">
        <v>193</v>
      </c>
      <c r="B665" s="126"/>
      <c r="C665" s="126"/>
      <c r="D665" s="122"/>
      <c r="E665" s="122">
        <f t="shared" si="40"/>
        <v>4320</v>
      </c>
      <c r="F665" s="122">
        <f t="shared" si="40"/>
        <v>4320</v>
      </c>
      <c r="G665" s="122"/>
      <c r="H665" s="122">
        <f>H670*H675</f>
        <v>4800</v>
      </c>
      <c r="I665" s="122"/>
      <c r="J665" s="122">
        <f>J670*J675</f>
        <v>4800</v>
      </c>
      <c r="K665" s="122"/>
      <c r="L665" s="129"/>
      <c r="M665" s="129"/>
      <c r="N665" s="122"/>
      <c r="O665" s="122">
        <f t="shared" si="41"/>
        <v>4800</v>
      </c>
      <c r="P665" s="122">
        <f t="shared" si="41"/>
        <v>4800</v>
      </c>
    </row>
    <row r="666" spans="1:16" ht="21.75" customHeight="1" hidden="1">
      <c r="A666" s="128" t="s">
        <v>3</v>
      </c>
      <c r="B666" s="128"/>
      <c r="C666" s="128"/>
      <c r="D666" s="130"/>
      <c r="E666" s="130"/>
      <c r="F666" s="122"/>
      <c r="G666" s="130"/>
      <c r="H666" s="130"/>
      <c r="I666" s="130"/>
      <c r="J666" s="122"/>
      <c r="K666" s="122"/>
      <c r="L666" s="130"/>
      <c r="M666" s="130"/>
      <c r="N666" s="130"/>
      <c r="O666" s="130"/>
      <c r="P666" s="122"/>
    </row>
    <row r="667" spans="1:16" ht="39" customHeight="1" hidden="1">
      <c r="A667" s="72" t="s">
        <v>149</v>
      </c>
      <c r="B667" s="131"/>
      <c r="C667" s="131"/>
      <c r="D667" s="132"/>
      <c r="E667" s="132">
        <f>230-170</f>
        <v>60</v>
      </c>
      <c r="F667" s="132">
        <f>E667</f>
        <v>60</v>
      </c>
      <c r="G667" s="132"/>
      <c r="H667" s="132">
        <f>60+160+30</f>
        <v>250</v>
      </c>
      <c r="I667" s="132"/>
      <c r="J667" s="132">
        <f>60+160+30</f>
        <v>250</v>
      </c>
      <c r="K667" s="132"/>
      <c r="L667" s="132"/>
      <c r="M667" s="132"/>
      <c r="N667" s="132"/>
      <c r="O667" s="132">
        <f>60+160+30</f>
        <v>250</v>
      </c>
      <c r="P667" s="132">
        <f>60+160+30</f>
        <v>250</v>
      </c>
    </row>
    <row r="668" spans="1:16" ht="21.75" customHeight="1" hidden="1">
      <c r="A668" s="72" t="s">
        <v>150</v>
      </c>
      <c r="B668" s="131"/>
      <c r="C668" s="131"/>
      <c r="D668" s="132"/>
      <c r="E668" s="132">
        <f>24-3</f>
        <v>21</v>
      </c>
      <c r="F668" s="132">
        <f>E668</f>
        <v>21</v>
      </c>
      <c r="G668" s="132"/>
      <c r="H668" s="132">
        <v>24</v>
      </c>
      <c r="I668" s="133"/>
      <c r="J668" s="132">
        <v>24</v>
      </c>
      <c r="K668" s="133"/>
      <c r="L668" s="133"/>
      <c r="M668" s="133"/>
      <c r="N668" s="132"/>
      <c r="O668" s="132">
        <v>24</v>
      </c>
      <c r="P668" s="132">
        <v>24</v>
      </c>
    </row>
    <row r="669" spans="1:16" ht="36" customHeight="1" hidden="1">
      <c r="A669" s="72" t="s">
        <v>151</v>
      </c>
      <c r="B669" s="131"/>
      <c r="C669" s="131"/>
      <c r="D669" s="132"/>
      <c r="E669" s="132">
        <f>90-19.7</f>
        <v>70.3</v>
      </c>
      <c r="F669" s="132">
        <f>E669</f>
        <v>70.3</v>
      </c>
      <c r="G669" s="132"/>
      <c r="H669" s="132">
        <v>90</v>
      </c>
      <c r="I669" s="132"/>
      <c r="J669" s="132">
        <v>90</v>
      </c>
      <c r="K669" s="132"/>
      <c r="L669" s="132"/>
      <c r="M669" s="132"/>
      <c r="N669" s="132"/>
      <c r="O669" s="132">
        <v>90</v>
      </c>
      <c r="P669" s="132">
        <v>90</v>
      </c>
    </row>
    <row r="670" spans="1:16" ht="21.75" customHeight="1" hidden="1">
      <c r="A670" s="72" t="s">
        <v>152</v>
      </c>
      <c r="B670" s="131"/>
      <c r="C670" s="131"/>
      <c r="D670" s="132"/>
      <c r="E670" s="132">
        <f>30-3</f>
        <v>27</v>
      </c>
      <c r="F670" s="132">
        <f>E670</f>
        <v>27</v>
      </c>
      <c r="G670" s="132"/>
      <c r="H670" s="132">
        <v>30</v>
      </c>
      <c r="I670" s="132"/>
      <c r="J670" s="132">
        <v>30</v>
      </c>
      <c r="K670" s="132"/>
      <c r="L670" s="132"/>
      <c r="M670" s="132"/>
      <c r="N670" s="132"/>
      <c r="O670" s="132">
        <v>30</v>
      </c>
      <c r="P670" s="132">
        <v>30</v>
      </c>
    </row>
    <row r="671" spans="1:16" ht="21.75" customHeight="1" hidden="1">
      <c r="A671" s="128" t="s">
        <v>5</v>
      </c>
      <c r="B671" s="128"/>
      <c r="C671" s="128"/>
      <c r="D671" s="134"/>
      <c r="E671" s="135"/>
      <c r="F671" s="135"/>
      <c r="G671" s="134"/>
      <c r="H671" s="135"/>
      <c r="I671" s="130"/>
      <c r="J671" s="135"/>
      <c r="K671" s="122"/>
      <c r="L671" s="130"/>
      <c r="M671" s="130"/>
      <c r="N671" s="134"/>
      <c r="O671" s="135"/>
      <c r="P671" s="135"/>
    </row>
    <row r="672" spans="1:16" ht="24" customHeight="1" hidden="1">
      <c r="A672" s="131" t="s">
        <v>194</v>
      </c>
      <c r="B672" s="131"/>
      <c r="C672" s="131"/>
      <c r="D672" s="136"/>
      <c r="E672" s="122">
        <v>1905</v>
      </c>
      <c r="F672" s="122">
        <f>E672</f>
        <v>1905</v>
      </c>
      <c r="G672" s="136"/>
      <c r="H672" s="122">
        <v>2035</v>
      </c>
      <c r="I672" s="129"/>
      <c r="J672" s="122">
        <f>H672</f>
        <v>2035</v>
      </c>
      <c r="K672" s="137"/>
      <c r="L672" s="138"/>
      <c r="M672" s="139"/>
      <c r="N672" s="136"/>
      <c r="O672" s="122">
        <v>2160</v>
      </c>
      <c r="P672" s="122">
        <f>O672</f>
        <v>2160</v>
      </c>
    </row>
    <row r="673" spans="1:16" ht="26.25" customHeight="1" hidden="1">
      <c r="A673" s="131" t="s">
        <v>195</v>
      </c>
      <c r="B673" s="131"/>
      <c r="C673" s="131"/>
      <c r="D673" s="136"/>
      <c r="E673" s="136">
        <v>635</v>
      </c>
      <c r="F673" s="122">
        <f>E673</f>
        <v>635</v>
      </c>
      <c r="G673" s="136"/>
      <c r="H673" s="136">
        <v>680</v>
      </c>
      <c r="I673" s="129"/>
      <c r="J673" s="122">
        <f>H673</f>
        <v>680</v>
      </c>
      <c r="K673" s="122"/>
      <c r="L673" s="129"/>
      <c r="M673" s="136"/>
      <c r="N673" s="136"/>
      <c r="O673" s="136">
        <v>720</v>
      </c>
      <c r="P673" s="122">
        <f>O673</f>
        <v>720</v>
      </c>
    </row>
    <row r="674" spans="1:16" ht="35.25" customHeight="1" hidden="1">
      <c r="A674" s="131" t="s">
        <v>196</v>
      </c>
      <c r="B674" s="131"/>
      <c r="C674" s="131"/>
      <c r="D674" s="136"/>
      <c r="E674" s="136">
        <v>345</v>
      </c>
      <c r="F674" s="122">
        <f>E674</f>
        <v>345</v>
      </c>
      <c r="G674" s="136"/>
      <c r="H674" s="136">
        <v>370</v>
      </c>
      <c r="I674" s="129"/>
      <c r="J674" s="122">
        <f>H674</f>
        <v>370</v>
      </c>
      <c r="K674" s="122"/>
      <c r="L674" s="129"/>
      <c r="M674" s="136"/>
      <c r="N674" s="136"/>
      <c r="O674" s="136">
        <v>390</v>
      </c>
      <c r="P674" s="122">
        <f>O674</f>
        <v>390</v>
      </c>
    </row>
    <row r="675" spans="1:16" ht="30.75" customHeight="1" hidden="1">
      <c r="A675" s="140" t="s">
        <v>197</v>
      </c>
      <c r="B675" s="140"/>
      <c r="C675" s="140"/>
      <c r="D675" s="141"/>
      <c r="E675" s="141">
        <v>160</v>
      </c>
      <c r="F675" s="142">
        <f>E675</f>
        <v>160</v>
      </c>
      <c r="G675" s="141"/>
      <c r="H675" s="141">
        <v>160</v>
      </c>
      <c r="I675" s="141"/>
      <c r="J675" s="142">
        <f>H675</f>
        <v>160</v>
      </c>
      <c r="K675" s="142"/>
      <c r="L675" s="143"/>
      <c r="M675" s="141"/>
      <c r="N675" s="141"/>
      <c r="O675" s="141">
        <v>160</v>
      </c>
      <c r="P675" s="142">
        <f>O675</f>
        <v>160</v>
      </c>
    </row>
    <row r="676" spans="1:16" ht="45" hidden="1">
      <c r="A676" s="35" t="s">
        <v>198</v>
      </c>
      <c r="B676" s="144"/>
      <c r="C676" s="144"/>
      <c r="D676" s="145"/>
      <c r="E676" s="145">
        <f>E678</f>
        <v>67200</v>
      </c>
      <c r="F676" s="145">
        <f>E676</f>
        <v>67200</v>
      </c>
      <c r="G676" s="145"/>
      <c r="H676" s="145">
        <f>H678</f>
        <v>67200</v>
      </c>
      <c r="I676" s="145"/>
      <c r="J676" s="145">
        <f>H676</f>
        <v>67200</v>
      </c>
      <c r="K676" s="145"/>
      <c r="L676" s="146"/>
      <c r="M676" s="146"/>
      <c r="N676" s="145"/>
      <c r="O676" s="145">
        <f>O678</f>
        <v>67200</v>
      </c>
      <c r="P676" s="145">
        <f>O676</f>
        <v>67200</v>
      </c>
    </row>
    <row r="677" spans="1:16" ht="21.75" customHeight="1" hidden="1">
      <c r="A677" s="259" t="s">
        <v>2</v>
      </c>
      <c r="B677" s="144"/>
      <c r="C677" s="144"/>
      <c r="D677" s="145"/>
      <c r="E677" s="145"/>
      <c r="F677" s="145"/>
      <c r="G677" s="145"/>
      <c r="H677" s="145"/>
      <c r="I677" s="145"/>
      <c r="J677" s="145"/>
      <c r="K677" s="145"/>
      <c r="L677" s="146"/>
      <c r="M677" s="146"/>
      <c r="N677" s="145"/>
      <c r="O677" s="145"/>
      <c r="P677" s="145"/>
    </row>
    <row r="678" spans="1:16" ht="21.75" customHeight="1" hidden="1">
      <c r="A678" s="6" t="s">
        <v>199</v>
      </c>
      <c r="B678" s="144"/>
      <c r="C678" s="144"/>
      <c r="D678" s="148"/>
      <c r="E678" s="148">
        <f>E680*E682</f>
        <v>67200</v>
      </c>
      <c r="F678" s="148">
        <f>E678</f>
        <v>67200</v>
      </c>
      <c r="G678" s="148"/>
      <c r="H678" s="148">
        <f>H680*H682</f>
        <v>67200</v>
      </c>
      <c r="I678" s="149"/>
      <c r="J678" s="148">
        <f>H678</f>
        <v>67200</v>
      </c>
      <c r="K678" s="149"/>
      <c r="L678" s="150"/>
      <c r="M678" s="150"/>
      <c r="N678" s="148"/>
      <c r="O678" s="148">
        <f>O680*O682</f>
        <v>67200</v>
      </c>
      <c r="P678" s="148">
        <f>O678</f>
        <v>67200</v>
      </c>
    </row>
    <row r="679" spans="1:16" ht="15" customHeight="1" hidden="1">
      <c r="A679" s="259" t="s">
        <v>3</v>
      </c>
      <c r="B679" s="147"/>
      <c r="C679" s="147"/>
      <c r="D679" s="150"/>
      <c r="E679" s="150"/>
      <c r="F679" s="148"/>
      <c r="G679" s="150"/>
      <c r="H679" s="150"/>
      <c r="I679" s="150"/>
      <c r="J679" s="148"/>
      <c r="K679" s="148"/>
      <c r="L679" s="150"/>
      <c r="M679" s="150"/>
      <c r="N679" s="150"/>
      <c r="O679" s="150"/>
      <c r="P679" s="148"/>
    </row>
    <row r="680" spans="1:16" ht="15" customHeight="1" hidden="1">
      <c r="A680" s="11" t="s">
        <v>200</v>
      </c>
      <c r="B680" s="151"/>
      <c r="C680" s="151"/>
      <c r="D680" s="152"/>
      <c r="E680" s="153">
        <v>12</v>
      </c>
      <c r="F680" s="153">
        <f>E680</f>
        <v>12</v>
      </c>
      <c r="G680" s="153"/>
      <c r="H680" s="153">
        <v>12</v>
      </c>
      <c r="I680" s="153"/>
      <c r="J680" s="153">
        <f>H680</f>
        <v>12</v>
      </c>
      <c r="K680" s="153" t="e">
        <f>G680/D680*100</f>
        <v>#DIV/0!</v>
      </c>
      <c r="L680" s="153"/>
      <c r="M680" s="153"/>
      <c r="N680" s="153"/>
      <c r="O680" s="153">
        <v>12</v>
      </c>
      <c r="P680" s="153">
        <f>O680</f>
        <v>12</v>
      </c>
    </row>
    <row r="681" spans="1:16" ht="14.25" customHeight="1" hidden="1">
      <c r="A681" s="259" t="s">
        <v>5</v>
      </c>
      <c r="B681" s="147"/>
      <c r="C681" s="147"/>
      <c r="D681" s="150"/>
      <c r="E681" s="150"/>
      <c r="F681" s="148"/>
      <c r="G681" s="150"/>
      <c r="H681" s="150"/>
      <c r="I681" s="150"/>
      <c r="J681" s="148"/>
      <c r="K681" s="148"/>
      <c r="L681" s="150"/>
      <c r="M681" s="150"/>
      <c r="N681" s="150"/>
      <c r="O681" s="150"/>
      <c r="P681" s="148"/>
    </row>
    <row r="682" spans="1:131" s="121" customFormat="1" ht="21.75" customHeight="1" hidden="1">
      <c r="A682" s="11" t="s">
        <v>201</v>
      </c>
      <c r="B682" s="151"/>
      <c r="C682" s="151"/>
      <c r="D682" s="154"/>
      <c r="E682" s="154">
        <v>5600</v>
      </c>
      <c r="F682" s="148">
        <f>E682</f>
        <v>5600</v>
      </c>
      <c r="G682" s="154"/>
      <c r="H682" s="154">
        <v>5600</v>
      </c>
      <c r="I682" s="154"/>
      <c r="J682" s="148">
        <f>H682</f>
        <v>5600</v>
      </c>
      <c r="K682" s="148" t="e">
        <f>G682/D682*100</f>
        <v>#DIV/0!</v>
      </c>
      <c r="L682" s="155"/>
      <c r="M682" s="154"/>
      <c r="N682" s="154"/>
      <c r="O682" s="154">
        <v>5600</v>
      </c>
      <c r="P682" s="148">
        <f>O682</f>
        <v>5600</v>
      </c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20"/>
      <c r="AV682" s="120"/>
      <c r="AW682" s="120"/>
      <c r="AX682" s="120"/>
      <c r="AY682" s="120"/>
      <c r="AZ682" s="120"/>
      <c r="BA682" s="120"/>
      <c r="BB682" s="120"/>
      <c r="BC682" s="120"/>
      <c r="BD682" s="120"/>
      <c r="BE682" s="120"/>
      <c r="BF682" s="120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20"/>
      <c r="BS682" s="120"/>
      <c r="BT682" s="120"/>
      <c r="BU682" s="120"/>
      <c r="BV682" s="120"/>
      <c r="BW682" s="120"/>
      <c r="BX682" s="120"/>
      <c r="BY682" s="120"/>
      <c r="BZ682" s="120"/>
      <c r="CA682" s="120"/>
      <c r="CB682" s="120"/>
      <c r="CC682" s="120"/>
      <c r="CD682" s="120"/>
      <c r="CE682" s="120"/>
      <c r="CF682" s="120"/>
      <c r="CG682" s="120"/>
      <c r="CH682" s="120"/>
      <c r="CI682" s="120"/>
      <c r="CJ682" s="120"/>
      <c r="CK682" s="120"/>
      <c r="CL682" s="120"/>
      <c r="CM682" s="120"/>
      <c r="CN682" s="120"/>
      <c r="CO682" s="120"/>
      <c r="CP682" s="120"/>
      <c r="CQ682" s="120"/>
      <c r="CR682" s="120"/>
      <c r="CS682" s="120"/>
      <c r="CT682" s="120"/>
      <c r="CU682" s="120"/>
      <c r="CV682" s="120"/>
      <c r="CW682" s="120"/>
      <c r="CX682" s="120"/>
      <c r="CY682" s="120"/>
      <c r="CZ682" s="120"/>
      <c r="DA682" s="120"/>
      <c r="DB682" s="120"/>
      <c r="DC682" s="120"/>
      <c r="DD682" s="120"/>
      <c r="DE682" s="120"/>
      <c r="DF682" s="120"/>
      <c r="DG682" s="120"/>
      <c r="DH682" s="120"/>
      <c r="DI682" s="120"/>
      <c r="DJ682" s="120"/>
      <c r="DK682" s="120"/>
      <c r="DL682" s="120"/>
      <c r="DM682" s="120"/>
      <c r="DN682" s="120"/>
      <c r="DO682" s="120"/>
      <c r="DP682" s="120"/>
      <c r="DQ682" s="120"/>
      <c r="DR682" s="120"/>
      <c r="DS682" s="120"/>
      <c r="DT682" s="120"/>
      <c r="DU682" s="120"/>
      <c r="DV682" s="120"/>
      <c r="DW682" s="120"/>
      <c r="DX682" s="120"/>
      <c r="DY682" s="120"/>
      <c r="DZ682" s="120"/>
      <c r="EA682" s="120"/>
    </row>
    <row r="683" spans="1:131" s="218" customFormat="1" ht="32.25" customHeight="1">
      <c r="A683" s="200" t="s">
        <v>480</v>
      </c>
      <c r="B683" s="216"/>
      <c r="C683" s="216"/>
      <c r="D683" s="220">
        <f>D685</f>
        <v>6127345.9957</v>
      </c>
      <c r="E683" s="220">
        <f aca="true" t="shared" si="42" ref="E683:P683">E685</f>
        <v>7499999.997843225</v>
      </c>
      <c r="F683" s="220">
        <f t="shared" si="42"/>
        <v>13627346.003543224</v>
      </c>
      <c r="G683" s="220">
        <f t="shared" si="42"/>
        <v>0</v>
      </c>
      <c r="H683" s="220">
        <f t="shared" si="42"/>
        <v>0</v>
      </c>
      <c r="I683" s="220">
        <f t="shared" si="42"/>
        <v>0</v>
      </c>
      <c r="J683" s="220">
        <f t="shared" si="42"/>
        <v>0</v>
      </c>
      <c r="K683" s="220">
        <f t="shared" si="42"/>
        <v>0</v>
      </c>
      <c r="L683" s="220">
        <f t="shared" si="42"/>
        <v>0</v>
      </c>
      <c r="M683" s="220">
        <f t="shared" si="42"/>
        <v>0</v>
      </c>
      <c r="N683" s="220">
        <f t="shared" si="42"/>
        <v>0</v>
      </c>
      <c r="O683" s="220">
        <f t="shared" si="42"/>
        <v>0</v>
      </c>
      <c r="P683" s="220">
        <f t="shared" si="42"/>
        <v>0</v>
      </c>
      <c r="Q683" s="217"/>
      <c r="R683" s="217"/>
      <c r="S683" s="217"/>
      <c r="T683" s="217"/>
      <c r="U683" s="217"/>
      <c r="V683" s="217"/>
      <c r="W683" s="217"/>
      <c r="X683" s="217"/>
      <c r="Y683" s="217"/>
      <c r="Z683" s="217"/>
      <c r="AA683" s="217"/>
      <c r="AB683" s="217"/>
      <c r="AC683" s="217"/>
      <c r="AD683" s="217"/>
      <c r="AE683" s="217"/>
      <c r="AF683" s="217"/>
      <c r="AG683" s="217"/>
      <c r="AH683" s="217"/>
      <c r="AI683" s="217"/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  <c r="AW683" s="217"/>
      <c r="AX683" s="217"/>
      <c r="AY683" s="217"/>
      <c r="AZ683" s="217"/>
      <c r="BA683" s="217"/>
      <c r="BB683" s="217"/>
      <c r="BC683" s="217"/>
      <c r="BD683" s="217"/>
      <c r="BE683" s="217"/>
      <c r="BF683" s="217"/>
      <c r="BG683" s="217"/>
      <c r="BH683" s="217"/>
      <c r="BI683" s="217"/>
      <c r="BJ683" s="217"/>
      <c r="BK683" s="217"/>
      <c r="BL683" s="217"/>
      <c r="BM683" s="217"/>
      <c r="BN683" s="217"/>
      <c r="BO683" s="217"/>
      <c r="BP683" s="217"/>
      <c r="BQ683" s="217"/>
      <c r="BR683" s="217"/>
      <c r="BS683" s="217"/>
      <c r="BT683" s="217"/>
      <c r="BU683" s="217"/>
      <c r="BV683" s="217"/>
      <c r="BW683" s="217"/>
      <c r="BX683" s="217"/>
      <c r="BY683" s="217"/>
      <c r="BZ683" s="217"/>
      <c r="CA683" s="217"/>
      <c r="CB683" s="217"/>
      <c r="CC683" s="217"/>
      <c r="CD683" s="217"/>
      <c r="CE683" s="217"/>
      <c r="CF683" s="217"/>
      <c r="CG683" s="217"/>
      <c r="CH683" s="217"/>
      <c r="CI683" s="217"/>
      <c r="CJ683" s="217"/>
      <c r="CK683" s="217"/>
      <c r="CL683" s="217"/>
      <c r="CM683" s="217"/>
      <c r="CN683" s="217"/>
      <c r="CO683" s="217"/>
      <c r="CP683" s="217"/>
      <c r="CQ683" s="217"/>
      <c r="CR683" s="217"/>
      <c r="CS683" s="217"/>
      <c r="CT683" s="217"/>
      <c r="CU683" s="217"/>
      <c r="CV683" s="217"/>
      <c r="CW683" s="217"/>
      <c r="CX683" s="217"/>
      <c r="CY683" s="217"/>
      <c r="CZ683" s="217"/>
      <c r="DA683" s="217"/>
      <c r="DB683" s="217"/>
      <c r="DC683" s="217"/>
      <c r="DD683" s="217"/>
      <c r="DE683" s="217"/>
      <c r="DF683" s="217"/>
      <c r="DG683" s="217"/>
      <c r="DH683" s="217"/>
      <c r="DI683" s="217"/>
      <c r="DJ683" s="217"/>
      <c r="DK683" s="217"/>
      <c r="DL683" s="217"/>
      <c r="DM683" s="217"/>
      <c r="DN683" s="217"/>
      <c r="DO683" s="217"/>
      <c r="DP683" s="217"/>
      <c r="DQ683" s="217"/>
      <c r="DR683" s="217"/>
      <c r="DS683" s="217"/>
      <c r="DT683" s="217"/>
      <c r="DU683" s="217"/>
      <c r="DV683" s="217"/>
      <c r="DW683" s="217"/>
      <c r="DX683" s="217"/>
      <c r="DY683" s="217"/>
      <c r="DZ683" s="217"/>
      <c r="EA683" s="217"/>
    </row>
    <row r="684" spans="1:131" s="228" customFormat="1" ht="24.75" customHeight="1">
      <c r="A684" s="72" t="s">
        <v>483</v>
      </c>
      <c r="B684" s="224"/>
      <c r="C684" s="224"/>
      <c r="D684" s="225"/>
      <c r="E684" s="226"/>
      <c r="F684" s="226"/>
      <c r="G684" s="226"/>
      <c r="H684" s="226"/>
      <c r="I684" s="226"/>
      <c r="J684" s="226"/>
      <c r="K684" s="226"/>
      <c r="L684" s="226"/>
      <c r="M684" s="226"/>
      <c r="N684" s="226"/>
      <c r="O684" s="226"/>
      <c r="P684" s="226"/>
      <c r="Q684" s="227"/>
      <c r="R684" s="227"/>
      <c r="S684" s="227"/>
      <c r="T684" s="227"/>
      <c r="U684" s="227"/>
      <c r="V684" s="227"/>
      <c r="W684" s="227"/>
      <c r="X684" s="227"/>
      <c r="Y684" s="227"/>
      <c r="Z684" s="227"/>
      <c r="AA684" s="227"/>
      <c r="AB684" s="227"/>
      <c r="AC684" s="227"/>
      <c r="AD684" s="227"/>
      <c r="AE684" s="227"/>
      <c r="AF684" s="227"/>
      <c r="AG684" s="227"/>
      <c r="AH684" s="227"/>
      <c r="AI684" s="227"/>
      <c r="AJ684" s="227"/>
      <c r="AK684" s="227"/>
      <c r="AL684" s="227"/>
      <c r="AM684" s="227"/>
      <c r="AN684" s="227"/>
      <c r="AO684" s="227"/>
      <c r="AP684" s="227"/>
      <c r="AQ684" s="227"/>
      <c r="AR684" s="227"/>
      <c r="AS684" s="227"/>
      <c r="AT684" s="227"/>
      <c r="AU684" s="227"/>
      <c r="AV684" s="227"/>
      <c r="AW684" s="227"/>
      <c r="AX684" s="227"/>
      <c r="AY684" s="227"/>
      <c r="AZ684" s="227"/>
      <c r="BA684" s="227"/>
      <c r="BB684" s="227"/>
      <c r="BC684" s="227"/>
      <c r="BD684" s="227"/>
      <c r="BE684" s="227"/>
      <c r="BF684" s="227"/>
      <c r="BG684" s="227"/>
      <c r="BH684" s="227"/>
      <c r="BI684" s="227"/>
      <c r="BJ684" s="227"/>
      <c r="BK684" s="227"/>
      <c r="BL684" s="227"/>
      <c r="BM684" s="227"/>
      <c r="BN684" s="227"/>
      <c r="BO684" s="227"/>
      <c r="BP684" s="227"/>
      <c r="BQ684" s="227"/>
      <c r="BR684" s="227"/>
      <c r="BS684" s="227"/>
      <c r="BT684" s="227"/>
      <c r="BU684" s="227"/>
      <c r="BV684" s="227"/>
      <c r="BW684" s="227"/>
      <c r="BX684" s="227"/>
      <c r="BY684" s="227"/>
      <c r="BZ684" s="227"/>
      <c r="CA684" s="227"/>
      <c r="CB684" s="227"/>
      <c r="CC684" s="227"/>
      <c r="CD684" s="227"/>
      <c r="CE684" s="227"/>
      <c r="CF684" s="227"/>
      <c r="CG684" s="227"/>
      <c r="CH684" s="227"/>
      <c r="CI684" s="227"/>
      <c r="CJ684" s="227"/>
      <c r="CK684" s="227"/>
      <c r="CL684" s="227"/>
      <c r="CM684" s="227"/>
      <c r="CN684" s="227"/>
      <c r="CO684" s="227"/>
      <c r="CP684" s="227"/>
      <c r="CQ684" s="227"/>
      <c r="CR684" s="227"/>
      <c r="CS684" s="227"/>
      <c r="CT684" s="227"/>
      <c r="CU684" s="227"/>
      <c r="CV684" s="227"/>
      <c r="CW684" s="227"/>
      <c r="CX684" s="227"/>
      <c r="CY684" s="227"/>
      <c r="CZ684" s="227"/>
      <c r="DA684" s="227"/>
      <c r="DB684" s="227"/>
      <c r="DC684" s="227"/>
      <c r="DD684" s="227"/>
      <c r="DE684" s="227"/>
      <c r="DF684" s="227"/>
      <c r="DG684" s="227"/>
      <c r="DH684" s="227"/>
      <c r="DI684" s="227"/>
      <c r="DJ684" s="227"/>
      <c r="DK684" s="227"/>
      <c r="DL684" s="227"/>
      <c r="DM684" s="227"/>
      <c r="DN684" s="227"/>
      <c r="DO684" s="227"/>
      <c r="DP684" s="227"/>
      <c r="DQ684" s="227"/>
      <c r="DR684" s="227"/>
      <c r="DS684" s="227"/>
      <c r="DT684" s="227"/>
      <c r="DU684" s="227"/>
      <c r="DV684" s="227"/>
      <c r="DW684" s="227"/>
      <c r="DX684" s="227"/>
      <c r="DY684" s="227"/>
      <c r="DZ684" s="227"/>
      <c r="EA684" s="227"/>
    </row>
    <row r="685" spans="1:131" s="197" customFormat="1" ht="51.75" customHeight="1">
      <c r="A685" s="194" t="s">
        <v>559</v>
      </c>
      <c r="B685" s="221"/>
      <c r="C685" s="221"/>
      <c r="D685" s="223">
        <f>D686+D691</f>
        <v>6127345.9957</v>
      </c>
      <c r="E685" s="223">
        <f>E686+E691</f>
        <v>7499999.997843225</v>
      </c>
      <c r="F685" s="223">
        <f>D685+E685+0.01</f>
        <v>13627346.003543224</v>
      </c>
      <c r="G685" s="223">
        <f>G686+G696</f>
        <v>0</v>
      </c>
      <c r="H685" s="223">
        <f>H686</f>
        <v>0</v>
      </c>
      <c r="I685" s="223">
        <f>I686+I696</f>
        <v>0</v>
      </c>
      <c r="J685" s="223">
        <f>G685+H685</f>
        <v>0</v>
      </c>
      <c r="K685" s="223">
        <f>K686+K696</f>
        <v>0</v>
      </c>
      <c r="L685" s="223">
        <f>L686+L696</f>
        <v>0</v>
      </c>
      <c r="M685" s="223">
        <f>M686+M696</f>
        <v>0</v>
      </c>
      <c r="N685" s="223">
        <f>N686+N696</f>
        <v>0</v>
      </c>
      <c r="O685" s="223">
        <f>O686</f>
        <v>0</v>
      </c>
      <c r="P685" s="223">
        <f>N685+O685</f>
        <v>0</v>
      </c>
      <c r="Q685" s="196"/>
      <c r="R685" s="196"/>
      <c r="S685" s="196"/>
      <c r="T685" s="196"/>
      <c r="U685" s="196"/>
      <c r="V685" s="196"/>
      <c r="W685" s="196"/>
      <c r="X685" s="196"/>
      <c r="Y685" s="196"/>
      <c r="Z685" s="196"/>
      <c r="AA685" s="196"/>
      <c r="AB685" s="196"/>
      <c r="AC685" s="196"/>
      <c r="AD685" s="196"/>
      <c r="AE685" s="196"/>
      <c r="AF685" s="196"/>
      <c r="AG685" s="196"/>
      <c r="AH685" s="196"/>
      <c r="AI685" s="196"/>
      <c r="AJ685" s="196"/>
      <c r="AK685" s="196"/>
      <c r="AL685" s="196"/>
      <c r="AM685" s="196"/>
      <c r="AN685" s="196"/>
      <c r="AO685" s="196"/>
      <c r="AP685" s="196"/>
      <c r="AQ685" s="196"/>
      <c r="AR685" s="196"/>
      <c r="AS685" s="196"/>
      <c r="AT685" s="196"/>
      <c r="AU685" s="196"/>
      <c r="AV685" s="196"/>
      <c r="AW685" s="196"/>
      <c r="AX685" s="196"/>
      <c r="AY685" s="196"/>
      <c r="AZ685" s="196"/>
      <c r="BA685" s="196"/>
      <c r="BB685" s="196"/>
      <c r="BC685" s="196"/>
      <c r="BD685" s="196"/>
      <c r="BE685" s="196"/>
      <c r="BF685" s="196"/>
      <c r="BG685" s="196"/>
      <c r="BH685" s="196"/>
      <c r="BI685" s="196"/>
      <c r="BJ685" s="196"/>
      <c r="BK685" s="196"/>
      <c r="BL685" s="196"/>
      <c r="BM685" s="196"/>
      <c r="BN685" s="196"/>
      <c r="BO685" s="196"/>
      <c r="BP685" s="196"/>
      <c r="BQ685" s="196"/>
      <c r="BR685" s="196"/>
      <c r="BS685" s="196"/>
      <c r="BT685" s="196"/>
      <c r="BU685" s="196"/>
      <c r="BV685" s="196"/>
      <c r="BW685" s="196"/>
      <c r="BX685" s="196"/>
      <c r="BY685" s="196"/>
      <c r="BZ685" s="196"/>
      <c r="CA685" s="196"/>
      <c r="CB685" s="196"/>
      <c r="CC685" s="196"/>
      <c r="CD685" s="196"/>
      <c r="CE685" s="196"/>
      <c r="CF685" s="196"/>
      <c r="CG685" s="196"/>
      <c r="CH685" s="196"/>
      <c r="CI685" s="196"/>
      <c r="CJ685" s="196"/>
      <c r="CK685" s="196"/>
      <c r="CL685" s="196"/>
      <c r="CM685" s="196"/>
      <c r="CN685" s="196"/>
      <c r="CO685" s="196"/>
      <c r="CP685" s="196"/>
      <c r="CQ685" s="196"/>
      <c r="CR685" s="196"/>
      <c r="CS685" s="196"/>
      <c r="CT685" s="196"/>
      <c r="CU685" s="196"/>
      <c r="CV685" s="196"/>
      <c r="CW685" s="196"/>
      <c r="CX685" s="196"/>
      <c r="CY685" s="196"/>
      <c r="CZ685" s="196"/>
      <c r="DA685" s="196"/>
      <c r="DB685" s="196"/>
      <c r="DC685" s="196"/>
      <c r="DD685" s="196"/>
      <c r="DE685" s="196"/>
      <c r="DF685" s="196"/>
      <c r="DG685" s="196"/>
      <c r="DH685" s="196"/>
      <c r="DI685" s="196"/>
      <c r="DJ685" s="196"/>
      <c r="DK685" s="196"/>
      <c r="DL685" s="196"/>
      <c r="DM685" s="196"/>
      <c r="DN685" s="196"/>
      <c r="DO685" s="196"/>
      <c r="DP685" s="196"/>
      <c r="DQ685" s="196"/>
      <c r="DR685" s="196"/>
      <c r="DS685" s="196"/>
      <c r="DT685" s="196"/>
      <c r="DU685" s="196"/>
      <c r="DV685" s="196"/>
      <c r="DW685" s="196"/>
      <c r="DX685" s="196"/>
      <c r="DY685" s="196"/>
      <c r="DZ685" s="196"/>
      <c r="EA685" s="196"/>
    </row>
    <row r="686" spans="1:131" s="27" customFormat="1" ht="38.25" customHeight="1">
      <c r="A686" s="85" t="s">
        <v>564</v>
      </c>
      <c r="B686" s="35"/>
      <c r="C686" s="35"/>
      <c r="D686" s="32">
        <f>D688*D690+0.08</f>
        <v>6127345.9957</v>
      </c>
      <c r="E686" s="32"/>
      <c r="F686" s="32">
        <f aca="true" t="shared" si="43" ref="F685:F695">D686+E686</f>
        <v>6127345.9957</v>
      </c>
      <c r="G686" s="31"/>
      <c r="H686" s="31"/>
      <c r="I686" s="31"/>
      <c r="J686" s="31">
        <f>H686</f>
        <v>0</v>
      </c>
      <c r="K686" s="31"/>
      <c r="L686" s="31"/>
      <c r="M686" s="31"/>
      <c r="N686" s="31"/>
      <c r="O686" s="31"/>
      <c r="P686" s="31">
        <f>O686</f>
        <v>0</v>
      </c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</row>
    <row r="687" spans="1:131" s="27" customFormat="1" ht="21" customHeight="1">
      <c r="A687" s="3" t="s">
        <v>3</v>
      </c>
      <c r="B687" s="35"/>
      <c r="C687" s="35"/>
      <c r="D687" s="30"/>
      <c r="E687" s="119"/>
      <c r="F687" s="32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</row>
    <row r="688" spans="1:131" s="27" customFormat="1" ht="21.75" customHeight="1">
      <c r="A688" s="6" t="s">
        <v>560</v>
      </c>
      <c r="B688" s="35"/>
      <c r="C688" s="35"/>
      <c r="D688" s="30">
        <v>3013.9429</v>
      </c>
      <c r="E688" s="119"/>
      <c r="F688" s="32">
        <f>D688+E688</f>
        <v>3013.9429</v>
      </c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</row>
    <row r="689" spans="1:131" s="27" customFormat="1" ht="22.5" customHeight="1">
      <c r="A689" s="259" t="s">
        <v>5</v>
      </c>
      <c r="B689" s="35"/>
      <c r="C689" s="35"/>
      <c r="D689" s="30"/>
      <c r="E689" s="30"/>
      <c r="F689" s="32">
        <f>D689+E689</f>
        <v>0</v>
      </c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</row>
    <row r="690" spans="1:131" s="27" customFormat="1" ht="25.5" customHeight="1">
      <c r="A690" s="6" t="s">
        <v>561</v>
      </c>
      <c r="B690" s="35"/>
      <c r="C690" s="35"/>
      <c r="D690" s="30">
        <v>2033</v>
      </c>
      <c r="E690" s="30"/>
      <c r="F690" s="32">
        <f>D690+E690</f>
        <v>2033</v>
      </c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</row>
    <row r="691" spans="1:131" s="27" customFormat="1" ht="33.75">
      <c r="A691" s="85" t="s">
        <v>565</v>
      </c>
      <c r="B691" s="35"/>
      <c r="C691" s="35"/>
      <c r="D691" s="32">
        <f>D693*D695</f>
        <v>0</v>
      </c>
      <c r="E691" s="32">
        <f>E693*E695</f>
        <v>7499999.997843225</v>
      </c>
      <c r="F691" s="32">
        <f>D691+E691</f>
        <v>7499999.997843225</v>
      </c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</row>
    <row r="692" spans="1:16" ht="16.5" customHeight="1">
      <c r="A692" s="3" t="s">
        <v>3</v>
      </c>
      <c r="B692" s="11"/>
      <c r="C692" s="11"/>
      <c r="D692" s="30"/>
      <c r="E692" s="30"/>
      <c r="F692" s="32">
        <f t="shared" si="43"/>
        <v>0</v>
      </c>
      <c r="G692" s="30"/>
      <c r="H692" s="30"/>
      <c r="I692" s="30"/>
      <c r="J692" s="30"/>
      <c r="K692" s="30"/>
      <c r="L692" s="30"/>
      <c r="M692" s="30"/>
      <c r="N692" s="30"/>
      <c r="O692" s="30"/>
      <c r="P692" s="30"/>
    </row>
    <row r="693" spans="1:16" ht="24.75" customHeight="1">
      <c r="A693" s="6" t="s">
        <v>562</v>
      </c>
      <c r="B693" s="11"/>
      <c r="C693" s="11"/>
      <c r="D693" s="30">
        <v>0</v>
      </c>
      <c r="E693" s="30">
        <v>327818.8376</v>
      </c>
      <c r="F693" s="32">
        <f t="shared" si="43"/>
        <v>327818.8376</v>
      </c>
      <c r="G693" s="30"/>
      <c r="H693" s="119"/>
      <c r="I693" s="119"/>
      <c r="J693" s="119">
        <f>H693</f>
        <v>0</v>
      </c>
      <c r="K693" s="119"/>
      <c r="L693" s="119"/>
      <c r="M693" s="119"/>
      <c r="N693" s="119"/>
      <c r="O693" s="119"/>
      <c r="P693" s="119">
        <v>0</v>
      </c>
    </row>
    <row r="694" spans="1:16" ht="17.25" customHeight="1">
      <c r="A694" s="259" t="s">
        <v>5</v>
      </c>
      <c r="B694" s="11"/>
      <c r="C694" s="11"/>
      <c r="D694" s="30"/>
      <c r="E694" s="30"/>
      <c r="F694" s="32">
        <f t="shared" si="43"/>
        <v>0</v>
      </c>
      <c r="G694" s="30"/>
      <c r="H694" s="30"/>
      <c r="I694" s="30"/>
      <c r="J694" s="30"/>
      <c r="K694" s="30"/>
      <c r="L694" s="30"/>
      <c r="M694" s="30"/>
      <c r="N694" s="30"/>
      <c r="O694" s="30"/>
      <c r="P694" s="30"/>
    </row>
    <row r="695" spans="1:16" ht="22.5" customHeight="1">
      <c r="A695" s="6" t="s">
        <v>563</v>
      </c>
      <c r="B695" s="11"/>
      <c r="C695" s="11"/>
      <c r="D695" s="5">
        <v>0</v>
      </c>
      <c r="E695" s="5">
        <v>22.87849</v>
      </c>
      <c r="F695" s="32">
        <f t="shared" si="43"/>
        <v>22.87849</v>
      </c>
      <c r="G695" s="30"/>
      <c r="H695" s="30"/>
      <c r="I695" s="30"/>
      <c r="J695" s="30">
        <f>H695</f>
        <v>0</v>
      </c>
      <c r="K695" s="30"/>
      <c r="L695" s="30"/>
      <c r="M695" s="30"/>
      <c r="N695" s="30"/>
      <c r="O695" s="30"/>
      <c r="P695" s="30">
        <v>0</v>
      </c>
    </row>
    <row r="696" spans="1:131" s="218" customFormat="1" ht="32.25" customHeight="1" hidden="1">
      <c r="A696" s="200" t="s">
        <v>148</v>
      </c>
      <c r="B696" s="216"/>
      <c r="C696" s="216"/>
      <c r="D696" s="220">
        <f>D698</f>
        <v>0</v>
      </c>
      <c r="E696" s="220">
        <f aca="true" t="shared" si="44" ref="E696:P696">E698</f>
        <v>2207600</v>
      </c>
      <c r="F696" s="220">
        <f t="shared" si="44"/>
        <v>2207600</v>
      </c>
      <c r="G696" s="220">
        <f t="shared" si="44"/>
        <v>0</v>
      </c>
      <c r="H696" s="220">
        <f t="shared" si="44"/>
        <v>1900000</v>
      </c>
      <c r="I696" s="220">
        <f t="shared" si="44"/>
        <v>0</v>
      </c>
      <c r="J696" s="220">
        <f t="shared" si="44"/>
        <v>1900000</v>
      </c>
      <c r="K696" s="220">
        <f t="shared" si="44"/>
        <v>0</v>
      </c>
      <c r="L696" s="220">
        <f t="shared" si="44"/>
        <v>0</v>
      </c>
      <c r="M696" s="220">
        <f t="shared" si="44"/>
        <v>0</v>
      </c>
      <c r="N696" s="220">
        <f t="shared" si="44"/>
        <v>0</v>
      </c>
      <c r="O696" s="220">
        <f t="shared" si="44"/>
        <v>2050000</v>
      </c>
      <c r="P696" s="220">
        <f t="shared" si="44"/>
        <v>2050000</v>
      </c>
      <c r="Q696" s="217"/>
      <c r="R696" s="217"/>
      <c r="S696" s="217"/>
      <c r="T696" s="217"/>
      <c r="U696" s="217"/>
      <c r="V696" s="217"/>
      <c r="W696" s="217"/>
      <c r="X696" s="217"/>
      <c r="Y696" s="217"/>
      <c r="Z696" s="217"/>
      <c r="AA696" s="217"/>
      <c r="AB696" s="217"/>
      <c r="AC696" s="217"/>
      <c r="AD696" s="217"/>
      <c r="AE696" s="217"/>
      <c r="AF696" s="217"/>
      <c r="AG696" s="217"/>
      <c r="AH696" s="217"/>
      <c r="AI696" s="217"/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  <c r="AW696" s="217"/>
      <c r="AX696" s="217"/>
      <c r="AY696" s="217"/>
      <c r="AZ696" s="217"/>
      <c r="BA696" s="217"/>
      <c r="BB696" s="217"/>
      <c r="BC696" s="217"/>
      <c r="BD696" s="217"/>
      <c r="BE696" s="217"/>
      <c r="BF696" s="217"/>
      <c r="BG696" s="217"/>
      <c r="BH696" s="217"/>
      <c r="BI696" s="217"/>
      <c r="BJ696" s="217"/>
      <c r="BK696" s="217"/>
      <c r="BL696" s="217"/>
      <c r="BM696" s="217"/>
      <c r="BN696" s="217"/>
      <c r="BO696" s="217"/>
      <c r="BP696" s="217"/>
      <c r="BQ696" s="217"/>
      <c r="BR696" s="217"/>
      <c r="BS696" s="217"/>
      <c r="BT696" s="217"/>
      <c r="BU696" s="217"/>
      <c r="BV696" s="217"/>
      <c r="BW696" s="217"/>
      <c r="BX696" s="217"/>
      <c r="BY696" s="217"/>
      <c r="BZ696" s="217"/>
      <c r="CA696" s="217"/>
      <c r="CB696" s="217"/>
      <c r="CC696" s="217"/>
      <c r="CD696" s="217"/>
      <c r="CE696" s="217"/>
      <c r="CF696" s="217"/>
      <c r="CG696" s="217"/>
      <c r="CH696" s="217"/>
      <c r="CI696" s="217"/>
      <c r="CJ696" s="217"/>
      <c r="CK696" s="217"/>
      <c r="CL696" s="217"/>
      <c r="CM696" s="217"/>
      <c r="CN696" s="217"/>
      <c r="CO696" s="217"/>
      <c r="CP696" s="217"/>
      <c r="CQ696" s="217"/>
      <c r="CR696" s="217"/>
      <c r="CS696" s="217"/>
      <c r="CT696" s="217"/>
      <c r="CU696" s="217"/>
      <c r="CV696" s="217"/>
      <c r="CW696" s="217"/>
      <c r="CX696" s="217"/>
      <c r="CY696" s="217"/>
      <c r="CZ696" s="217"/>
      <c r="DA696" s="217"/>
      <c r="DB696" s="217"/>
      <c r="DC696" s="217"/>
      <c r="DD696" s="217"/>
      <c r="DE696" s="217"/>
      <c r="DF696" s="217"/>
      <c r="DG696" s="217"/>
      <c r="DH696" s="217"/>
      <c r="DI696" s="217"/>
      <c r="DJ696" s="217"/>
      <c r="DK696" s="217"/>
      <c r="DL696" s="217"/>
      <c r="DM696" s="217"/>
      <c r="DN696" s="217"/>
      <c r="DO696" s="217"/>
      <c r="DP696" s="217"/>
      <c r="DQ696" s="217"/>
      <c r="DR696" s="217"/>
      <c r="DS696" s="217"/>
      <c r="DT696" s="217"/>
      <c r="DU696" s="217"/>
      <c r="DV696" s="217"/>
      <c r="DW696" s="217"/>
      <c r="DX696" s="217"/>
      <c r="DY696" s="217"/>
      <c r="DZ696" s="217"/>
      <c r="EA696" s="217"/>
    </row>
    <row r="697" spans="1:131" s="228" customFormat="1" ht="32.25" customHeight="1" hidden="1">
      <c r="A697" s="72" t="s">
        <v>279</v>
      </c>
      <c r="B697" s="224"/>
      <c r="C697" s="224"/>
      <c r="D697" s="225"/>
      <c r="E697" s="226"/>
      <c r="F697" s="226"/>
      <c r="G697" s="226"/>
      <c r="H697" s="226"/>
      <c r="I697" s="226"/>
      <c r="J697" s="226"/>
      <c r="K697" s="226"/>
      <c r="L697" s="226"/>
      <c r="M697" s="226"/>
      <c r="N697" s="226"/>
      <c r="O697" s="226"/>
      <c r="P697" s="226"/>
      <c r="Q697" s="227"/>
      <c r="R697" s="227"/>
      <c r="S697" s="227"/>
      <c r="T697" s="227"/>
      <c r="U697" s="227"/>
      <c r="V697" s="227"/>
      <c r="W697" s="227"/>
      <c r="X697" s="227"/>
      <c r="Y697" s="227"/>
      <c r="Z697" s="227"/>
      <c r="AA697" s="227"/>
      <c r="AB697" s="227"/>
      <c r="AC697" s="227"/>
      <c r="AD697" s="227"/>
      <c r="AE697" s="227"/>
      <c r="AF697" s="227"/>
      <c r="AG697" s="227"/>
      <c r="AH697" s="227"/>
      <c r="AI697" s="227"/>
      <c r="AJ697" s="227"/>
      <c r="AK697" s="227"/>
      <c r="AL697" s="227"/>
      <c r="AM697" s="227"/>
      <c r="AN697" s="227"/>
      <c r="AO697" s="227"/>
      <c r="AP697" s="227"/>
      <c r="AQ697" s="227"/>
      <c r="AR697" s="227"/>
      <c r="AS697" s="227"/>
      <c r="AT697" s="227"/>
      <c r="AU697" s="227"/>
      <c r="AV697" s="227"/>
      <c r="AW697" s="227"/>
      <c r="AX697" s="227"/>
      <c r="AY697" s="227"/>
      <c r="AZ697" s="227"/>
      <c r="BA697" s="227"/>
      <c r="BB697" s="227"/>
      <c r="BC697" s="227"/>
      <c r="BD697" s="227"/>
      <c r="BE697" s="227"/>
      <c r="BF697" s="227"/>
      <c r="BG697" s="227"/>
      <c r="BH697" s="227"/>
      <c r="BI697" s="227"/>
      <c r="BJ697" s="227"/>
      <c r="BK697" s="227"/>
      <c r="BL697" s="227"/>
      <c r="BM697" s="227"/>
      <c r="BN697" s="227"/>
      <c r="BO697" s="227"/>
      <c r="BP697" s="227"/>
      <c r="BQ697" s="227"/>
      <c r="BR697" s="227"/>
      <c r="BS697" s="227"/>
      <c r="BT697" s="227"/>
      <c r="BU697" s="227"/>
      <c r="BV697" s="227"/>
      <c r="BW697" s="227"/>
      <c r="BX697" s="227"/>
      <c r="BY697" s="227"/>
      <c r="BZ697" s="227"/>
      <c r="CA697" s="227"/>
      <c r="CB697" s="227"/>
      <c r="CC697" s="227"/>
      <c r="CD697" s="227"/>
      <c r="CE697" s="227"/>
      <c r="CF697" s="227"/>
      <c r="CG697" s="227"/>
      <c r="CH697" s="227"/>
      <c r="CI697" s="227"/>
      <c r="CJ697" s="227"/>
      <c r="CK697" s="227"/>
      <c r="CL697" s="227"/>
      <c r="CM697" s="227"/>
      <c r="CN697" s="227"/>
      <c r="CO697" s="227"/>
      <c r="CP697" s="227"/>
      <c r="CQ697" s="227"/>
      <c r="CR697" s="227"/>
      <c r="CS697" s="227"/>
      <c r="CT697" s="227"/>
      <c r="CU697" s="227"/>
      <c r="CV697" s="227"/>
      <c r="CW697" s="227"/>
      <c r="CX697" s="227"/>
      <c r="CY697" s="227"/>
      <c r="CZ697" s="227"/>
      <c r="DA697" s="227"/>
      <c r="DB697" s="227"/>
      <c r="DC697" s="227"/>
      <c r="DD697" s="227"/>
      <c r="DE697" s="227"/>
      <c r="DF697" s="227"/>
      <c r="DG697" s="227"/>
      <c r="DH697" s="227"/>
      <c r="DI697" s="227"/>
      <c r="DJ697" s="227"/>
      <c r="DK697" s="227"/>
      <c r="DL697" s="227"/>
      <c r="DM697" s="227"/>
      <c r="DN697" s="227"/>
      <c r="DO697" s="227"/>
      <c r="DP697" s="227"/>
      <c r="DQ697" s="227"/>
      <c r="DR697" s="227"/>
      <c r="DS697" s="227"/>
      <c r="DT697" s="227"/>
      <c r="DU697" s="227"/>
      <c r="DV697" s="227"/>
      <c r="DW697" s="227"/>
      <c r="DX697" s="227"/>
      <c r="DY697" s="227"/>
      <c r="DZ697" s="227"/>
      <c r="EA697" s="227"/>
    </row>
    <row r="698" spans="1:131" s="197" customFormat="1" ht="32.25" customHeight="1" hidden="1">
      <c r="A698" s="195" t="s">
        <v>481</v>
      </c>
      <c r="B698" s="221"/>
      <c r="C698" s="221"/>
      <c r="D698" s="223">
        <f>D699+D706</f>
        <v>0</v>
      </c>
      <c r="E698" s="223">
        <f>E699+E706</f>
        <v>2207600</v>
      </c>
      <c r="F698" s="223">
        <f>D698+E698</f>
        <v>2207600</v>
      </c>
      <c r="G698" s="223">
        <f>G699+G706</f>
        <v>0</v>
      </c>
      <c r="H698" s="223">
        <f>H699+H706</f>
        <v>1900000</v>
      </c>
      <c r="I698" s="223">
        <f>I699+I706</f>
        <v>0</v>
      </c>
      <c r="J698" s="223">
        <f>G698+H698</f>
        <v>1900000</v>
      </c>
      <c r="K698" s="223">
        <f>K699+K706</f>
        <v>0</v>
      </c>
      <c r="L698" s="223">
        <f>L699+L706</f>
        <v>0</v>
      </c>
      <c r="M698" s="223">
        <f>M699+M706</f>
        <v>0</v>
      </c>
      <c r="N698" s="223">
        <f>N699+N706</f>
        <v>0</v>
      </c>
      <c r="O698" s="223">
        <f>O699+O706</f>
        <v>2050000</v>
      </c>
      <c r="P698" s="223">
        <f>N698+O698</f>
        <v>2050000</v>
      </c>
      <c r="Q698" s="196"/>
      <c r="R698" s="196"/>
      <c r="S698" s="196"/>
      <c r="T698" s="196"/>
      <c r="U698" s="196"/>
      <c r="V698" s="196"/>
      <c r="W698" s="196"/>
      <c r="X698" s="196"/>
      <c r="Y698" s="196"/>
      <c r="Z698" s="196"/>
      <c r="AA698" s="196"/>
      <c r="AB698" s="196"/>
      <c r="AC698" s="196"/>
      <c r="AD698" s="196"/>
      <c r="AE698" s="196"/>
      <c r="AF698" s="196"/>
      <c r="AG698" s="196"/>
      <c r="AH698" s="196"/>
      <c r="AI698" s="196"/>
      <c r="AJ698" s="196"/>
      <c r="AK698" s="196"/>
      <c r="AL698" s="196"/>
      <c r="AM698" s="196"/>
      <c r="AN698" s="196"/>
      <c r="AO698" s="196"/>
      <c r="AP698" s="196"/>
      <c r="AQ698" s="196"/>
      <c r="AR698" s="196"/>
      <c r="AS698" s="196"/>
      <c r="AT698" s="196"/>
      <c r="AU698" s="196"/>
      <c r="AV698" s="196"/>
      <c r="AW698" s="196"/>
      <c r="AX698" s="196"/>
      <c r="AY698" s="196"/>
      <c r="AZ698" s="196"/>
      <c r="BA698" s="196"/>
      <c r="BB698" s="196"/>
      <c r="BC698" s="196"/>
      <c r="BD698" s="196"/>
      <c r="BE698" s="196"/>
      <c r="BF698" s="196"/>
      <c r="BG698" s="196"/>
      <c r="BH698" s="196"/>
      <c r="BI698" s="196"/>
      <c r="BJ698" s="196"/>
      <c r="BK698" s="196"/>
      <c r="BL698" s="196"/>
      <c r="BM698" s="196"/>
      <c r="BN698" s="196"/>
      <c r="BO698" s="196"/>
      <c r="BP698" s="196"/>
      <c r="BQ698" s="196"/>
      <c r="BR698" s="196"/>
      <c r="BS698" s="196"/>
      <c r="BT698" s="196"/>
      <c r="BU698" s="196"/>
      <c r="BV698" s="196"/>
      <c r="BW698" s="196"/>
      <c r="BX698" s="196"/>
      <c r="BY698" s="196"/>
      <c r="BZ698" s="196"/>
      <c r="CA698" s="196"/>
      <c r="CB698" s="196"/>
      <c r="CC698" s="196"/>
      <c r="CD698" s="196"/>
      <c r="CE698" s="196"/>
      <c r="CF698" s="196"/>
      <c r="CG698" s="196"/>
      <c r="CH698" s="196"/>
      <c r="CI698" s="196"/>
      <c r="CJ698" s="196"/>
      <c r="CK698" s="196"/>
      <c r="CL698" s="196"/>
      <c r="CM698" s="196"/>
      <c r="CN698" s="196"/>
      <c r="CO698" s="196"/>
      <c r="CP698" s="196"/>
      <c r="CQ698" s="196"/>
      <c r="CR698" s="196"/>
      <c r="CS698" s="196"/>
      <c r="CT698" s="196"/>
      <c r="CU698" s="196"/>
      <c r="CV698" s="196"/>
      <c r="CW698" s="196"/>
      <c r="CX698" s="196"/>
      <c r="CY698" s="196"/>
      <c r="CZ698" s="196"/>
      <c r="DA698" s="196"/>
      <c r="DB698" s="196"/>
      <c r="DC698" s="196"/>
      <c r="DD698" s="196"/>
      <c r="DE698" s="196"/>
      <c r="DF698" s="196"/>
      <c r="DG698" s="196"/>
      <c r="DH698" s="196"/>
      <c r="DI698" s="196"/>
      <c r="DJ698" s="196"/>
      <c r="DK698" s="196"/>
      <c r="DL698" s="196"/>
      <c r="DM698" s="196"/>
      <c r="DN698" s="196"/>
      <c r="DO698" s="196"/>
      <c r="DP698" s="196"/>
      <c r="DQ698" s="196"/>
      <c r="DR698" s="196"/>
      <c r="DS698" s="196"/>
      <c r="DT698" s="196"/>
      <c r="DU698" s="196"/>
      <c r="DV698" s="196"/>
      <c r="DW698" s="196"/>
      <c r="DX698" s="196"/>
      <c r="DY698" s="196"/>
      <c r="DZ698" s="196"/>
      <c r="EA698" s="196"/>
    </row>
    <row r="699" spans="1:131" s="27" customFormat="1" ht="38.25" customHeight="1" hidden="1">
      <c r="A699" s="85" t="s">
        <v>482</v>
      </c>
      <c r="B699" s="35"/>
      <c r="C699" s="35"/>
      <c r="D699" s="31"/>
      <c r="E699" s="31">
        <f>E701</f>
        <v>300000</v>
      </c>
      <c r="F699" s="31">
        <f>E699</f>
        <v>300000</v>
      </c>
      <c r="G699" s="31"/>
      <c r="H699" s="31">
        <f>H701</f>
        <v>300000</v>
      </c>
      <c r="I699" s="31"/>
      <c r="J699" s="31">
        <f>H699</f>
        <v>300000</v>
      </c>
      <c r="K699" s="31"/>
      <c r="L699" s="31"/>
      <c r="M699" s="31"/>
      <c r="N699" s="31"/>
      <c r="O699" s="31">
        <f>O701</f>
        <v>350000</v>
      </c>
      <c r="P699" s="31">
        <f>O699</f>
        <v>350000</v>
      </c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</row>
    <row r="700" spans="1:16" ht="13.5" customHeight="1" hidden="1">
      <c r="A700" s="10" t="s">
        <v>2</v>
      </c>
      <c r="B700" s="11"/>
      <c r="C700" s="11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</row>
    <row r="701" spans="1:16" ht="26.25" customHeight="1" hidden="1">
      <c r="A701" s="260" t="s">
        <v>258</v>
      </c>
      <c r="B701" s="11"/>
      <c r="C701" s="11"/>
      <c r="D701" s="30"/>
      <c r="E701" s="30">
        <f>250000+50000</f>
        <v>300000</v>
      </c>
      <c r="F701" s="30">
        <f>E701</f>
        <v>300000</v>
      </c>
      <c r="G701" s="30"/>
      <c r="H701" s="30">
        <v>300000</v>
      </c>
      <c r="I701" s="30"/>
      <c r="J701" s="30">
        <f>H701</f>
        <v>300000</v>
      </c>
      <c r="K701" s="30"/>
      <c r="L701" s="30"/>
      <c r="M701" s="30"/>
      <c r="N701" s="30"/>
      <c r="O701" s="30">
        <v>350000</v>
      </c>
      <c r="P701" s="30">
        <f>O701</f>
        <v>350000</v>
      </c>
    </row>
    <row r="702" spans="1:16" ht="16.5" customHeight="1" hidden="1">
      <c r="A702" s="3" t="s">
        <v>3</v>
      </c>
      <c r="B702" s="11"/>
      <c r="C702" s="11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</row>
    <row r="703" spans="1:16" ht="24.75" customHeight="1" hidden="1">
      <c r="A703" s="6" t="s">
        <v>158</v>
      </c>
      <c r="B703" s="11"/>
      <c r="C703" s="11"/>
      <c r="D703" s="30"/>
      <c r="E703" s="119">
        <f>E701/E705</f>
        <v>214.28571428571428</v>
      </c>
      <c r="F703" s="119">
        <f>E703</f>
        <v>214.28571428571428</v>
      </c>
      <c r="G703" s="30"/>
      <c r="H703" s="119">
        <f>H701/H705</f>
        <v>200.80321285140562</v>
      </c>
      <c r="I703" s="119"/>
      <c r="J703" s="119">
        <f>H703</f>
        <v>200.80321285140562</v>
      </c>
      <c r="K703" s="119"/>
      <c r="L703" s="119"/>
      <c r="M703" s="119"/>
      <c r="N703" s="119"/>
      <c r="O703" s="119">
        <f>O701/O705</f>
        <v>220.95959595959596</v>
      </c>
      <c r="P703" s="119">
        <f>P701/P705</f>
        <v>220.95959595959596</v>
      </c>
    </row>
    <row r="704" spans="1:16" ht="17.25" customHeight="1" hidden="1">
      <c r="A704" s="259" t="s">
        <v>5</v>
      </c>
      <c r="B704" s="11"/>
      <c r="C704" s="11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</row>
    <row r="705" spans="1:16" ht="15" customHeight="1" hidden="1">
      <c r="A705" s="6" t="s">
        <v>259</v>
      </c>
      <c r="B705" s="11"/>
      <c r="C705" s="11"/>
      <c r="D705" s="30"/>
      <c r="E705" s="30">
        <v>1400</v>
      </c>
      <c r="F705" s="30">
        <f>E705</f>
        <v>1400</v>
      </c>
      <c r="G705" s="30"/>
      <c r="H705" s="30">
        <v>1494</v>
      </c>
      <c r="I705" s="30"/>
      <c r="J705" s="30">
        <f>H705</f>
        <v>1494</v>
      </c>
      <c r="K705" s="30"/>
      <c r="L705" s="30"/>
      <c r="M705" s="30"/>
      <c r="N705" s="30"/>
      <c r="O705" s="30">
        <v>1584</v>
      </c>
      <c r="P705" s="30">
        <v>1584</v>
      </c>
    </row>
    <row r="706" spans="1:131" s="87" customFormat="1" ht="33.75" customHeight="1" hidden="1">
      <c r="A706" s="85" t="s">
        <v>484</v>
      </c>
      <c r="B706" s="126"/>
      <c r="C706" s="126"/>
      <c r="D706" s="124"/>
      <c r="E706" s="124">
        <f>E708</f>
        <v>1907600</v>
      </c>
      <c r="F706" s="124">
        <f>E706</f>
        <v>1907600</v>
      </c>
      <c r="G706" s="124"/>
      <c r="H706" s="124">
        <f>H708</f>
        <v>1600000</v>
      </c>
      <c r="I706" s="124"/>
      <c r="J706" s="124">
        <f>H706</f>
        <v>1600000</v>
      </c>
      <c r="K706" s="124"/>
      <c r="L706" s="124"/>
      <c r="M706" s="124"/>
      <c r="N706" s="124"/>
      <c r="O706" s="124">
        <f>O708</f>
        <v>1700000</v>
      </c>
      <c r="P706" s="124">
        <f>O706</f>
        <v>1700000</v>
      </c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  <c r="AG706" s="118"/>
      <c r="AH706" s="118"/>
      <c r="AI706" s="118"/>
      <c r="AJ706" s="118"/>
      <c r="AK706" s="118"/>
      <c r="AL706" s="118"/>
      <c r="AM706" s="118"/>
      <c r="AN706" s="118"/>
      <c r="AO706" s="118"/>
      <c r="AP706" s="118"/>
      <c r="AQ706" s="118"/>
      <c r="AR706" s="118"/>
      <c r="AS706" s="118"/>
      <c r="AT706" s="118"/>
      <c r="AU706" s="118"/>
      <c r="AV706" s="118"/>
      <c r="AW706" s="118"/>
      <c r="AX706" s="118"/>
      <c r="AY706" s="118"/>
      <c r="AZ706" s="118"/>
      <c r="BA706" s="118"/>
      <c r="BB706" s="118"/>
      <c r="BC706" s="118"/>
      <c r="BD706" s="118"/>
      <c r="BE706" s="118"/>
      <c r="BF706" s="118"/>
      <c r="BG706" s="118"/>
      <c r="BH706" s="118"/>
      <c r="BI706" s="118"/>
      <c r="BJ706" s="118"/>
      <c r="BK706" s="118"/>
      <c r="BL706" s="118"/>
      <c r="BM706" s="118"/>
      <c r="BN706" s="118"/>
      <c r="BO706" s="118"/>
      <c r="BP706" s="118"/>
      <c r="BQ706" s="118"/>
      <c r="BR706" s="118"/>
      <c r="BS706" s="118"/>
      <c r="BT706" s="118"/>
      <c r="BU706" s="118"/>
      <c r="BV706" s="118"/>
      <c r="BW706" s="118"/>
      <c r="BX706" s="118"/>
      <c r="BY706" s="118"/>
      <c r="BZ706" s="118"/>
      <c r="CA706" s="118"/>
      <c r="CB706" s="118"/>
      <c r="CC706" s="118"/>
      <c r="CD706" s="118"/>
      <c r="CE706" s="118"/>
      <c r="CF706" s="118"/>
      <c r="CG706" s="118"/>
      <c r="CH706" s="118"/>
      <c r="CI706" s="118"/>
      <c r="CJ706" s="118"/>
      <c r="CK706" s="118"/>
      <c r="CL706" s="118"/>
      <c r="CM706" s="118"/>
      <c r="CN706" s="118"/>
      <c r="CO706" s="118"/>
      <c r="CP706" s="118"/>
      <c r="CQ706" s="118"/>
      <c r="CR706" s="118"/>
      <c r="CS706" s="118"/>
      <c r="CT706" s="118"/>
      <c r="CU706" s="118"/>
      <c r="CV706" s="118"/>
      <c r="CW706" s="118"/>
      <c r="CX706" s="118"/>
      <c r="CY706" s="118"/>
      <c r="CZ706" s="118"/>
      <c r="DA706" s="118"/>
      <c r="DB706" s="118"/>
      <c r="DC706" s="118"/>
      <c r="DD706" s="118"/>
      <c r="DE706" s="118"/>
      <c r="DF706" s="118"/>
      <c r="DG706" s="118"/>
      <c r="DH706" s="118"/>
      <c r="DI706" s="118"/>
      <c r="DJ706" s="118"/>
      <c r="DK706" s="118"/>
      <c r="DL706" s="118"/>
      <c r="DM706" s="118"/>
      <c r="DN706" s="118"/>
      <c r="DO706" s="118"/>
      <c r="DP706" s="118"/>
      <c r="DQ706" s="118"/>
      <c r="DR706" s="118"/>
      <c r="DS706" s="118"/>
      <c r="DT706" s="118"/>
      <c r="DU706" s="118"/>
      <c r="DV706" s="118"/>
      <c r="DW706" s="118"/>
      <c r="DX706" s="118"/>
      <c r="DY706" s="118"/>
      <c r="DZ706" s="118"/>
      <c r="EA706" s="118"/>
    </row>
    <row r="707" spans="1:16" ht="15" customHeight="1" hidden="1">
      <c r="A707" s="10" t="s">
        <v>2</v>
      </c>
      <c r="B707" s="11"/>
      <c r="C707" s="11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</row>
    <row r="708" spans="1:16" ht="24.75" customHeight="1" hidden="1">
      <c r="A708" s="260" t="s">
        <v>23</v>
      </c>
      <c r="B708" s="11"/>
      <c r="C708" s="11"/>
      <c r="D708" s="30"/>
      <c r="E708" s="30">
        <f>1500000+407600</f>
        <v>1907600</v>
      </c>
      <c r="F708" s="30">
        <f>E708</f>
        <v>1907600</v>
      </c>
      <c r="G708" s="30"/>
      <c r="H708" s="30">
        <v>1600000</v>
      </c>
      <c r="I708" s="30"/>
      <c r="J708" s="30">
        <f>H708</f>
        <v>1600000</v>
      </c>
      <c r="K708" s="30"/>
      <c r="L708" s="30"/>
      <c r="M708" s="30"/>
      <c r="N708" s="30"/>
      <c r="O708" s="30">
        <v>1700000</v>
      </c>
      <c r="P708" s="30">
        <f>O708</f>
        <v>1700000</v>
      </c>
    </row>
    <row r="709" spans="1:16" ht="15" customHeight="1" hidden="1">
      <c r="A709" s="3" t="s">
        <v>3</v>
      </c>
      <c r="B709" s="11"/>
      <c r="C709" s="11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</row>
    <row r="710" spans="1:16" ht="28.5" customHeight="1" hidden="1">
      <c r="A710" s="6" t="s">
        <v>63</v>
      </c>
      <c r="B710" s="11"/>
      <c r="C710" s="11"/>
      <c r="D710" s="30"/>
      <c r="E710" s="30">
        <v>13</v>
      </c>
      <c r="F710" s="30">
        <f>E710</f>
        <v>13</v>
      </c>
      <c r="G710" s="30"/>
      <c r="H710" s="30">
        <v>9</v>
      </c>
      <c r="I710" s="30"/>
      <c r="J710" s="30">
        <f>H710</f>
        <v>9</v>
      </c>
      <c r="K710" s="30"/>
      <c r="L710" s="30"/>
      <c r="M710" s="30"/>
      <c r="N710" s="30"/>
      <c r="O710" s="30">
        <v>9</v>
      </c>
      <c r="P710" s="30">
        <f>O710</f>
        <v>9</v>
      </c>
    </row>
    <row r="711" spans="1:16" ht="15" customHeight="1" hidden="1">
      <c r="A711" s="3" t="s">
        <v>5</v>
      </c>
      <c r="B711" s="11"/>
      <c r="C711" s="11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</row>
    <row r="712" spans="1:16" ht="35.25" customHeight="1" hidden="1">
      <c r="A712" s="6" t="s">
        <v>280</v>
      </c>
      <c r="B712" s="11"/>
      <c r="C712" s="11"/>
      <c r="D712" s="30"/>
      <c r="E712" s="30">
        <f>E708/E710</f>
        <v>146738.46153846153</v>
      </c>
      <c r="F712" s="30">
        <f>E712</f>
        <v>146738.46153846153</v>
      </c>
      <c r="G712" s="30"/>
      <c r="H712" s="30">
        <f>H708/H710</f>
        <v>177777.77777777778</v>
      </c>
      <c r="I712" s="30"/>
      <c r="J712" s="30">
        <f>H712</f>
        <v>177777.77777777778</v>
      </c>
      <c r="K712" s="30"/>
      <c r="L712" s="30"/>
      <c r="M712" s="30"/>
      <c r="N712" s="30"/>
      <c r="O712" s="30">
        <f>O708/O710</f>
        <v>188888.88888888888</v>
      </c>
      <c r="P712" s="30">
        <f>O712</f>
        <v>188888.88888888888</v>
      </c>
    </row>
    <row r="713" spans="1:131" s="203" customFormat="1" ht="27.75" customHeight="1" hidden="1">
      <c r="A713" s="200" t="s">
        <v>127</v>
      </c>
      <c r="B713" s="200"/>
      <c r="C713" s="200"/>
      <c r="D713" s="201">
        <f>D715</f>
        <v>2943659</v>
      </c>
      <c r="E713" s="201">
        <f>E715</f>
        <v>85000</v>
      </c>
      <c r="F713" s="201">
        <f>F715</f>
        <v>3028659</v>
      </c>
      <c r="G713" s="201">
        <f>G715</f>
        <v>320100</v>
      </c>
      <c r="H713" s="201"/>
      <c r="I713" s="201">
        <f>I715</f>
        <v>0</v>
      </c>
      <c r="J713" s="201">
        <f>G713</f>
        <v>320100</v>
      </c>
      <c r="K713" s="201" t="e">
        <f>#REF!+K715</f>
        <v>#REF!</v>
      </c>
      <c r="L713" s="201" t="e">
        <f>#REF!+L715</f>
        <v>#REF!</v>
      </c>
      <c r="M713" s="201" t="e">
        <f>#REF!+M715</f>
        <v>#REF!</v>
      </c>
      <c r="N713" s="201">
        <f>N715</f>
        <v>339300</v>
      </c>
      <c r="O713" s="201"/>
      <c r="P713" s="201">
        <f>N713+O713</f>
        <v>339300</v>
      </c>
      <c r="Q713" s="202"/>
      <c r="R713" s="202"/>
      <c r="S713" s="202"/>
      <c r="T713" s="202"/>
      <c r="U713" s="202"/>
      <c r="V713" s="202"/>
      <c r="W713" s="202"/>
      <c r="X713" s="202"/>
      <c r="Y713" s="202"/>
      <c r="Z713" s="202"/>
      <c r="AA713" s="202"/>
      <c r="AB713" s="202"/>
      <c r="AC713" s="202"/>
      <c r="AD713" s="202"/>
      <c r="AE713" s="202"/>
      <c r="AF713" s="202"/>
      <c r="AG713" s="202"/>
      <c r="AH713" s="202"/>
      <c r="AI713" s="202"/>
      <c r="AJ713" s="202"/>
      <c r="AK713" s="202"/>
      <c r="AL713" s="202"/>
      <c r="AM713" s="202"/>
      <c r="AN713" s="202"/>
      <c r="AO713" s="202"/>
      <c r="AP713" s="202"/>
      <c r="AQ713" s="202"/>
      <c r="AR713" s="202"/>
      <c r="AS713" s="202"/>
      <c r="AT713" s="202"/>
      <c r="AU713" s="202"/>
      <c r="AV713" s="202"/>
      <c r="AW713" s="202"/>
      <c r="AX713" s="202"/>
      <c r="AY713" s="202"/>
      <c r="AZ713" s="202"/>
      <c r="BA713" s="202"/>
      <c r="BB713" s="202"/>
      <c r="BC713" s="202"/>
      <c r="BD713" s="202"/>
      <c r="BE713" s="202"/>
      <c r="BF713" s="202"/>
      <c r="BG713" s="202"/>
      <c r="BH713" s="202"/>
      <c r="BI713" s="202"/>
      <c r="BJ713" s="202"/>
      <c r="BK713" s="202"/>
      <c r="BL713" s="202"/>
      <c r="BM713" s="202"/>
      <c r="BN713" s="202"/>
      <c r="BO713" s="202"/>
      <c r="BP713" s="202"/>
      <c r="BQ713" s="202"/>
      <c r="BR713" s="202"/>
      <c r="BS713" s="202"/>
      <c r="BT713" s="202"/>
      <c r="BU713" s="202"/>
      <c r="BV713" s="202"/>
      <c r="BW713" s="202"/>
      <c r="BX713" s="202"/>
      <c r="BY713" s="202"/>
      <c r="BZ713" s="202"/>
      <c r="CA713" s="202"/>
      <c r="CB713" s="202"/>
      <c r="CC713" s="202"/>
      <c r="CD713" s="202"/>
      <c r="CE713" s="202"/>
      <c r="CF713" s="202"/>
      <c r="CG713" s="202"/>
      <c r="CH713" s="202"/>
      <c r="CI713" s="202"/>
      <c r="CJ713" s="202"/>
      <c r="CK713" s="202"/>
      <c r="CL713" s="202"/>
      <c r="CM713" s="202"/>
      <c r="CN713" s="202"/>
      <c r="CO713" s="202"/>
      <c r="CP713" s="202"/>
      <c r="CQ713" s="202"/>
      <c r="CR713" s="202"/>
      <c r="CS713" s="202"/>
      <c r="CT713" s="202"/>
      <c r="CU713" s="202"/>
      <c r="CV713" s="202"/>
      <c r="CW713" s="202"/>
      <c r="CX713" s="202"/>
      <c r="CY713" s="202"/>
      <c r="CZ713" s="202"/>
      <c r="DA713" s="202"/>
      <c r="DB713" s="202"/>
      <c r="DC713" s="202"/>
      <c r="DD713" s="202"/>
      <c r="DE713" s="202"/>
      <c r="DF713" s="202"/>
      <c r="DG713" s="202"/>
      <c r="DH713" s="202"/>
      <c r="DI713" s="202"/>
      <c r="DJ713" s="202"/>
      <c r="DK713" s="202"/>
      <c r="DL713" s="202"/>
      <c r="DM713" s="202"/>
      <c r="DN713" s="202"/>
      <c r="DO713" s="202"/>
      <c r="DP713" s="202"/>
      <c r="DQ713" s="202"/>
      <c r="DR713" s="202"/>
      <c r="DS713" s="202"/>
      <c r="DT713" s="202"/>
      <c r="DU713" s="202"/>
      <c r="DV713" s="202"/>
      <c r="DW713" s="202"/>
      <c r="DX713" s="202"/>
      <c r="DY713" s="202"/>
      <c r="DZ713" s="202"/>
      <c r="EA713" s="202"/>
    </row>
    <row r="714" spans="1:131" s="76" customFormat="1" ht="34.5" customHeight="1" hidden="1">
      <c r="A714" s="72" t="s">
        <v>188</v>
      </c>
      <c r="B714" s="83"/>
      <c r="C714" s="83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75"/>
      <c r="R714" s="75"/>
      <c r="S714" s="75"/>
      <c r="T714" s="75"/>
      <c r="U714" s="75"/>
      <c r="V714" s="75"/>
      <c r="W714" s="75"/>
      <c r="X714" s="75"/>
      <c r="Y714" s="75"/>
      <c r="Z714" s="75"/>
      <c r="AA714" s="75"/>
      <c r="AB714" s="75"/>
      <c r="AC714" s="75"/>
      <c r="AD714" s="75"/>
      <c r="AE714" s="75"/>
      <c r="AF714" s="75"/>
      <c r="AG714" s="75"/>
      <c r="AH714" s="75"/>
      <c r="AI714" s="75"/>
      <c r="AJ714" s="75"/>
      <c r="AK714" s="75"/>
      <c r="AL714" s="75"/>
      <c r="AM714" s="75"/>
      <c r="AN714" s="75"/>
      <c r="AO714" s="75"/>
      <c r="AP714" s="75"/>
      <c r="AQ714" s="75"/>
      <c r="AR714" s="75"/>
      <c r="AS714" s="75"/>
      <c r="AT714" s="75"/>
      <c r="AU714" s="75"/>
      <c r="AV714" s="75"/>
      <c r="AW714" s="75"/>
      <c r="AX714" s="75"/>
      <c r="AY714" s="75"/>
      <c r="AZ714" s="75"/>
      <c r="BA714" s="75"/>
      <c r="BB714" s="75"/>
      <c r="BC714" s="75"/>
      <c r="BD714" s="75"/>
      <c r="BE714" s="75"/>
      <c r="BF714" s="75"/>
      <c r="BG714" s="75"/>
      <c r="BH714" s="75"/>
      <c r="BI714" s="75"/>
      <c r="BJ714" s="75"/>
      <c r="BK714" s="75"/>
      <c r="BL714" s="75"/>
      <c r="BM714" s="75"/>
      <c r="BN714" s="75"/>
      <c r="BO714" s="75"/>
      <c r="BP714" s="75"/>
      <c r="BQ714" s="75"/>
      <c r="BR714" s="75"/>
      <c r="BS714" s="75"/>
      <c r="BT714" s="75"/>
      <c r="BU714" s="75"/>
      <c r="BV714" s="75"/>
      <c r="BW714" s="75"/>
      <c r="BX714" s="75"/>
      <c r="BY714" s="75"/>
      <c r="BZ714" s="75"/>
      <c r="CA714" s="75"/>
      <c r="CB714" s="75"/>
      <c r="CC714" s="75"/>
      <c r="CD714" s="75"/>
      <c r="CE714" s="75"/>
      <c r="CF714" s="75"/>
      <c r="CG714" s="75"/>
      <c r="CH714" s="75"/>
      <c r="CI714" s="75"/>
      <c r="CJ714" s="75"/>
      <c r="CK714" s="75"/>
      <c r="CL714" s="75"/>
      <c r="CM714" s="75"/>
      <c r="CN714" s="75"/>
      <c r="CO714" s="75"/>
      <c r="CP714" s="75"/>
      <c r="CQ714" s="75"/>
      <c r="CR714" s="75"/>
      <c r="CS714" s="75"/>
      <c r="CT714" s="75"/>
      <c r="CU714" s="75"/>
      <c r="CV714" s="75"/>
      <c r="CW714" s="75"/>
      <c r="CX714" s="75"/>
      <c r="CY714" s="75"/>
      <c r="CZ714" s="75"/>
      <c r="DA714" s="75"/>
      <c r="DB714" s="75"/>
      <c r="DC714" s="75"/>
      <c r="DD714" s="75"/>
      <c r="DE714" s="75"/>
      <c r="DF714" s="75"/>
      <c r="DG714" s="75"/>
      <c r="DH714" s="75"/>
      <c r="DI714" s="75"/>
      <c r="DJ714" s="75"/>
      <c r="DK714" s="75"/>
      <c r="DL714" s="75"/>
      <c r="DM714" s="75"/>
      <c r="DN714" s="75"/>
      <c r="DO714" s="75"/>
      <c r="DP714" s="75"/>
      <c r="DQ714" s="75"/>
      <c r="DR714" s="75"/>
      <c r="DS714" s="75"/>
      <c r="DT714" s="75"/>
      <c r="DU714" s="75"/>
      <c r="DV714" s="75"/>
      <c r="DW714" s="75"/>
      <c r="DX714" s="75"/>
      <c r="DY714" s="75"/>
      <c r="DZ714" s="75"/>
      <c r="EA714" s="75"/>
    </row>
    <row r="715" spans="1:131" s="230" customFormat="1" ht="44.25" customHeight="1" hidden="1">
      <c r="A715" s="194" t="s">
        <v>485</v>
      </c>
      <c r="B715" s="195"/>
      <c r="C715" s="195"/>
      <c r="D715" s="193">
        <f>D717</f>
        <v>2943659</v>
      </c>
      <c r="E715" s="193">
        <f>E717</f>
        <v>85000</v>
      </c>
      <c r="F715" s="193">
        <f>D715+E715</f>
        <v>3028659</v>
      </c>
      <c r="G715" s="193">
        <f>G717</f>
        <v>320100</v>
      </c>
      <c r="H715" s="193"/>
      <c r="I715" s="193">
        <f>I717</f>
        <v>0</v>
      </c>
      <c r="J715" s="193">
        <f>G715</f>
        <v>320100</v>
      </c>
      <c r="K715" s="193"/>
      <c r="L715" s="193"/>
      <c r="M715" s="193"/>
      <c r="N715" s="193">
        <f>N717</f>
        <v>339300</v>
      </c>
      <c r="O715" s="193"/>
      <c r="P715" s="193">
        <f>N715+O715</f>
        <v>339300</v>
      </c>
      <c r="Q715" s="229"/>
      <c r="R715" s="229"/>
      <c r="S715" s="229"/>
      <c r="T715" s="229"/>
      <c r="U715" s="229"/>
      <c r="V715" s="229"/>
      <c r="W715" s="229"/>
      <c r="X715" s="229"/>
      <c r="Y715" s="229"/>
      <c r="Z715" s="229"/>
      <c r="AA715" s="229"/>
      <c r="AB715" s="229"/>
      <c r="AC715" s="229"/>
      <c r="AD715" s="229"/>
      <c r="AE715" s="229"/>
      <c r="AF715" s="229"/>
      <c r="AG715" s="229"/>
      <c r="AH715" s="229"/>
      <c r="AI715" s="229"/>
      <c r="AJ715" s="229"/>
      <c r="AK715" s="229"/>
      <c r="AL715" s="229"/>
      <c r="AM715" s="229"/>
      <c r="AN715" s="229"/>
      <c r="AO715" s="229"/>
      <c r="AP715" s="229"/>
      <c r="AQ715" s="229"/>
      <c r="AR715" s="229"/>
      <c r="AS715" s="229"/>
      <c r="AT715" s="229"/>
      <c r="AU715" s="229"/>
      <c r="AV715" s="229"/>
      <c r="AW715" s="229"/>
      <c r="AX715" s="229"/>
      <c r="AY715" s="229"/>
      <c r="AZ715" s="229"/>
      <c r="BA715" s="229"/>
      <c r="BB715" s="229"/>
      <c r="BC715" s="229"/>
      <c r="BD715" s="229"/>
      <c r="BE715" s="229"/>
      <c r="BF715" s="229"/>
      <c r="BG715" s="229"/>
      <c r="BH715" s="229"/>
      <c r="BI715" s="229"/>
      <c r="BJ715" s="229"/>
      <c r="BK715" s="229"/>
      <c r="BL715" s="229"/>
      <c r="BM715" s="229"/>
      <c r="BN715" s="229"/>
      <c r="BO715" s="229"/>
      <c r="BP715" s="229"/>
      <c r="BQ715" s="229"/>
      <c r="BR715" s="229"/>
      <c r="BS715" s="229"/>
      <c r="BT715" s="229"/>
      <c r="BU715" s="229"/>
      <c r="BV715" s="229"/>
      <c r="BW715" s="229"/>
      <c r="BX715" s="229"/>
      <c r="BY715" s="229"/>
      <c r="BZ715" s="229"/>
      <c r="CA715" s="229"/>
      <c r="CB715" s="229"/>
      <c r="CC715" s="229"/>
      <c r="CD715" s="229"/>
      <c r="CE715" s="229"/>
      <c r="CF715" s="229"/>
      <c r="CG715" s="229"/>
      <c r="CH715" s="229"/>
      <c r="CI715" s="229"/>
      <c r="CJ715" s="229"/>
      <c r="CK715" s="229"/>
      <c r="CL715" s="229"/>
      <c r="CM715" s="229"/>
      <c r="CN715" s="229"/>
      <c r="CO715" s="229"/>
      <c r="CP715" s="229"/>
      <c r="CQ715" s="229"/>
      <c r="CR715" s="229"/>
      <c r="CS715" s="229"/>
      <c r="CT715" s="229"/>
      <c r="CU715" s="229"/>
      <c r="CV715" s="229"/>
      <c r="CW715" s="229"/>
      <c r="CX715" s="229"/>
      <c r="CY715" s="229"/>
      <c r="CZ715" s="229"/>
      <c r="DA715" s="229"/>
      <c r="DB715" s="229"/>
      <c r="DC715" s="229"/>
      <c r="DD715" s="229"/>
      <c r="DE715" s="229"/>
      <c r="DF715" s="229"/>
      <c r="DG715" s="229"/>
      <c r="DH715" s="229"/>
      <c r="DI715" s="229"/>
      <c r="DJ715" s="229"/>
      <c r="DK715" s="229"/>
      <c r="DL715" s="229"/>
      <c r="DM715" s="229"/>
      <c r="DN715" s="229"/>
      <c r="DO715" s="229"/>
      <c r="DP715" s="229"/>
      <c r="DQ715" s="229"/>
      <c r="DR715" s="229"/>
      <c r="DS715" s="229"/>
      <c r="DT715" s="229"/>
      <c r="DU715" s="229"/>
      <c r="DV715" s="229"/>
      <c r="DW715" s="229"/>
      <c r="DX715" s="229"/>
      <c r="DY715" s="229"/>
      <c r="DZ715" s="229"/>
      <c r="EA715" s="229"/>
    </row>
    <row r="716" spans="1:16" ht="11.25" hidden="1">
      <c r="A716" s="3" t="s">
        <v>2</v>
      </c>
      <c r="B716" s="4"/>
      <c r="C716" s="4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35.25" customHeight="1" hidden="1">
      <c r="A717" s="6" t="s">
        <v>128</v>
      </c>
      <c r="B717" s="4"/>
      <c r="C717" s="4"/>
      <c r="D717" s="5">
        <f>4841800+1541959+29300-85000+5700000+1157400-4541800-5700000-1157400+1157400</f>
        <v>2943659</v>
      </c>
      <c r="E717" s="5">
        <f>0+85000</f>
        <v>85000</v>
      </c>
      <c r="F717" s="5">
        <f>D717</f>
        <v>2943659</v>
      </c>
      <c r="G717" s="5">
        <v>320100</v>
      </c>
      <c r="H717" s="5"/>
      <c r="I717" s="5"/>
      <c r="J717" s="5">
        <f>G717+H717</f>
        <v>320100</v>
      </c>
      <c r="K717" s="5"/>
      <c r="L717" s="5"/>
      <c r="M717" s="5"/>
      <c r="N717" s="5">
        <v>339300</v>
      </c>
      <c r="O717" s="5"/>
      <c r="P717" s="5">
        <f>N717+O717</f>
        <v>339300</v>
      </c>
    </row>
    <row r="718" spans="1:16" ht="11.25" hidden="1">
      <c r="A718" s="3" t="s">
        <v>3</v>
      </c>
      <c r="B718" s="4"/>
      <c r="C718" s="4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39.75" customHeight="1" hidden="1">
      <c r="A719" s="6" t="s">
        <v>129</v>
      </c>
      <c r="B719" s="4"/>
      <c r="C719" s="4"/>
      <c r="D719" s="5">
        <v>3</v>
      </c>
      <c r="E719" s="5">
        <v>1</v>
      </c>
      <c r="F719" s="5">
        <f>D719+E719</f>
        <v>4</v>
      </c>
      <c r="G719" s="5">
        <v>1</v>
      </c>
      <c r="H719" s="5"/>
      <c r="I719" s="5"/>
      <c r="J719" s="5">
        <f>G719</f>
        <v>1</v>
      </c>
      <c r="K719" s="5"/>
      <c r="L719" s="5"/>
      <c r="M719" s="5"/>
      <c r="N719" s="5">
        <v>1</v>
      </c>
      <c r="O719" s="5"/>
      <c r="P719" s="5">
        <f>N719+O719</f>
        <v>1</v>
      </c>
    </row>
    <row r="720" spans="1:16" ht="11.25" hidden="1">
      <c r="A720" s="3" t="s">
        <v>5</v>
      </c>
      <c r="B720" s="4"/>
      <c r="C720" s="4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40.5" customHeight="1" hidden="1">
      <c r="A721" s="6" t="s">
        <v>130</v>
      </c>
      <c r="B721" s="4"/>
      <c r="C721" s="4"/>
      <c r="D721" s="5">
        <f>D717/D719</f>
        <v>981219.6666666666</v>
      </c>
      <c r="E721" s="5">
        <f>E717/E719</f>
        <v>85000</v>
      </c>
      <c r="F721" s="5">
        <f>F717/F719</f>
        <v>735914.75</v>
      </c>
      <c r="G721" s="5">
        <f>G717/G719</f>
        <v>320100</v>
      </c>
      <c r="H721" s="5"/>
      <c r="I721" s="5"/>
      <c r="J721" s="5">
        <f>G721+H721</f>
        <v>320100</v>
      </c>
      <c r="K721" s="5"/>
      <c r="L721" s="5"/>
      <c r="M721" s="5"/>
      <c r="N721" s="5">
        <f>N717/N719</f>
        <v>339300</v>
      </c>
      <c r="O721" s="5"/>
      <c r="P721" s="5">
        <f>P717/P719</f>
        <v>339300</v>
      </c>
    </row>
    <row r="722" spans="1:131" s="203" customFormat="1" ht="22.5" customHeight="1" hidden="1">
      <c r="A722" s="200" t="s">
        <v>133</v>
      </c>
      <c r="B722" s="231"/>
      <c r="C722" s="231"/>
      <c r="D722" s="201">
        <f>D724</f>
        <v>31592000</v>
      </c>
      <c r="E722" s="201">
        <f aca="true" t="shared" si="45" ref="E722:Q722">E724</f>
        <v>200000</v>
      </c>
      <c r="F722" s="201">
        <f t="shared" si="45"/>
        <v>31792000</v>
      </c>
      <c r="G722" s="201">
        <f t="shared" si="45"/>
        <v>3680000</v>
      </c>
      <c r="H722" s="201">
        <f t="shared" si="45"/>
        <v>0</v>
      </c>
      <c r="I722" s="201">
        <f t="shared" si="45"/>
        <v>3568484</v>
      </c>
      <c r="J722" s="201">
        <f t="shared" si="45"/>
        <v>3680000</v>
      </c>
      <c r="K722" s="201">
        <f t="shared" si="45"/>
        <v>3568484</v>
      </c>
      <c r="L722" s="201">
        <f t="shared" si="45"/>
        <v>3568484</v>
      </c>
      <c r="M722" s="201">
        <f t="shared" si="45"/>
        <v>3568484</v>
      </c>
      <c r="N722" s="201">
        <f t="shared" si="45"/>
        <v>3900300</v>
      </c>
      <c r="O722" s="201">
        <f t="shared" si="45"/>
        <v>0</v>
      </c>
      <c r="P722" s="201">
        <f t="shared" si="45"/>
        <v>3900300</v>
      </c>
      <c r="Q722" s="201">
        <f t="shared" si="45"/>
        <v>0</v>
      </c>
      <c r="R722" s="202"/>
      <c r="S722" s="202"/>
      <c r="T722" s="202"/>
      <c r="U722" s="202"/>
      <c r="V722" s="202"/>
      <c r="W722" s="202"/>
      <c r="X722" s="202"/>
      <c r="Y722" s="202"/>
      <c r="Z722" s="202"/>
      <c r="AA722" s="202"/>
      <c r="AB722" s="202"/>
      <c r="AC722" s="202"/>
      <c r="AD722" s="202"/>
      <c r="AE722" s="202"/>
      <c r="AF722" s="202"/>
      <c r="AG722" s="202"/>
      <c r="AH722" s="202"/>
      <c r="AI722" s="202"/>
      <c r="AJ722" s="202"/>
      <c r="AK722" s="202"/>
      <c r="AL722" s="202"/>
      <c r="AM722" s="202"/>
      <c r="AN722" s="202"/>
      <c r="AO722" s="202"/>
      <c r="AP722" s="202"/>
      <c r="AQ722" s="202"/>
      <c r="AR722" s="202"/>
      <c r="AS722" s="202"/>
      <c r="AT722" s="202"/>
      <c r="AU722" s="202"/>
      <c r="AV722" s="202"/>
      <c r="AW722" s="202"/>
      <c r="AX722" s="202"/>
      <c r="AY722" s="202"/>
      <c r="AZ722" s="202"/>
      <c r="BA722" s="202"/>
      <c r="BB722" s="202"/>
      <c r="BC722" s="202"/>
      <c r="BD722" s="202"/>
      <c r="BE722" s="202"/>
      <c r="BF722" s="202"/>
      <c r="BG722" s="202"/>
      <c r="BH722" s="202"/>
      <c r="BI722" s="202"/>
      <c r="BJ722" s="202"/>
      <c r="BK722" s="202"/>
      <c r="BL722" s="202"/>
      <c r="BM722" s="202"/>
      <c r="BN722" s="202"/>
      <c r="BO722" s="202"/>
      <c r="BP722" s="202"/>
      <c r="BQ722" s="202"/>
      <c r="BR722" s="202"/>
      <c r="BS722" s="202"/>
      <c r="BT722" s="202"/>
      <c r="BU722" s="202"/>
      <c r="BV722" s="202"/>
      <c r="BW722" s="202"/>
      <c r="BX722" s="202"/>
      <c r="BY722" s="202"/>
      <c r="BZ722" s="202"/>
      <c r="CA722" s="202"/>
      <c r="CB722" s="202"/>
      <c r="CC722" s="202"/>
      <c r="CD722" s="202"/>
      <c r="CE722" s="202"/>
      <c r="CF722" s="202"/>
      <c r="CG722" s="202"/>
      <c r="CH722" s="202"/>
      <c r="CI722" s="202"/>
      <c r="CJ722" s="202"/>
      <c r="CK722" s="202"/>
      <c r="CL722" s="202"/>
      <c r="CM722" s="202"/>
      <c r="CN722" s="202"/>
      <c r="CO722" s="202"/>
      <c r="CP722" s="202"/>
      <c r="CQ722" s="202"/>
      <c r="CR722" s="202"/>
      <c r="CS722" s="202"/>
      <c r="CT722" s="202"/>
      <c r="CU722" s="202"/>
      <c r="CV722" s="202"/>
      <c r="CW722" s="202"/>
      <c r="CX722" s="202"/>
      <c r="CY722" s="202"/>
      <c r="CZ722" s="202"/>
      <c r="DA722" s="202"/>
      <c r="DB722" s="202"/>
      <c r="DC722" s="202"/>
      <c r="DD722" s="202"/>
      <c r="DE722" s="202"/>
      <c r="DF722" s="202"/>
      <c r="DG722" s="202"/>
      <c r="DH722" s="202"/>
      <c r="DI722" s="202"/>
      <c r="DJ722" s="202"/>
      <c r="DK722" s="202"/>
      <c r="DL722" s="202"/>
      <c r="DM722" s="202"/>
      <c r="DN722" s="202"/>
      <c r="DO722" s="202"/>
      <c r="DP722" s="202"/>
      <c r="DQ722" s="202"/>
      <c r="DR722" s="202"/>
      <c r="DS722" s="202"/>
      <c r="DT722" s="202"/>
      <c r="DU722" s="202"/>
      <c r="DV722" s="202"/>
      <c r="DW722" s="202"/>
      <c r="DX722" s="202"/>
      <c r="DY722" s="202"/>
      <c r="DZ722" s="202"/>
      <c r="EA722" s="202"/>
    </row>
    <row r="723" spans="1:16" ht="23.25" customHeight="1" hidden="1">
      <c r="A723" s="6" t="s">
        <v>66</v>
      </c>
      <c r="B723" s="4"/>
      <c r="C723" s="4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31" s="197" customFormat="1" ht="45.75" customHeight="1" hidden="1">
      <c r="A724" s="194" t="s">
        <v>527</v>
      </c>
      <c r="B724" s="195"/>
      <c r="C724" s="195"/>
      <c r="D724" s="193">
        <f>D725+D735+D748+D751+D760+D767+D820+D827+D834+D841+D844+D847+D854+D857</f>
        <v>31592000</v>
      </c>
      <c r="E724" s="193">
        <f>E725+E735+E751+E760+E767+E820+E827+E834</f>
        <v>200000</v>
      </c>
      <c r="F724" s="193">
        <f>D724+E724</f>
        <v>31792000</v>
      </c>
      <c r="G724" s="193">
        <f>G725+G735+G751+G760+G767+G820+G827+G834</f>
        <v>3680000</v>
      </c>
      <c r="H724" s="193">
        <f>H725+H735+H751+H760+H767+H820+H827+H834</f>
        <v>0</v>
      </c>
      <c r="I724" s="193">
        <f>I725+I735+I751+I760+I767+I820+I827+I834</f>
        <v>3568484</v>
      </c>
      <c r="J724" s="193">
        <f>G724+H724</f>
        <v>3680000</v>
      </c>
      <c r="K724" s="193">
        <f>K725+K735+K751+K760+K767+K820+K827+K834</f>
        <v>3568484</v>
      </c>
      <c r="L724" s="193">
        <f>L725+L735+L751+L760+L767+L820+L827+L834</f>
        <v>3568484</v>
      </c>
      <c r="M724" s="193">
        <f>M725+M735+M751+M760+M767+M820+M827+M834</f>
        <v>3568484</v>
      </c>
      <c r="N724" s="193">
        <f>N725+N735+N751+N760+N767+N820+N827+N834</f>
        <v>3900300</v>
      </c>
      <c r="O724" s="193">
        <f>O725+O735+O751+O760+O767+O820+O827+O834</f>
        <v>0</v>
      </c>
      <c r="P724" s="193">
        <f>N724+O724</f>
        <v>3900300</v>
      </c>
      <c r="Q724" s="196"/>
      <c r="R724" s="196"/>
      <c r="S724" s="196"/>
      <c r="T724" s="196"/>
      <c r="U724" s="196"/>
      <c r="V724" s="196"/>
      <c r="W724" s="196"/>
      <c r="X724" s="196"/>
      <c r="Y724" s="196"/>
      <c r="Z724" s="196"/>
      <c r="AA724" s="196"/>
      <c r="AB724" s="196"/>
      <c r="AC724" s="196"/>
      <c r="AD724" s="196"/>
      <c r="AE724" s="196"/>
      <c r="AF724" s="196"/>
      <c r="AG724" s="196"/>
      <c r="AH724" s="196"/>
      <c r="AI724" s="196"/>
      <c r="AJ724" s="196"/>
      <c r="AK724" s="196"/>
      <c r="AL724" s="196"/>
      <c r="AM724" s="196"/>
      <c r="AN724" s="196"/>
      <c r="AO724" s="196"/>
      <c r="AP724" s="196"/>
      <c r="AQ724" s="196"/>
      <c r="AR724" s="196"/>
      <c r="AS724" s="196"/>
      <c r="AT724" s="196"/>
      <c r="AU724" s="196"/>
      <c r="AV724" s="196"/>
      <c r="AW724" s="196"/>
      <c r="AX724" s="196"/>
      <c r="AY724" s="196"/>
      <c r="AZ724" s="196"/>
      <c r="BA724" s="196"/>
      <c r="BB724" s="196"/>
      <c r="BC724" s="196"/>
      <c r="BD724" s="196"/>
      <c r="BE724" s="196"/>
      <c r="BF724" s="196"/>
      <c r="BG724" s="196"/>
      <c r="BH724" s="196"/>
      <c r="BI724" s="196"/>
      <c r="BJ724" s="196"/>
      <c r="BK724" s="196"/>
      <c r="BL724" s="196"/>
      <c r="BM724" s="196"/>
      <c r="BN724" s="196"/>
      <c r="BO724" s="196"/>
      <c r="BP724" s="196"/>
      <c r="BQ724" s="196"/>
      <c r="BR724" s="196"/>
      <c r="BS724" s="196"/>
      <c r="BT724" s="196"/>
      <c r="BU724" s="196"/>
      <c r="BV724" s="196"/>
      <c r="BW724" s="196"/>
      <c r="BX724" s="196"/>
      <c r="BY724" s="196"/>
      <c r="BZ724" s="196"/>
      <c r="CA724" s="196"/>
      <c r="CB724" s="196"/>
      <c r="CC724" s="196"/>
      <c r="CD724" s="196"/>
      <c r="CE724" s="196"/>
      <c r="CF724" s="196"/>
      <c r="CG724" s="196"/>
      <c r="CH724" s="196"/>
      <c r="CI724" s="196"/>
      <c r="CJ724" s="196"/>
      <c r="CK724" s="196"/>
      <c r="CL724" s="196"/>
      <c r="CM724" s="196"/>
      <c r="CN724" s="196"/>
      <c r="CO724" s="196"/>
      <c r="CP724" s="196"/>
      <c r="CQ724" s="196"/>
      <c r="CR724" s="196"/>
      <c r="CS724" s="196"/>
      <c r="CT724" s="196"/>
      <c r="CU724" s="196"/>
      <c r="CV724" s="196"/>
      <c r="CW724" s="196"/>
      <c r="CX724" s="196"/>
      <c r="CY724" s="196"/>
      <c r="CZ724" s="196"/>
      <c r="DA724" s="196"/>
      <c r="DB724" s="196"/>
      <c r="DC724" s="196"/>
      <c r="DD724" s="196"/>
      <c r="DE724" s="196"/>
      <c r="DF724" s="196"/>
      <c r="DG724" s="196"/>
      <c r="DH724" s="196"/>
      <c r="DI724" s="196"/>
      <c r="DJ724" s="196"/>
      <c r="DK724" s="196"/>
      <c r="DL724" s="196"/>
      <c r="DM724" s="196"/>
      <c r="DN724" s="196"/>
      <c r="DO724" s="196"/>
      <c r="DP724" s="196"/>
      <c r="DQ724" s="196"/>
      <c r="DR724" s="196"/>
      <c r="DS724" s="196"/>
      <c r="DT724" s="196"/>
      <c r="DU724" s="196"/>
      <c r="DV724" s="196"/>
      <c r="DW724" s="196"/>
      <c r="DX724" s="196"/>
      <c r="DY724" s="196"/>
      <c r="DZ724" s="196"/>
      <c r="EA724" s="196"/>
    </row>
    <row r="725" spans="1:131" s="87" customFormat="1" ht="45" hidden="1">
      <c r="A725" s="85" t="s">
        <v>508</v>
      </c>
      <c r="B725" s="77"/>
      <c r="C725" s="77"/>
      <c r="D725" s="81">
        <f>3448500+120000+200000+275000-3448500</f>
        <v>595000</v>
      </c>
      <c r="E725" s="81"/>
      <c r="F725" s="81">
        <f>D725</f>
        <v>595000</v>
      </c>
      <c r="G725" s="81">
        <f>G727</f>
        <v>3680000</v>
      </c>
      <c r="H725" s="81"/>
      <c r="I725" s="81">
        <f>3448484+120000</f>
        <v>3568484</v>
      </c>
      <c r="J725" s="81">
        <f>G725</f>
        <v>3680000</v>
      </c>
      <c r="K725" s="81">
        <f>3448484+120000</f>
        <v>3568484</v>
      </c>
      <c r="L725" s="81">
        <f>3448484+120000</f>
        <v>3568484</v>
      </c>
      <c r="M725" s="81">
        <f>3448484+120000</f>
        <v>3568484</v>
      </c>
      <c r="N725" s="81">
        <f>N727</f>
        <v>3900300</v>
      </c>
      <c r="O725" s="81"/>
      <c r="P725" s="81">
        <f>N725</f>
        <v>3900300</v>
      </c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  <c r="AG725" s="118"/>
      <c r="AH725" s="118"/>
      <c r="AI725" s="118"/>
      <c r="AJ725" s="118"/>
      <c r="AK725" s="118"/>
      <c r="AL725" s="118"/>
      <c r="AM725" s="118"/>
      <c r="AN725" s="118"/>
      <c r="AO725" s="118"/>
      <c r="AP725" s="118"/>
      <c r="AQ725" s="118"/>
      <c r="AR725" s="118"/>
      <c r="AS725" s="118"/>
      <c r="AT725" s="118"/>
      <c r="AU725" s="118"/>
      <c r="AV725" s="118"/>
      <c r="AW725" s="118"/>
      <c r="AX725" s="118"/>
      <c r="AY725" s="118"/>
      <c r="AZ725" s="118"/>
      <c r="BA725" s="118"/>
      <c r="BB725" s="118"/>
      <c r="BC725" s="118"/>
      <c r="BD725" s="118"/>
      <c r="BE725" s="118"/>
      <c r="BF725" s="118"/>
      <c r="BG725" s="118"/>
      <c r="BH725" s="118"/>
      <c r="BI725" s="118"/>
      <c r="BJ725" s="118"/>
      <c r="BK725" s="118"/>
      <c r="BL725" s="118"/>
      <c r="BM725" s="118"/>
      <c r="BN725" s="118"/>
      <c r="BO725" s="118"/>
      <c r="BP725" s="118"/>
      <c r="BQ725" s="118"/>
      <c r="BR725" s="118"/>
      <c r="BS725" s="118"/>
      <c r="BT725" s="118"/>
      <c r="BU725" s="118"/>
      <c r="BV725" s="118"/>
      <c r="BW725" s="118"/>
      <c r="BX725" s="118"/>
      <c r="BY725" s="118"/>
      <c r="BZ725" s="118"/>
      <c r="CA725" s="118"/>
      <c r="CB725" s="118"/>
      <c r="CC725" s="118"/>
      <c r="CD725" s="118"/>
      <c r="CE725" s="118"/>
      <c r="CF725" s="118"/>
      <c r="CG725" s="118"/>
      <c r="CH725" s="118"/>
      <c r="CI725" s="118"/>
      <c r="CJ725" s="118"/>
      <c r="CK725" s="118"/>
      <c r="CL725" s="118"/>
      <c r="CM725" s="118"/>
      <c r="CN725" s="118"/>
      <c r="CO725" s="118"/>
      <c r="CP725" s="118"/>
      <c r="CQ725" s="118"/>
      <c r="CR725" s="118"/>
      <c r="CS725" s="118"/>
      <c r="CT725" s="118"/>
      <c r="CU725" s="118"/>
      <c r="CV725" s="118"/>
      <c r="CW725" s="118"/>
      <c r="CX725" s="118"/>
      <c r="CY725" s="118"/>
      <c r="CZ725" s="118"/>
      <c r="DA725" s="118"/>
      <c r="DB725" s="118"/>
      <c r="DC725" s="118"/>
      <c r="DD725" s="118"/>
      <c r="DE725" s="118"/>
      <c r="DF725" s="118"/>
      <c r="DG725" s="118"/>
      <c r="DH725" s="118"/>
      <c r="DI725" s="118"/>
      <c r="DJ725" s="118"/>
      <c r="DK725" s="118"/>
      <c r="DL725" s="118"/>
      <c r="DM725" s="118"/>
      <c r="DN725" s="118"/>
      <c r="DO725" s="118"/>
      <c r="DP725" s="118"/>
      <c r="DQ725" s="118"/>
      <c r="DR725" s="118"/>
      <c r="DS725" s="118"/>
      <c r="DT725" s="118"/>
      <c r="DU725" s="118"/>
      <c r="DV725" s="118"/>
      <c r="DW725" s="118"/>
      <c r="DX725" s="118"/>
      <c r="DY725" s="118"/>
      <c r="DZ725" s="118"/>
      <c r="EA725" s="118"/>
    </row>
    <row r="726" spans="1:16" ht="12" customHeight="1" hidden="1">
      <c r="A726" s="3" t="s">
        <v>2</v>
      </c>
      <c r="B726" s="4"/>
      <c r="C726" s="4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3.5" customHeight="1" hidden="1">
      <c r="A727" s="6" t="s">
        <v>23</v>
      </c>
      <c r="B727" s="4"/>
      <c r="C727" s="4"/>
      <c r="D727" s="5">
        <f>D725</f>
        <v>595000</v>
      </c>
      <c r="E727" s="5"/>
      <c r="F727" s="5">
        <f>D727</f>
        <v>595000</v>
      </c>
      <c r="G727" s="5">
        <v>3680000</v>
      </c>
      <c r="H727" s="5"/>
      <c r="I727" s="5"/>
      <c r="J727" s="5">
        <f>SUM(G727)</f>
        <v>3680000</v>
      </c>
      <c r="K727" s="5"/>
      <c r="L727" s="5"/>
      <c r="M727" s="5"/>
      <c r="N727" s="5">
        <v>3900300</v>
      </c>
      <c r="O727" s="5"/>
      <c r="P727" s="5">
        <f>N727</f>
        <v>3900300</v>
      </c>
    </row>
    <row r="728" spans="1:16" ht="12" customHeight="1" hidden="1">
      <c r="A728" s="3" t="s">
        <v>3</v>
      </c>
      <c r="B728" s="4"/>
      <c r="C728" s="4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37.5" customHeight="1" hidden="1">
      <c r="A729" s="6" t="s">
        <v>131</v>
      </c>
      <c r="B729" s="4"/>
      <c r="C729" s="4"/>
      <c r="D729" s="5">
        <v>12</v>
      </c>
      <c r="E729" s="5"/>
      <c r="F729" s="5">
        <v>12</v>
      </c>
      <c r="G729" s="5">
        <v>12</v>
      </c>
      <c r="H729" s="5"/>
      <c r="I729" s="5"/>
      <c r="J729" s="5">
        <v>12</v>
      </c>
      <c r="K729" s="5"/>
      <c r="L729" s="5"/>
      <c r="M729" s="5"/>
      <c r="N729" s="5">
        <v>12</v>
      </c>
      <c r="O729" s="5"/>
      <c r="P729" s="5">
        <v>12</v>
      </c>
    </row>
    <row r="730" spans="1:16" ht="11.25" hidden="1">
      <c r="A730" s="3" t="s">
        <v>5</v>
      </c>
      <c r="B730" s="4"/>
      <c r="C730" s="4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36" customHeight="1" hidden="1">
      <c r="A731" s="6" t="s">
        <v>132</v>
      </c>
      <c r="B731" s="4"/>
      <c r="C731" s="4"/>
      <c r="D731" s="5">
        <f>SUM(D727)/D729</f>
        <v>49583.333333333336</v>
      </c>
      <c r="E731" s="5"/>
      <c r="F731" s="5">
        <f>D731</f>
        <v>49583.333333333336</v>
      </c>
      <c r="G731" s="5">
        <f>SUM(G727)/G729</f>
        <v>306666.6666666667</v>
      </c>
      <c r="H731" s="5"/>
      <c r="I731" s="5"/>
      <c r="J731" s="5">
        <f>SUM(J727)/J729</f>
        <v>306666.6666666667</v>
      </c>
      <c r="K731" s="5"/>
      <c r="L731" s="5"/>
      <c r="M731" s="5"/>
      <c r="N731" s="5">
        <f>SUM(N727)/N729</f>
        <v>325025</v>
      </c>
      <c r="O731" s="5"/>
      <c r="P731" s="5">
        <f>SUM(P727)/P729</f>
        <v>325025</v>
      </c>
    </row>
    <row r="732" spans="1:16" ht="24" customHeight="1" hidden="1">
      <c r="A732" s="22" t="s">
        <v>172</v>
      </c>
      <c r="B732" s="4"/>
      <c r="C732" s="4"/>
      <c r="D732" s="5">
        <f>D734</f>
        <v>14000000</v>
      </c>
      <c r="E732" s="5"/>
      <c r="F732" s="5">
        <f>F734</f>
        <v>14000000</v>
      </c>
      <c r="G732" s="5">
        <f>G734</f>
        <v>45705000</v>
      </c>
      <c r="H732" s="5"/>
      <c r="I732" s="5"/>
      <c r="J732" s="5">
        <f>G732</f>
        <v>45705000</v>
      </c>
      <c r="K732" s="5"/>
      <c r="L732" s="5"/>
      <c r="M732" s="5"/>
      <c r="N732" s="5"/>
      <c r="O732" s="5"/>
      <c r="P732" s="5"/>
    </row>
    <row r="733" spans="1:16" ht="16.5" customHeight="1" hidden="1">
      <c r="A733" s="3" t="s">
        <v>2</v>
      </c>
      <c r="B733" s="4"/>
      <c r="C733" s="4"/>
      <c r="D733" s="5"/>
      <c r="E733" s="5"/>
      <c r="F733" s="5"/>
      <c r="G733" s="90">
        <v>1</v>
      </c>
      <c r="H733" s="90"/>
      <c r="I733" s="90"/>
      <c r="J733" s="90"/>
      <c r="K733" s="90"/>
      <c r="L733" s="90"/>
      <c r="M733" s="90"/>
      <c r="N733" s="90"/>
      <c r="O733" s="5"/>
      <c r="P733" s="5"/>
    </row>
    <row r="734" spans="1:16" ht="12.75" customHeight="1" hidden="1">
      <c r="A734" s="3" t="s">
        <v>23</v>
      </c>
      <c r="B734" s="4"/>
      <c r="C734" s="4"/>
      <c r="D734" s="5">
        <f>3000000+2000000+3000000+1000000+3000000+2000000</f>
        <v>14000000</v>
      </c>
      <c r="E734" s="5"/>
      <c r="F734" s="5">
        <f>3000000+2000000+3000000+1000000+3000000+2000000</f>
        <v>14000000</v>
      </c>
      <c r="G734" s="5">
        <f>0+4000000+2725000+3000000+9000000+3000000+3000000+3000000+3200000+4000000+3500000+5000000+2280000</f>
        <v>45705000</v>
      </c>
      <c r="H734" s="5"/>
      <c r="I734" s="5"/>
      <c r="J734" s="5">
        <f>G734</f>
        <v>45705000</v>
      </c>
      <c r="K734" s="5"/>
      <c r="L734" s="5"/>
      <c r="M734" s="5"/>
      <c r="N734" s="5"/>
      <c r="O734" s="5"/>
      <c r="P734" s="5"/>
    </row>
    <row r="735" spans="1:131" s="76" customFormat="1" ht="34.5" customHeight="1" hidden="1">
      <c r="A735" s="85" t="s">
        <v>486</v>
      </c>
      <c r="B735" s="73"/>
      <c r="C735" s="73"/>
      <c r="D735" s="81">
        <f>18600000-6500000-5535000</f>
        <v>6565000</v>
      </c>
      <c r="E735" s="81"/>
      <c r="F735" s="81">
        <f>D735</f>
        <v>6565000</v>
      </c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5"/>
      <c r="R735" s="75"/>
      <c r="S735" s="75"/>
      <c r="T735" s="75"/>
      <c r="U735" s="75"/>
      <c r="V735" s="75"/>
      <c r="W735" s="75"/>
      <c r="X735" s="75"/>
      <c r="Y735" s="75"/>
      <c r="Z735" s="75"/>
      <c r="AA735" s="75"/>
      <c r="AB735" s="75"/>
      <c r="AC735" s="75"/>
      <c r="AD735" s="75"/>
      <c r="AE735" s="75"/>
      <c r="AF735" s="75"/>
      <c r="AG735" s="75"/>
      <c r="AH735" s="75"/>
      <c r="AI735" s="75"/>
      <c r="AJ735" s="75"/>
      <c r="AK735" s="75"/>
      <c r="AL735" s="75"/>
      <c r="AM735" s="75"/>
      <c r="AN735" s="75"/>
      <c r="AO735" s="75"/>
      <c r="AP735" s="75"/>
      <c r="AQ735" s="75"/>
      <c r="AR735" s="75"/>
      <c r="AS735" s="75"/>
      <c r="AT735" s="75"/>
      <c r="AU735" s="75"/>
      <c r="AV735" s="75"/>
      <c r="AW735" s="75"/>
      <c r="AX735" s="75"/>
      <c r="AY735" s="75"/>
      <c r="AZ735" s="75"/>
      <c r="BA735" s="75"/>
      <c r="BB735" s="75"/>
      <c r="BC735" s="75"/>
      <c r="BD735" s="75"/>
      <c r="BE735" s="75"/>
      <c r="BF735" s="75"/>
      <c r="BG735" s="75"/>
      <c r="BH735" s="75"/>
      <c r="BI735" s="75"/>
      <c r="BJ735" s="75"/>
      <c r="BK735" s="75"/>
      <c r="BL735" s="75"/>
      <c r="BM735" s="75"/>
      <c r="BN735" s="75"/>
      <c r="BO735" s="75"/>
      <c r="BP735" s="75"/>
      <c r="BQ735" s="75"/>
      <c r="BR735" s="75"/>
      <c r="BS735" s="75"/>
      <c r="BT735" s="75"/>
      <c r="BU735" s="75"/>
      <c r="BV735" s="75"/>
      <c r="BW735" s="75"/>
      <c r="BX735" s="75"/>
      <c r="BY735" s="75"/>
      <c r="BZ735" s="75"/>
      <c r="CA735" s="75"/>
      <c r="CB735" s="75"/>
      <c r="CC735" s="75"/>
      <c r="CD735" s="75"/>
      <c r="CE735" s="75"/>
      <c r="CF735" s="75"/>
      <c r="CG735" s="75"/>
      <c r="CH735" s="75"/>
      <c r="CI735" s="75"/>
      <c r="CJ735" s="75"/>
      <c r="CK735" s="75"/>
      <c r="CL735" s="75"/>
      <c r="CM735" s="75"/>
      <c r="CN735" s="75"/>
      <c r="CO735" s="75"/>
      <c r="CP735" s="75"/>
      <c r="CQ735" s="75"/>
      <c r="CR735" s="75"/>
      <c r="CS735" s="75"/>
      <c r="CT735" s="75"/>
      <c r="CU735" s="75"/>
      <c r="CV735" s="75"/>
      <c r="CW735" s="75"/>
      <c r="CX735" s="75"/>
      <c r="CY735" s="75"/>
      <c r="CZ735" s="75"/>
      <c r="DA735" s="75"/>
      <c r="DB735" s="75"/>
      <c r="DC735" s="75"/>
      <c r="DD735" s="75"/>
      <c r="DE735" s="75"/>
      <c r="DF735" s="75"/>
      <c r="DG735" s="75"/>
      <c r="DH735" s="75"/>
      <c r="DI735" s="75"/>
      <c r="DJ735" s="75"/>
      <c r="DK735" s="75"/>
      <c r="DL735" s="75"/>
      <c r="DM735" s="75"/>
      <c r="DN735" s="75"/>
      <c r="DO735" s="75"/>
      <c r="DP735" s="75"/>
      <c r="DQ735" s="75"/>
      <c r="DR735" s="75"/>
      <c r="DS735" s="75"/>
      <c r="DT735" s="75"/>
      <c r="DU735" s="75"/>
      <c r="DV735" s="75"/>
      <c r="DW735" s="75"/>
      <c r="DX735" s="75"/>
      <c r="DY735" s="75"/>
      <c r="DZ735" s="75"/>
      <c r="EA735" s="75"/>
    </row>
    <row r="736" spans="1:16" ht="15.75" customHeight="1" hidden="1">
      <c r="A736" s="3" t="s">
        <v>2</v>
      </c>
      <c r="B736" s="4"/>
      <c r="C736" s="4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5.75" customHeight="1" hidden="1">
      <c r="A737" s="3" t="s">
        <v>23</v>
      </c>
      <c r="B737" s="4"/>
      <c r="C737" s="4"/>
      <c r="D737" s="5">
        <f>D735</f>
        <v>6565000</v>
      </c>
      <c r="E737" s="5"/>
      <c r="F737" s="5">
        <f>D737</f>
        <v>6565000</v>
      </c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35.25" customHeight="1" hidden="1">
      <c r="A738" s="22" t="s">
        <v>182</v>
      </c>
      <c r="B738" s="4"/>
      <c r="C738" s="4"/>
      <c r="D738" s="5"/>
      <c r="E738" s="5"/>
      <c r="F738" s="5"/>
      <c r="G738" s="5">
        <f>G740</f>
        <v>1000000</v>
      </c>
      <c r="H738" s="5">
        <f>H740</f>
        <v>0</v>
      </c>
      <c r="I738" s="5">
        <f>I740</f>
        <v>0</v>
      </c>
      <c r="J738" s="5">
        <f>J740</f>
        <v>1000000</v>
      </c>
      <c r="K738" s="5"/>
      <c r="L738" s="5"/>
      <c r="M738" s="5"/>
      <c r="N738" s="5">
        <f>N740</f>
        <v>1000000</v>
      </c>
      <c r="O738" s="5"/>
      <c r="P738" s="5">
        <f>N738</f>
        <v>1000000</v>
      </c>
    </row>
    <row r="739" spans="1:16" ht="12.75" customHeight="1" hidden="1">
      <c r="A739" s="3" t="s">
        <v>2</v>
      </c>
      <c r="B739" s="4"/>
      <c r="C739" s="4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.75" customHeight="1" hidden="1">
      <c r="A740" s="3" t="s">
        <v>23</v>
      </c>
      <c r="B740" s="4"/>
      <c r="C740" s="4"/>
      <c r="D740" s="5"/>
      <c r="E740" s="5"/>
      <c r="F740" s="5"/>
      <c r="G740" s="5">
        <v>1000000</v>
      </c>
      <c r="H740" s="5"/>
      <c r="I740" s="5"/>
      <c r="J740" s="5">
        <f>G740+H740</f>
        <v>1000000</v>
      </c>
      <c r="K740" s="5"/>
      <c r="L740" s="5"/>
      <c r="M740" s="5"/>
      <c r="N740" s="5">
        <v>1000000</v>
      </c>
      <c r="O740" s="5"/>
      <c r="P740" s="5">
        <f>N740</f>
        <v>1000000</v>
      </c>
    </row>
    <row r="741" spans="1:131" s="27" customFormat="1" ht="25.5" customHeight="1" hidden="1">
      <c r="A741" s="22" t="s">
        <v>173</v>
      </c>
      <c r="B741" s="23"/>
      <c r="C741" s="23"/>
      <c r="D741" s="24">
        <f>D743</f>
        <v>70000</v>
      </c>
      <c r="E741" s="24"/>
      <c r="F741" s="24">
        <f>D741+E741</f>
        <v>70000</v>
      </c>
      <c r="G741" s="24">
        <f>G745*G747</f>
        <v>0</v>
      </c>
      <c r="H741" s="24"/>
      <c r="I741" s="24"/>
      <c r="J741" s="24">
        <f>G741</f>
        <v>0</v>
      </c>
      <c r="K741" s="24"/>
      <c r="L741" s="24"/>
      <c r="M741" s="24"/>
      <c r="N741" s="24">
        <f>N747*N745</f>
        <v>0</v>
      </c>
      <c r="O741" s="24"/>
      <c r="P741" s="24">
        <f>N741</f>
        <v>0</v>
      </c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</row>
    <row r="742" spans="1:16" ht="11.25" hidden="1">
      <c r="A742" s="3" t="s">
        <v>2</v>
      </c>
      <c r="B742" s="4"/>
      <c r="C742" s="4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4.25" customHeight="1" hidden="1">
      <c r="A743" s="6" t="s">
        <v>23</v>
      </c>
      <c r="B743" s="4"/>
      <c r="C743" s="4"/>
      <c r="D743" s="5">
        <f>D745*D747</f>
        <v>70000</v>
      </c>
      <c r="E743" s="5"/>
      <c r="F743" s="5">
        <f>D743+E743</f>
        <v>70000</v>
      </c>
      <c r="G743" s="5"/>
      <c r="H743" s="5"/>
      <c r="I743" s="5"/>
      <c r="J743" s="5">
        <f>G743</f>
        <v>0</v>
      </c>
      <c r="K743" s="5"/>
      <c r="L743" s="5"/>
      <c r="M743" s="5"/>
      <c r="N743" s="5"/>
      <c r="O743" s="5"/>
      <c r="P743" s="5">
        <f>N743</f>
        <v>0</v>
      </c>
    </row>
    <row r="744" spans="1:16" ht="11.25" hidden="1">
      <c r="A744" s="3" t="s">
        <v>3</v>
      </c>
      <c r="B744" s="4"/>
      <c r="C744" s="4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23.25" customHeight="1" hidden="1">
      <c r="A745" s="6" t="s">
        <v>67</v>
      </c>
      <c r="B745" s="4"/>
      <c r="C745" s="4"/>
      <c r="D745" s="5">
        <v>2</v>
      </c>
      <c r="E745" s="5"/>
      <c r="F745" s="5">
        <f>D745+E745</f>
        <v>2</v>
      </c>
      <c r="G745" s="5"/>
      <c r="H745" s="5"/>
      <c r="I745" s="5"/>
      <c r="J745" s="5">
        <v>0</v>
      </c>
      <c r="K745" s="5"/>
      <c r="L745" s="5"/>
      <c r="M745" s="5"/>
      <c r="N745" s="5"/>
      <c r="O745" s="5"/>
      <c r="P745" s="5">
        <v>0</v>
      </c>
    </row>
    <row r="746" spans="1:16" ht="11.25" hidden="1">
      <c r="A746" s="3" t="s">
        <v>5</v>
      </c>
      <c r="B746" s="4"/>
      <c r="C746" s="4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24.75" customHeight="1" hidden="1">
      <c r="A747" s="6" t="s">
        <v>68</v>
      </c>
      <c r="B747" s="4"/>
      <c r="C747" s="4"/>
      <c r="D747" s="5">
        <v>35000</v>
      </c>
      <c r="E747" s="5"/>
      <c r="F747" s="5">
        <f>D747+E747</f>
        <v>35000</v>
      </c>
      <c r="G747" s="5"/>
      <c r="H747" s="5"/>
      <c r="I747" s="5"/>
      <c r="J747" s="5">
        <f>G747</f>
        <v>0</v>
      </c>
      <c r="K747" s="5"/>
      <c r="L747" s="5"/>
      <c r="M747" s="5"/>
      <c r="N747" s="5"/>
      <c r="O747" s="5"/>
      <c r="P747" s="5">
        <v>0</v>
      </c>
    </row>
    <row r="748" spans="1:131" s="76" customFormat="1" ht="40.5" customHeight="1" hidden="1">
      <c r="A748" s="85" t="s">
        <v>487</v>
      </c>
      <c r="B748" s="73"/>
      <c r="C748" s="73"/>
      <c r="D748" s="81">
        <f>13000000-350000</f>
        <v>12650000</v>
      </c>
      <c r="E748" s="81"/>
      <c r="F748" s="81">
        <f>D748</f>
        <v>12650000</v>
      </c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5"/>
      <c r="R748" s="75"/>
      <c r="S748" s="75"/>
      <c r="T748" s="75"/>
      <c r="U748" s="75"/>
      <c r="V748" s="75"/>
      <c r="W748" s="75"/>
      <c r="X748" s="75"/>
      <c r="Y748" s="75"/>
      <c r="Z748" s="75"/>
      <c r="AA748" s="75"/>
      <c r="AB748" s="75"/>
      <c r="AC748" s="75"/>
      <c r="AD748" s="75"/>
      <c r="AE748" s="75"/>
      <c r="AF748" s="75"/>
      <c r="AG748" s="75"/>
      <c r="AH748" s="75"/>
      <c r="AI748" s="75"/>
      <c r="AJ748" s="75"/>
      <c r="AK748" s="75"/>
      <c r="AL748" s="75"/>
      <c r="AM748" s="75"/>
      <c r="AN748" s="75"/>
      <c r="AO748" s="75"/>
      <c r="AP748" s="75"/>
      <c r="AQ748" s="75"/>
      <c r="AR748" s="75"/>
      <c r="AS748" s="75"/>
      <c r="AT748" s="75"/>
      <c r="AU748" s="75"/>
      <c r="AV748" s="75"/>
      <c r="AW748" s="75"/>
      <c r="AX748" s="75"/>
      <c r="AY748" s="75"/>
      <c r="AZ748" s="75"/>
      <c r="BA748" s="75"/>
      <c r="BB748" s="75"/>
      <c r="BC748" s="75"/>
      <c r="BD748" s="75"/>
      <c r="BE748" s="75"/>
      <c r="BF748" s="75"/>
      <c r="BG748" s="75"/>
      <c r="BH748" s="75"/>
      <c r="BI748" s="75"/>
      <c r="BJ748" s="75"/>
      <c r="BK748" s="75"/>
      <c r="BL748" s="75"/>
      <c r="BM748" s="75"/>
      <c r="BN748" s="75"/>
      <c r="BO748" s="75"/>
      <c r="BP748" s="75"/>
      <c r="BQ748" s="75"/>
      <c r="BR748" s="75"/>
      <c r="BS748" s="75"/>
      <c r="BT748" s="75"/>
      <c r="BU748" s="75"/>
      <c r="BV748" s="75"/>
      <c r="BW748" s="75"/>
      <c r="BX748" s="75"/>
      <c r="BY748" s="75"/>
      <c r="BZ748" s="75"/>
      <c r="CA748" s="75"/>
      <c r="CB748" s="75"/>
      <c r="CC748" s="75"/>
      <c r="CD748" s="75"/>
      <c r="CE748" s="75"/>
      <c r="CF748" s="75"/>
      <c r="CG748" s="75"/>
      <c r="CH748" s="75"/>
      <c r="CI748" s="75"/>
      <c r="CJ748" s="75"/>
      <c r="CK748" s="75"/>
      <c r="CL748" s="75"/>
      <c r="CM748" s="75"/>
      <c r="CN748" s="75"/>
      <c r="CO748" s="75"/>
      <c r="CP748" s="75"/>
      <c r="CQ748" s="75"/>
      <c r="CR748" s="75"/>
      <c r="CS748" s="75"/>
      <c r="CT748" s="75"/>
      <c r="CU748" s="75"/>
      <c r="CV748" s="75"/>
      <c r="CW748" s="75"/>
      <c r="CX748" s="75"/>
      <c r="CY748" s="75"/>
      <c r="CZ748" s="75"/>
      <c r="DA748" s="75"/>
      <c r="DB748" s="75"/>
      <c r="DC748" s="75"/>
      <c r="DD748" s="75"/>
      <c r="DE748" s="75"/>
      <c r="DF748" s="75"/>
      <c r="DG748" s="75"/>
      <c r="DH748" s="75"/>
      <c r="DI748" s="75"/>
      <c r="DJ748" s="75"/>
      <c r="DK748" s="75"/>
      <c r="DL748" s="75"/>
      <c r="DM748" s="75"/>
      <c r="DN748" s="75"/>
      <c r="DO748" s="75"/>
      <c r="DP748" s="75"/>
      <c r="DQ748" s="75"/>
      <c r="DR748" s="75"/>
      <c r="DS748" s="75"/>
      <c r="DT748" s="75"/>
      <c r="DU748" s="75"/>
      <c r="DV748" s="75"/>
      <c r="DW748" s="75"/>
      <c r="DX748" s="75"/>
      <c r="DY748" s="75"/>
      <c r="DZ748" s="75"/>
      <c r="EA748" s="75"/>
    </row>
    <row r="749" spans="1:16" ht="15.75" customHeight="1" hidden="1">
      <c r="A749" s="3" t="s">
        <v>2</v>
      </c>
      <c r="B749" s="4"/>
      <c r="C749" s="4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5.75" customHeight="1" hidden="1">
      <c r="A750" s="3" t="s">
        <v>23</v>
      </c>
      <c r="B750" s="4"/>
      <c r="C750" s="4"/>
      <c r="D750" s="5">
        <f>D748</f>
        <v>12650000</v>
      </c>
      <c r="E750" s="5"/>
      <c r="F750" s="5">
        <f>D750</f>
        <v>12650000</v>
      </c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31" s="87" customFormat="1" ht="15" customHeight="1" hidden="1">
      <c r="A751" s="85" t="s">
        <v>488</v>
      </c>
      <c r="B751" s="77"/>
      <c r="C751" s="77"/>
      <c r="D751" s="81">
        <f>405500-405500</f>
        <v>0</v>
      </c>
      <c r="E751" s="81"/>
      <c r="F751" s="81">
        <f>D751</f>
        <v>0</v>
      </c>
      <c r="G751" s="81"/>
      <c r="H751" s="81"/>
      <c r="I751" s="81"/>
      <c r="J751" s="84"/>
      <c r="K751" s="81"/>
      <c r="L751" s="81"/>
      <c r="M751" s="81"/>
      <c r="N751" s="81"/>
      <c r="O751" s="81"/>
      <c r="P751" s="81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  <c r="AG751" s="118"/>
      <c r="AH751" s="118"/>
      <c r="AI751" s="118"/>
      <c r="AJ751" s="118"/>
      <c r="AK751" s="118"/>
      <c r="AL751" s="118"/>
      <c r="AM751" s="118"/>
      <c r="AN751" s="118"/>
      <c r="AO751" s="118"/>
      <c r="AP751" s="118"/>
      <c r="AQ751" s="118"/>
      <c r="AR751" s="118"/>
      <c r="AS751" s="118"/>
      <c r="AT751" s="118"/>
      <c r="AU751" s="118"/>
      <c r="AV751" s="118"/>
      <c r="AW751" s="118"/>
      <c r="AX751" s="118"/>
      <c r="AY751" s="118"/>
      <c r="AZ751" s="118"/>
      <c r="BA751" s="118"/>
      <c r="BB751" s="118"/>
      <c r="BC751" s="118"/>
      <c r="BD751" s="118"/>
      <c r="BE751" s="118"/>
      <c r="BF751" s="118"/>
      <c r="BG751" s="118"/>
      <c r="BH751" s="118"/>
      <c r="BI751" s="118"/>
      <c r="BJ751" s="118"/>
      <c r="BK751" s="118"/>
      <c r="BL751" s="118"/>
      <c r="BM751" s="118"/>
      <c r="BN751" s="118"/>
      <c r="BO751" s="118"/>
      <c r="BP751" s="118"/>
      <c r="BQ751" s="118"/>
      <c r="BR751" s="118"/>
      <c r="BS751" s="118"/>
      <c r="BT751" s="118"/>
      <c r="BU751" s="118"/>
      <c r="BV751" s="118"/>
      <c r="BW751" s="118"/>
      <c r="BX751" s="118"/>
      <c r="BY751" s="118"/>
      <c r="BZ751" s="118"/>
      <c r="CA751" s="118"/>
      <c r="CB751" s="118"/>
      <c r="CC751" s="118"/>
      <c r="CD751" s="118"/>
      <c r="CE751" s="118"/>
      <c r="CF751" s="118"/>
      <c r="CG751" s="118"/>
      <c r="CH751" s="118"/>
      <c r="CI751" s="118"/>
      <c r="CJ751" s="118"/>
      <c r="CK751" s="118"/>
      <c r="CL751" s="118"/>
      <c r="CM751" s="118"/>
      <c r="CN751" s="118"/>
      <c r="CO751" s="118"/>
      <c r="CP751" s="118"/>
      <c r="CQ751" s="118"/>
      <c r="CR751" s="118"/>
      <c r="CS751" s="118"/>
      <c r="CT751" s="118"/>
      <c r="CU751" s="118"/>
      <c r="CV751" s="118"/>
      <c r="CW751" s="118"/>
      <c r="CX751" s="118"/>
      <c r="CY751" s="118"/>
      <c r="CZ751" s="118"/>
      <c r="DA751" s="118"/>
      <c r="DB751" s="118"/>
      <c r="DC751" s="118"/>
      <c r="DD751" s="118"/>
      <c r="DE751" s="118"/>
      <c r="DF751" s="118"/>
      <c r="DG751" s="118"/>
      <c r="DH751" s="118"/>
      <c r="DI751" s="118"/>
      <c r="DJ751" s="118"/>
      <c r="DK751" s="118"/>
      <c r="DL751" s="118"/>
      <c r="DM751" s="118"/>
      <c r="DN751" s="118"/>
      <c r="DO751" s="118"/>
      <c r="DP751" s="118"/>
      <c r="DQ751" s="118"/>
      <c r="DR751" s="118"/>
      <c r="DS751" s="118"/>
      <c r="DT751" s="118"/>
      <c r="DU751" s="118"/>
      <c r="DV751" s="118"/>
      <c r="DW751" s="118"/>
      <c r="DX751" s="118"/>
      <c r="DY751" s="118"/>
      <c r="DZ751" s="118"/>
      <c r="EA751" s="118"/>
    </row>
    <row r="752" spans="1:16" ht="12" customHeight="1" hidden="1">
      <c r="A752" s="3" t="s">
        <v>2</v>
      </c>
      <c r="B752" s="4"/>
      <c r="C752" s="4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 customHeight="1" hidden="1">
      <c r="A753" s="6" t="s">
        <v>23</v>
      </c>
      <c r="B753" s="4"/>
      <c r="C753" s="4"/>
      <c r="D753" s="5">
        <f>D751</f>
        <v>0</v>
      </c>
      <c r="E753" s="5"/>
      <c r="F753" s="5">
        <f>D753</f>
        <v>0</v>
      </c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 customHeight="1" hidden="1">
      <c r="A754" s="3" t="s">
        <v>3</v>
      </c>
      <c r="B754" s="4"/>
      <c r="C754" s="4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24.75" customHeight="1" hidden="1">
      <c r="A755" s="6" t="s">
        <v>80</v>
      </c>
      <c r="B755" s="4"/>
      <c r="C755" s="4"/>
      <c r="D755" s="5">
        <v>50</v>
      </c>
      <c r="E755" s="5"/>
      <c r="F755" s="5">
        <v>57</v>
      </c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5.75" customHeight="1" hidden="1">
      <c r="A756" s="6" t="s">
        <v>78</v>
      </c>
      <c r="B756" s="4"/>
      <c r="C756" s="4"/>
      <c r="D756" s="5">
        <v>50</v>
      </c>
      <c r="E756" s="5"/>
      <c r="F756" s="5">
        <f>D756</f>
        <v>50</v>
      </c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.75" customHeight="1" hidden="1">
      <c r="A757" s="3" t="s">
        <v>5</v>
      </c>
      <c r="B757" s="4"/>
      <c r="C757" s="4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24.75" customHeight="1" hidden="1">
      <c r="A758" s="6" t="s">
        <v>79</v>
      </c>
      <c r="B758" s="4"/>
      <c r="C758" s="4"/>
      <c r="D758" s="5">
        <v>1950.89</v>
      </c>
      <c r="E758" s="5"/>
      <c r="F758" s="5">
        <f>D758</f>
        <v>1950.89</v>
      </c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22.5" hidden="1">
      <c r="A759" s="6" t="s">
        <v>81</v>
      </c>
      <c r="B759" s="4"/>
      <c r="C759" s="4"/>
      <c r="D759" s="5">
        <f>D753/D756</f>
        <v>0</v>
      </c>
      <c r="E759" s="5"/>
      <c r="F759" s="5">
        <f>D759</f>
        <v>0</v>
      </c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31" s="87" customFormat="1" ht="33.75" hidden="1">
      <c r="A760" s="85" t="s">
        <v>489</v>
      </c>
      <c r="B760" s="77"/>
      <c r="C760" s="77"/>
      <c r="D760" s="81">
        <f>360000-210000</f>
        <v>150000</v>
      </c>
      <c r="E760" s="81"/>
      <c r="F760" s="81">
        <f>D760</f>
        <v>150000</v>
      </c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118"/>
      <c r="R760" s="118"/>
      <c r="S760" s="118"/>
      <c r="T760" s="118"/>
      <c r="U760" s="118"/>
      <c r="V760" s="118"/>
      <c r="W760" s="118"/>
      <c r="X760" s="118"/>
      <c r="Y760" s="118"/>
      <c r="Z760" s="118"/>
      <c r="AA760" s="118"/>
      <c r="AB760" s="118"/>
      <c r="AC760" s="118"/>
      <c r="AD760" s="118"/>
      <c r="AE760" s="118"/>
      <c r="AF760" s="118"/>
      <c r="AG760" s="118"/>
      <c r="AH760" s="118"/>
      <c r="AI760" s="118"/>
      <c r="AJ760" s="118"/>
      <c r="AK760" s="118"/>
      <c r="AL760" s="118"/>
      <c r="AM760" s="118"/>
      <c r="AN760" s="118"/>
      <c r="AO760" s="118"/>
      <c r="AP760" s="118"/>
      <c r="AQ760" s="118"/>
      <c r="AR760" s="118"/>
      <c r="AS760" s="118"/>
      <c r="AT760" s="118"/>
      <c r="AU760" s="118"/>
      <c r="AV760" s="118"/>
      <c r="AW760" s="118"/>
      <c r="AX760" s="118"/>
      <c r="AY760" s="118"/>
      <c r="AZ760" s="118"/>
      <c r="BA760" s="118"/>
      <c r="BB760" s="118"/>
      <c r="BC760" s="118"/>
      <c r="BD760" s="118"/>
      <c r="BE760" s="118"/>
      <c r="BF760" s="118"/>
      <c r="BG760" s="118"/>
      <c r="BH760" s="118"/>
      <c r="BI760" s="118"/>
      <c r="BJ760" s="118"/>
      <c r="BK760" s="118"/>
      <c r="BL760" s="118"/>
      <c r="BM760" s="118"/>
      <c r="BN760" s="118"/>
      <c r="BO760" s="118"/>
      <c r="BP760" s="118"/>
      <c r="BQ760" s="118"/>
      <c r="BR760" s="118"/>
      <c r="BS760" s="118"/>
      <c r="BT760" s="118"/>
      <c r="BU760" s="118"/>
      <c r="BV760" s="118"/>
      <c r="BW760" s="118"/>
      <c r="BX760" s="118"/>
      <c r="BY760" s="118"/>
      <c r="BZ760" s="118"/>
      <c r="CA760" s="118"/>
      <c r="CB760" s="118"/>
      <c r="CC760" s="118"/>
      <c r="CD760" s="118"/>
      <c r="CE760" s="118"/>
      <c r="CF760" s="118"/>
      <c r="CG760" s="118"/>
      <c r="CH760" s="118"/>
      <c r="CI760" s="118"/>
      <c r="CJ760" s="118"/>
      <c r="CK760" s="118"/>
      <c r="CL760" s="118"/>
      <c r="CM760" s="118"/>
      <c r="CN760" s="118"/>
      <c r="CO760" s="118"/>
      <c r="CP760" s="118"/>
      <c r="CQ760" s="118"/>
      <c r="CR760" s="118"/>
      <c r="CS760" s="118"/>
      <c r="CT760" s="118"/>
      <c r="CU760" s="118"/>
      <c r="CV760" s="118"/>
      <c r="CW760" s="118"/>
      <c r="CX760" s="118"/>
      <c r="CY760" s="118"/>
      <c r="CZ760" s="118"/>
      <c r="DA760" s="118"/>
      <c r="DB760" s="118"/>
      <c r="DC760" s="118"/>
      <c r="DD760" s="118"/>
      <c r="DE760" s="118"/>
      <c r="DF760" s="118"/>
      <c r="DG760" s="118"/>
      <c r="DH760" s="118"/>
      <c r="DI760" s="118"/>
      <c r="DJ760" s="118"/>
      <c r="DK760" s="118"/>
      <c r="DL760" s="118"/>
      <c r="DM760" s="118"/>
      <c r="DN760" s="118"/>
      <c r="DO760" s="118"/>
      <c r="DP760" s="118"/>
      <c r="DQ760" s="118"/>
      <c r="DR760" s="118"/>
      <c r="DS760" s="118"/>
      <c r="DT760" s="118"/>
      <c r="DU760" s="118"/>
      <c r="DV760" s="118"/>
      <c r="DW760" s="118"/>
      <c r="DX760" s="118"/>
      <c r="DY760" s="118"/>
      <c r="DZ760" s="118"/>
      <c r="EA760" s="118"/>
    </row>
    <row r="761" spans="1:16" ht="11.25" customHeight="1" hidden="1">
      <c r="A761" s="3" t="s">
        <v>2</v>
      </c>
      <c r="B761" s="4"/>
      <c r="C761" s="4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24"/>
    </row>
    <row r="762" spans="1:16" ht="14.25" customHeight="1" hidden="1">
      <c r="A762" s="6" t="s">
        <v>23</v>
      </c>
      <c r="B762" s="4"/>
      <c r="C762" s="4"/>
      <c r="D762" s="5">
        <f>D760</f>
        <v>150000</v>
      </c>
      <c r="E762" s="5"/>
      <c r="F762" s="5">
        <f>D762+E762</f>
        <v>150000</v>
      </c>
      <c r="G762" s="5"/>
      <c r="H762" s="5"/>
      <c r="I762" s="5"/>
      <c r="J762" s="5"/>
      <c r="K762" s="5"/>
      <c r="L762" s="5"/>
      <c r="M762" s="5"/>
      <c r="N762" s="5"/>
      <c r="O762" s="5"/>
      <c r="P762" s="24"/>
    </row>
    <row r="763" spans="1:16" ht="10.5" customHeight="1" hidden="1">
      <c r="A763" s="3" t="s">
        <v>3</v>
      </c>
      <c r="B763" s="4"/>
      <c r="C763" s="4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24"/>
    </row>
    <row r="764" spans="1:16" ht="24.75" customHeight="1" hidden="1">
      <c r="A764" s="6" t="s">
        <v>83</v>
      </c>
      <c r="B764" s="4"/>
      <c r="C764" s="4"/>
      <c r="D764" s="5">
        <v>150</v>
      </c>
      <c r="E764" s="5"/>
      <c r="F764" s="5">
        <f>D764</f>
        <v>150</v>
      </c>
      <c r="G764" s="5"/>
      <c r="H764" s="5"/>
      <c r="I764" s="5"/>
      <c r="J764" s="5"/>
      <c r="K764" s="5"/>
      <c r="L764" s="5"/>
      <c r="M764" s="5"/>
      <c r="N764" s="5"/>
      <c r="O764" s="5"/>
      <c r="P764" s="24"/>
    </row>
    <row r="765" spans="1:16" ht="11.25" hidden="1">
      <c r="A765" s="3" t="s">
        <v>5</v>
      </c>
      <c r="B765" s="4"/>
      <c r="C765" s="4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24"/>
    </row>
    <row r="766" spans="1:16" ht="24.75" customHeight="1" hidden="1">
      <c r="A766" s="6" t="s">
        <v>84</v>
      </c>
      <c r="B766" s="4"/>
      <c r="C766" s="4"/>
      <c r="D766" s="5">
        <f>D762/D764</f>
        <v>1000</v>
      </c>
      <c r="E766" s="5"/>
      <c r="F766" s="5">
        <f>D766</f>
        <v>1000</v>
      </c>
      <c r="G766" s="5"/>
      <c r="H766" s="5"/>
      <c r="I766" s="5"/>
      <c r="J766" s="5"/>
      <c r="K766" s="5"/>
      <c r="L766" s="5"/>
      <c r="M766" s="5"/>
      <c r="N766" s="5"/>
      <c r="O766" s="5"/>
      <c r="P766" s="24"/>
    </row>
    <row r="767" spans="1:131" s="87" customFormat="1" ht="36.75" customHeight="1" hidden="1">
      <c r="A767" s="85" t="s">
        <v>558</v>
      </c>
      <c r="B767" s="77"/>
      <c r="C767" s="77"/>
      <c r="D767" s="81">
        <f>800000-250000</f>
        <v>550000</v>
      </c>
      <c r="E767" s="81">
        <f>500000-300000</f>
        <v>200000</v>
      </c>
      <c r="F767" s="81">
        <f>D767+E767</f>
        <v>750000</v>
      </c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118"/>
      <c r="R767" s="118"/>
      <c r="S767" s="118"/>
      <c r="T767" s="118"/>
      <c r="U767" s="118"/>
      <c r="V767" s="118"/>
      <c r="W767" s="118"/>
      <c r="X767" s="118"/>
      <c r="Y767" s="118"/>
      <c r="Z767" s="118"/>
      <c r="AA767" s="118"/>
      <c r="AB767" s="118"/>
      <c r="AC767" s="118"/>
      <c r="AD767" s="118"/>
      <c r="AE767" s="118"/>
      <c r="AF767" s="118"/>
      <c r="AG767" s="118"/>
      <c r="AH767" s="118"/>
      <c r="AI767" s="118"/>
      <c r="AJ767" s="118"/>
      <c r="AK767" s="118"/>
      <c r="AL767" s="118"/>
      <c r="AM767" s="118"/>
      <c r="AN767" s="118"/>
      <c r="AO767" s="118"/>
      <c r="AP767" s="118"/>
      <c r="AQ767" s="118"/>
      <c r="AR767" s="118"/>
      <c r="AS767" s="118"/>
      <c r="AT767" s="118"/>
      <c r="AU767" s="118"/>
      <c r="AV767" s="118"/>
      <c r="AW767" s="118"/>
      <c r="AX767" s="118"/>
      <c r="AY767" s="118"/>
      <c r="AZ767" s="118"/>
      <c r="BA767" s="118"/>
      <c r="BB767" s="118"/>
      <c r="BC767" s="118"/>
      <c r="BD767" s="118"/>
      <c r="BE767" s="118"/>
      <c r="BF767" s="118"/>
      <c r="BG767" s="118"/>
      <c r="BH767" s="118"/>
      <c r="BI767" s="118"/>
      <c r="BJ767" s="118"/>
      <c r="BK767" s="118"/>
      <c r="BL767" s="118"/>
      <c r="BM767" s="118"/>
      <c r="BN767" s="118"/>
      <c r="BO767" s="118"/>
      <c r="BP767" s="118"/>
      <c r="BQ767" s="118"/>
      <c r="BR767" s="118"/>
      <c r="BS767" s="118"/>
      <c r="BT767" s="118"/>
      <c r="BU767" s="118"/>
      <c r="BV767" s="118"/>
      <c r="BW767" s="118"/>
      <c r="BX767" s="118"/>
      <c r="BY767" s="118"/>
      <c r="BZ767" s="118"/>
      <c r="CA767" s="118"/>
      <c r="CB767" s="118"/>
      <c r="CC767" s="118"/>
      <c r="CD767" s="118"/>
      <c r="CE767" s="118"/>
      <c r="CF767" s="118"/>
      <c r="CG767" s="118"/>
      <c r="CH767" s="118"/>
      <c r="CI767" s="118"/>
      <c r="CJ767" s="118"/>
      <c r="CK767" s="118"/>
      <c r="CL767" s="118"/>
      <c r="CM767" s="118"/>
      <c r="CN767" s="118"/>
      <c r="CO767" s="118"/>
      <c r="CP767" s="118"/>
      <c r="CQ767" s="118"/>
      <c r="CR767" s="118"/>
      <c r="CS767" s="118"/>
      <c r="CT767" s="118"/>
      <c r="CU767" s="118"/>
      <c r="CV767" s="118"/>
      <c r="CW767" s="118"/>
      <c r="CX767" s="118"/>
      <c r="CY767" s="118"/>
      <c r="CZ767" s="118"/>
      <c r="DA767" s="118"/>
      <c r="DB767" s="118"/>
      <c r="DC767" s="118"/>
      <c r="DD767" s="118"/>
      <c r="DE767" s="118"/>
      <c r="DF767" s="118"/>
      <c r="DG767" s="118"/>
      <c r="DH767" s="118"/>
      <c r="DI767" s="118"/>
      <c r="DJ767" s="118"/>
      <c r="DK767" s="118"/>
      <c r="DL767" s="118"/>
      <c r="DM767" s="118"/>
      <c r="DN767" s="118"/>
      <c r="DO767" s="118"/>
      <c r="DP767" s="118"/>
      <c r="DQ767" s="118"/>
      <c r="DR767" s="118"/>
      <c r="DS767" s="118"/>
      <c r="DT767" s="118"/>
      <c r="DU767" s="118"/>
      <c r="DV767" s="118"/>
      <c r="DW767" s="118"/>
      <c r="DX767" s="118"/>
      <c r="DY767" s="118"/>
      <c r="DZ767" s="118"/>
      <c r="EA767" s="118"/>
    </row>
    <row r="768" spans="1:16" ht="11.25" hidden="1">
      <c r="A768" s="3" t="s">
        <v>2</v>
      </c>
      <c r="B768" s="4"/>
      <c r="C768" s="4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24"/>
    </row>
    <row r="769" spans="1:16" ht="22.5" hidden="1">
      <c r="A769" s="6" t="s">
        <v>548</v>
      </c>
      <c r="B769" s="4"/>
      <c r="C769" s="4"/>
      <c r="D769" s="5">
        <f>D767</f>
        <v>550000</v>
      </c>
      <c r="E769" s="5">
        <f>E767</f>
        <v>200000</v>
      </c>
      <c r="F769" s="5">
        <f>D769+E769</f>
        <v>750000</v>
      </c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22.5" hidden="1">
      <c r="A770" s="6" t="s">
        <v>167</v>
      </c>
      <c r="B770" s="4"/>
      <c r="C770" s="4"/>
      <c r="D770" s="5">
        <f>35000+10000</f>
        <v>45000</v>
      </c>
      <c r="E770" s="5"/>
      <c r="F770" s="5">
        <f>D770+E770</f>
        <v>45000</v>
      </c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1.25" hidden="1">
      <c r="A771" s="3" t="s">
        <v>3</v>
      </c>
      <c r="B771" s="4"/>
      <c r="C771" s="4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22.5" hidden="1">
      <c r="A772" s="261" t="s">
        <v>100</v>
      </c>
      <c r="B772" s="4"/>
      <c r="C772" s="4"/>
      <c r="D772" s="5">
        <v>5</v>
      </c>
      <c r="E772" s="5">
        <v>1</v>
      </c>
      <c r="F772" s="5">
        <f>D772+E772</f>
        <v>6</v>
      </c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22.5" hidden="1">
      <c r="A773" s="261" t="s">
        <v>165</v>
      </c>
      <c r="B773" s="4"/>
      <c r="C773" s="4"/>
      <c r="D773" s="5">
        <v>1</v>
      </c>
      <c r="E773" s="5"/>
      <c r="F773" s="5">
        <f>D773+E773</f>
        <v>1</v>
      </c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1.25" hidden="1">
      <c r="A774" s="3" t="s">
        <v>5</v>
      </c>
      <c r="B774" s="4"/>
      <c r="C774" s="4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22.5" hidden="1">
      <c r="A775" s="6" t="s">
        <v>115</v>
      </c>
      <c r="B775" s="4"/>
      <c r="C775" s="4"/>
      <c r="D775" s="5">
        <f>D769/D772</f>
        <v>110000</v>
      </c>
      <c r="E775" s="5">
        <f>E769/E772</f>
        <v>200000</v>
      </c>
      <c r="F775" s="5">
        <f>D775+E775</f>
        <v>310000</v>
      </c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22.5" hidden="1">
      <c r="A776" s="252" t="s">
        <v>166</v>
      </c>
      <c r="B776" s="4"/>
      <c r="C776" s="4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1.25" hidden="1">
      <c r="A777" s="252"/>
      <c r="B777" s="4"/>
      <c r="C777" s="4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31" s="27" customFormat="1" ht="24.75" customHeight="1" hidden="1">
      <c r="A778" s="253" t="s">
        <v>174</v>
      </c>
      <c r="B778" s="23"/>
      <c r="C778" s="23"/>
      <c r="D778" s="24">
        <f>D780</f>
        <v>100000</v>
      </c>
      <c r="E778" s="24"/>
      <c r="F778" s="24">
        <f>D778+E778</f>
        <v>100000</v>
      </c>
      <c r="G778" s="24">
        <f>G782*G784</f>
        <v>130000</v>
      </c>
      <c r="H778" s="24"/>
      <c r="I778" s="24"/>
      <c r="J778" s="24">
        <f>G778+H778</f>
        <v>130000</v>
      </c>
      <c r="K778" s="24"/>
      <c r="L778" s="24"/>
      <c r="M778" s="24"/>
      <c r="N778" s="24">
        <f>N784*N782</f>
        <v>350000</v>
      </c>
      <c r="O778" s="24">
        <f>O784*O782</f>
        <v>0</v>
      </c>
      <c r="P778" s="24">
        <f>P784*P782</f>
        <v>350000</v>
      </c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</row>
    <row r="779" spans="1:16" ht="11.25" hidden="1">
      <c r="A779" s="251" t="s">
        <v>2</v>
      </c>
      <c r="B779" s="4"/>
      <c r="C779" s="4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1.25" hidden="1">
      <c r="A780" s="252" t="s">
        <v>23</v>
      </c>
      <c r="B780" s="4"/>
      <c r="C780" s="4"/>
      <c r="D780" s="5">
        <f>D782*D784</f>
        <v>100000</v>
      </c>
      <c r="E780" s="5"/>
      <c r="F780" s="5">
        <f>D780+E780</f>
        <v>100000</v>
      </c>
      <c r="G780" s="5">
        <f>G782*G784</f>
        <v>130000</v>
      </c>
      <c r="H780" s="5"/>
      <c r="I780" s="5"/>
      <c r="J780" s="5">
        <f>G780+H780</f>
        <v>130000</v>
      </c>
      <c r="K780" s="5"/>
      <c r="L780" s="5"/>
      <c r="M780" s="5"/>
      <c r="N780" s="5">
        <f>N782*N784</f>
        <v>350000</v>
      </c>
      <c r="O780" s="5"/>
      <c r="P780" s="5">
        <f>N780+O780</f>
        <v>350000</v>
      </c>
    </row>
    <row r="781" spans="1:16" ht="11.25" hidden="1">
      <c r="A781" s="251" t="s">
        <v>3</v>
      </c>
      <c r="B781" s="4"/>
      <c r="C781" s="4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4.25" customHeight="1" hidden="1">
      <c r="A782" s="252" t="s">
        <v>110</v>
      </c>
      <c r="B782" s="4"/>
      <c r="C782" s="4"/>
      <c r="D782" s="5">
        <v>8</v>
      </c>
      <c r="E782" s="5"/>
      <c r="F782" s="5">
        <f>D782+E782</f>
        <v>8</v>
      </c>
      <c r="G782" s="5">
        <v>2</v>
      </c>
      <c r="H782" s="5"/>
      <c r="I782" s="5"/>
      <c r="J782" s="5">
        <f>G782+H782</f>
        <v>2</v>
      </c>
      <c r="K782" s="5"/>
      <c r="L782" s="5"/>
      <c r="M782" s="5"/>
      <c r="N782" s="5">
        <v>5</v>
      </c>
      <c r="O782" s="5"/>
      <c r="P782" s="5">
        <f>N782+O782</f>
        <v>5</v>
      </c>
    </row>
    <row r="783" spans="1:16" ht="12" customHeight="1" hidden="1">
      <c r="A783" s="251" t="s">
        <v>5</v>
      </c>
      <c r="B783" s="4"/>
      <c r="C783" s="4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24.75" customHeight="1" hidden="1">
      <c r="A784" s="252" t="s">
        <v>95</v>
      </c>
      <c r="B784" s="4"/>
      <c r="C784" s="4"/>
      <c r="D784" s="5">
        <f>100000/8</f>
        <v>12500</v>
      </c>
      <c r="E784" s="5"/>
      <c r="F784" s="5">
        <f>D784+E784</f>
        <v>12500</v>
      </c>
      <c r="G784" s="5">
        <v>65000</v>
      </c>
      <c r="H784" s="5"/>
      <c r="I784" s="5"/>
      <c r="J784" s="5">
        <f>G784+H784</f>
        <v>65000</v>
      </c>
      <c r="K784" s="5"/>
      <c r="L784" s="5"/>
      <c r="M784" s="5"/>
      <c r="N784" s="5">
        <v>70000</v>
      </c>
      <c r="O784" s="5"/>
      <c r="P784" s="5">
        <f>N784+O784</f>
        <v>70000</v>
      </c>
    </row>
    <row r="785" spans="1:17" ht="33.75" hidden="1">
      <c r="A785" s="253" t="s">
        <v>175</v>
      </c>
      <c r="B785" s="23"/>
      <c r="C785" s="23"/>
      <c r="D785" s="12"/>
      <c r="E785" s="24">
        <f>E787</f>
        <v>50000</v>
      </c>
      <c r="F785" s="24">
        <f>F787</f>
        <v>50000</v>
      </c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38"/>
    </row>
    <row r="786" spans="1:17" ht="11.25" hidden="1">
      <c r="A786" s="251" t="s">
        <v>2</v>
      </c>
      <c r="B786" s="4"/>
      <c r="C786" s="4"/>
      <c r="D786" s="12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38"/>
    </row>
    <row r="787" spans="1:17" ht="11.25" hidden="1">
      <c r="A787" s="252" t="s">
        <v>23</v>
      </c>
      <c r="B787" s="4"/>
      <c r="C787" s="4"/>
      <c r="D787" s="12"/>
      <c r="E787" s="5">
        <f>E789*E791</f>
        <v>50000</v>
      </c>
      <c r="F787" s="5">
        <f>F789*F791</f>
        <v>50000</v>
      </c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39"/>
    </row>
    <row r="788" spans="1:17" ht="11.25" hidden="1">
      <c r="A788" s="3" t="s">
        <v>3</v>
      </c>
      <c r="B788" s="4"/>
      <c r="C788" s="4"/>
      <c r="D788" s="12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39"/>
    </row>
    <row r="789" spans="1:17" ht="11.25" hidden="1">
      <c r="A789" s="6" t="s">
        <v>110</v>
      </c>
      <c r="B789" s="4"/>
      <c r="C789" s="4"/>
      <c r="D789" s="12"/>
      <c r="E789" s="5">
        <v>1</v>
      </c>
      <c r="F789" s="5">
        <v>1</v>
      </c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39">
        <v>5500</v>
      </c>
    </row>
    <row r="790" spans="1:17" ht="11.25" hidden="1">
      <c r="A790" s="3" t="s">
        <v>5</v>
      </c>
      <c r="B790" s="4"/>
      <c r="C790" s="4"/>
      <c r="D790" s="12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14"/>
    </row>
    <row r="791" spans="1:17" ht="22.5" hidden="1">
      <c r="A791" s="6" t="s">
        <v>95</v>
      </c>
      <c r="B791" s="4"/>
      <c r="C791" s="4"/>
      <c r="D791" s="12"/>
      <c r="E791" s="5">
        <v>50000</v>
      </c>
      <c r="F791" s="5">
        <v>50000</v>
      </c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14"/>
    </row>
    <row r="792" spans="1:17" ht="33.75" hidden="1">
      <c r="A792" s="22" t="s">
        <v>176</v>
      </c>
      <c r="B792" s="23"/>
      <c r="C792" s="23"/>
      <c r="D792" s="24">
        <f>D794</f>
        <v>790000</v>
      </c>
      <c r="E792" s="24"/>
      <c r="F792" s="24">
        <f>F794</f>
        <v>790000</v>
      </c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14"/>
    </row>
    <row r="793" spans="1:17" ht="11.25" hidden="1">
      <c r="A793" s="3" t="s">
        <v>2</v>
      </c>
      <c r="B793" s="4"/>
      <c r="C793" s="4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14"/>
    </row>
    <row r="794" spans="1:17" ht="11.25" hidden="1">
      <c r="A794" s="6" t="s">
        <v>23</v>
      </c>
      <c r="B794" s="4"/>
      <c r="C794" s="4"/>
      <c r="D794" s="5">
        <f>D796*D798</f>
        <v>790000</v>
      </c>
      <c r="E794" s="5"/>
      <c r="F794" s="5">
        <f>F796*F798</f>
        <v>790000</v>
      </c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14"/>
    </row>
    <row r="795" spans="1:17" ht="11.25" hidden="1">
      <c r="A795" s="3" t="s">
        <v>3</v>
      </c>
      <c r="B795" s="4"/>
      <c r="C795" s="4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14"/>
    </row>
    <row r="796" spans="1:17" ht="11.25" hidden="1">
      <c r="A796" s="6" t="s">
        <v>110</v>
      </c>
      <c r="B796" s="4"/>
      <c r="C796" s="4"/>
      <c r="D796" s="5">
        <v>1</v>
      </c>
      <c r="E796" s="5"/>
      <c r="F796" s="5">
        <v>1</v>
      </c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14"/>
    </row>
    <row r="797" spans="1:17" ht="11.25" hidden="1">
      <c r="A797" s="3" t="s">
        <v>5</v>
      </c>
      <c r="B797" s="4"/>
      <c r="C797" s="4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14"/>
    </row>
    <row r="798" spans="1:17" ht="22.5" hidden="1">
      <c r="A798" s="6" t="s">
        <v>95</v>
      </c>
      <c r="B798" s="4"/>
      <c r="C798" s="4"/>
      <c r="D798" s="5">
        <v>790000</v>
      </c>
      <c r="E798" s="5"/>
      <c r="F798" s="5">
        <v>790000</v>
      </c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14"/>
    </row>
    <row r="799" spans="1:17" ht="36" customHeight="1" hidden="1">
      <c r="A799" s="85" t="s">
        <v>177</v>
      </c>
      <c r="B799" s="23"/>
      <c r="C799" s="23"/>
      <c r="D799" s="24"/>
      <c r="E799" s="24">
        <f>E801</f>
        <v>320000</v>
      </c>
      <c r="F799" s="24">
        <f>F801</f>
        <v>320000</v>
      </c>
      <c r="G799" s="24"/>
      <c r="H799" s="24"/>
      <c r="I799" s="24"/>
      <c r="J799" s="24"/>
      <c r="K799" s="24"/>
      <c r="L799" s="24"/>
      <c r="M799" s="24"/>
      <c r="N799" s="24"/>
      <c r="O799" s="24">
        <f>O801</f>
        <v>1021000</v>
      </c>
      <c r="P799" s="24">
        <f>N799+O799</f>
        <v>1021000</v>
      </c>
      <c r="Q799" s="14"/>
    </row>
    <row r="800" spans="1:17" ht="11.25" hidden="1">
      <c r="A800" s="3" t="s">
        <v>2</v>
      </c>
      <c r="B800" s="4"/>
      <c r="C800" s="4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24"/>
      <c r="Q800" s="14"/>
    </row>
    <row r="801" spans="1:17" ht="11.25" hidden="1">
      <c r="A801" s="6" t="s">
        <v>23</v>
      </c>
      <c r="B801" s="4"/>
      <c r="C801" s="4"/>
      <c r="D801" s="5"/>
      <c r="E801" s="5">
        <f>E803*E805</f>
        <v>320000</v>
      </c>
      <c r="F801" s="5">
        <f>F803*F805</f>
        <v>320000</v>
      </c>
      <c r="G801" s="5"/>
      <c r="H801" s="5"/>
      <c r="I801" s="5"/>
      <c r="J801" s="5"/>
      <c r="K801" s="5"/>
      <c r="L801" s="5"/>
      <c r="M801" s="5"/>
      <c r="N801" s="5"/>
      <c r="O801" s="5">
        <v>1021000</v>
      </c>
      <c r="P801" s="5">
        <f>N801+O801</f>
        <v>1021000</v>
      </c>
      <c r="Q801" s="14"/>
    </row>
    <row r="802" spans="1:17" ht="11.25" hidden="1">
      <c r="A802" s="3" t="s">
        <v>3</v>
      </c>
      <c r="B802" s="4"/>
      <c r="C802" s="4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14"/>
    </row>
    <row r="803" spans="1:17" ht="11.25" hidden="1">
      <c r="A803" s="6" t="s">
        <v>110</v>
      </c>
      <c r="B803" s="4"/>
      <c r="C803" s="4"/>
      <c r="D803" s="5"/>
      <c r="E803" s="5">
        <v>1</v>
      </c>
      <c r="F803" s="5">
        <v>1</v>
      </c>
      <c r="G803" s="5"/>
      <c r="H803" s="5"/>
      <c r="I803" s="5"/>
      <c r="J803" s="5"/>
      <c r="K803" s="5"/>
      <c r="L803" s="5"/>
      <c r="M803" s="5"/>
      <c r="N803" s="5"/>
      <c r="O803" s="5">
        <v>1</v>
      </c>
      <c r="P803" s="5">
        <f>N803+O803</f>
        <v>1</v>
      </c>
      <c r="Q803" s="14"/>
    </row>
    <row r="804" spans="1:17" ht="11.25" hidden="1">
      <c r="A804" s="3" t="s">
        <v>5</v>
      </c>
      <c r="B804" s="4"/>
      <c r="C804" s="4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14"/>
    </row>
    <row r="805" spans="1:131" ht="11.25" hidden="1">
      <c r="A805" s="6" t="s">
        <v>153</v>
      </c>
      <c r="B805" s="4"/>
      <c r="C805" s="4"/>
      <c r="D805" s="5"/>
      <c r="E805" s="5">
        <v>320000</v>
      </c>
      <c r="F805" s="5">
        <v>320000</v>
      </c>
      <c r="G805" s="5"/>
      <c r="H805" s="5"/>
      <c r="I805" s="5"/>
      <c r="J805" s="5"/>
      <c r="K805" s="5"/>
      <c r="L805" s="5"/>
      <c r="M805" s="5"/>
      <c r="N805" s="5"/>
      <c r="O805" s="5">
        <v>1021000</v>
      </c>
      <c r="P805" s="5">
        <f>N805+O805</f>
        <v>1021000</v>
      </c>
      <c r="Q805" s="1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4"/>
      <c r="AL805" s="34"/>
      <c r="AM805" s="34"/>
      <c r="AN805" s="34"/>
      <c r="AO805" s="34"/>
      <c r="AP805" s="34"/>
      <c r="AQ805" s="34"/>
      <c r="AR805" s="34"/>
      <c r="AS805" s="34"/>
      <c r="AT805" s="34"/>
      <c r="AU805" s="34"/>
      <c r="AV805" s="34"/>
      <c r="AW805" s="34"/>
      <c r="AX805" s="34"/>
      <c r="AY805" s="34"/>
      <c r="AZ805" s="34"/>
      <c r="BA805" s="34"/>
      <c r="BB805" s="34"/>
      <c r="BC805" s="34"/>
      <c r="BD805" s="34"/>
      <c r="BE805" s="34"/>
      <c r="BF805" s="34"/>
      <c r="BG805" s="34"/>
      <c r="BH805" s="34"/>
      <c r="BI805" s="34"/>
      <c r="BJ805" s="34"/>
      <c r="BK805" s="34"/>
      <c r="BL805" s="34"/>
      <c r="BM805" s="34"/>
      <c r="BN805" s="34"/>
      <c r="BO805" s="34"/>
      <c r="BP805" s="34"/>
      <c r="BQ805" s="34"/>
      <c r="BR805" s="34"/>
      <c r="BS805" s="34"/>
      <c r="BT805" s="34"/>
      <c r="BU805" s="34"/>
      <c r="BV805" s="34"/>
      <c r="BW805" s="34"/>
      <c r="BX805" s="34"/>
      <c r="BY805" s="34"/>
      <c r="BZ805" s="34"/>
      <c r="CA805" s="34"/>
      <c r="CB805" s="34"/>
      <c r="CC805" s="34"/>
      <c r="CD805" s="34"/>
      <c r="CE805" s="34"/>
      <c r="CF805" s="34"/>
      <c r="CG805" s="34"/>
      <c r="CH805" s="34"/>
      <c r="CI805" s="34"/>
      <c r="CJ805" s="34"/>
      <c r="CK805" s="34"/>
      <c r="CL805" s="34"/>
      <c r="CM805" s="34"/>
      <c r="CN805" s="34"/>
      <c r="CO805" s="34"/>
      <c r="CP805" s="34"/>
      <c r="CQ805" s="34"/>
      <c r="CR805" s="34"/>
      <c r="CS805" s="34"/>
      <c r="CT805" s="34"/>
      <c r="CU805" s="34"/>
      <c r="CV805" s="34"/>
      <c r="CW805" s="34"/>
      <c r="CX805" s="34"/>
      <c r="CY805" s="34"/>
      <c r="CZ805" s="34"/>
      <c r="DA805" s="34"/>
      <c r="DB805" s="34"/>
      <c r="DC805" s="34"/>
      <c r="DD805" s="34"/>
      <c r="DE805" s="34"/>
      <c r="DF805" s="34"/>
      <c r="DG805" s="34"/>
      <c r="DH805" s="34"/>
      <c r="DI805" s="34"/>
      <c r="DJ805" s="34"/>
      <c r="DK805" s="34"/>
      <c r="DL805" s="34"/>
      <c r="DM805" s="34"/>
      <c r="DN805" s="34"/>
      <c r="DO805" s="34"/>
      <c r="DP805" s="34"/>
      <c r="DQ805" s="34"/>
      <c r="DR805" s="34"/>
      <c r="DS805" s="34"/>
      <c r="DT805" s="34"/>
      <c r="DU805" s="34"/>
      <c r="DV805" s="34"/>
      <c r="DW805" s="34"/>
      <c r="DX805" s="34"/>
      <c r="DY805" s="34"/>
      <c r="DZ805" s="34"/>
      <c r="EA805" s="34"/>
    </row>
    <row r="806" spans="1:17" ht="24" customHeight="1" hidden="1">
      <c r="A806" s="22" t="s">
        <v>178</v>
      </c>
      <c r="B806" s="23"/>
      <c r="C806" s="23"/>
      <c r="D806" s="24"/>
      <c r="E806" s="24">
        <f>E808</f>
        <v>0</v>
      </c>
      <c r="F806" s="24">
        <f>F808</f>
        <v>0</v>
      </c>
      <c r="G806" s="24">
        <f>G808</f>
        <v>1952000</v>
      </c>
      <c r="H806" s="24"/>
      <c r="I806" s="24"/>
      <c r="J806" s="24">
        <f>J808</f>
        <v>1952000</v>
      </c>
      <c r="K806" s="24"/>
      <c r="L806" s="24"/>
      <c r="M806" s="24"/>
      <c r="N806" s="24"/>
      <c r="O806" s="24"/>
      <c r="P806" s="24"/>
      <c r="Q806" s="14"/>
    </row>
    <row r="807" spans="1:17" ht="11.25" hidden="1">
      <c r="A807" s="3" t="s">
        <v>2</v>
      </c>
      <c r="B807" s="4"/>
      <c r="C807" s="4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14"/>
    </row>
    <row r="808" spans="1:17" ht="11.25" hidden="1">
      <c r="A808" s="6" t="s">
        <v>23</v>
      </c>
      <c r="B808" s="4"/>
      <c r="C808" s="4"/>
      <c r="D808" s="5"/>
      <c r="E808" s="5">
        <f>E810*E812</f>
        <v>0</v>
      </c>
      <c r="F808" s="5">
        <f>F810*F812</f>
        <v>0</v>
      </c>
      <c r="G808" s="5">
        <f>G810*G812</f>
        <v>1952000</v>
      </c>
      <c r="H808" s="5"/>
      <c r="I808" s="5"/>
      <c r="J808" s="5">
        <f>G808</f>
        <v>1952000</v>
      </c>
      <c r="K808" s="5"/>
      <c r="L808" s="5"/>
      <c r="M808" s="5"/>
      <c r="N808" s="5"/>
      <c r="O808" s="5"/>
      <c r="P808" s="5"/>
      <c r="Q808" s="14"/>
    </row>
    <row r="809" spans="1:17" ht="11.25" hidden="1">
      <c r="A809" s="3" t="s">
        <v>3</v>
      </c>
      <c r="B809" s="4"/>
      <c r="C809" s="4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14"/>
    </row>
    <row r="810" spans="1:17" ht="11.25" hidden="1">
      <c r="A810" s="6" t="s">
        <v>110</v>
      </c>
      <c r="B810" s="4"/>
      <c r="C810" s="4"/>
      <c r="D810" s="5"/>
      <c r="E810" s="5">
        <v>0</v>
      </c>
      <c r="F810" s="5">
        <v>0</v>
      </c>
      <c r="G810" s="5">
        <v>1</v>
      </c>
      <c r="H810" s="5"/>
      <c r="I810" s="5"/>
      <c r="J810" s="5">
        <f>G810</f>
        <v>1</v>
      </c>
      <c r="K810" s="5"/>
      <c r="L810" s="5"/>
      <c r="M810" s="5"/>
      <c r="N810" s="5"/>
      <c r="O810" s="5"/>
      <c r="P810" s="5"/>
      <c r="Q810" s="14"/>
    </row>
    <row r="811" spans="1:17" ht="11.25" hidden="1">
      <c r="A811" s="3" t="s">
        <v>5</v>
      </c>
      <c r="B811" s="4"/>
      <c r="C811" s="4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14"/>
    </row>
    <row r="812" spans="1:131" ht="11.25" hidden="1">
      <c r="A812" s="6" t="s">
        <v>153</v>
      </c>
      <c r="B812" s="4"/>
      <c r="C812" s="4"/>
      <c r="D812" s="5"/>
      <c r="E812" s="5"/>
      <c r="F812" s="5">
        <v>0</v>
      </c>
      <c r="G812" s="5">
        <f>2300000-348000</f>
        <v>1952000</v>
      </c>
      <c r="H812" s="5"/>
      <c r="I812" s="5"/>
      <c r="J812" s="5">
        <f>G812</f>
        <v>1952000</v>
      </c>
      <c r="K812" s="5"/>
      <c r="L812" s="5"/>
      <c r="M812" s="5"/>
      <c r="N812" s="5"/>
      <c r="O812" s="5"/>
      <c r="P812" s="5"/>
      <c r="Q812" s="1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  <c r="AK812" s="34"/>
      <c r="AL812" s="34"/>
      <c r="AM812" s="34"/>
      <c r="AN812" s="34"/>
      <c r="AO812" s="34"/>
      <c r="AP812" s="34"/>
      <c r="AQ812" s="34"/>
      <c r="AR812" s="34"/>
      <c r="AS812" s="34"/>
      <c r="AT812" s="34"/>
      <c r="AU812" s="34"/>
      <c r="AV812" s="34"/>
      <c r="AW812" s="34"/>
      <c r="AX812" s="34"/>
      <c r="AY812" s="34"/>
      <c r="AZ812" s="34"/>
      <c r="BA812" s="34"/>
      <c r="BB812" s="34"/>
      <c r="BC812" s="34"/>
      <c r="BD812" s="34"/>
      <c r="BE812" s="34"/>
      <c r="BF812" s="34"/>
      <c r="BG812" s="34"/>
      <c r="BH812" s="34"/>
      <c r="BI812" s="34"/>
      <c r="BJ812" s="34"/>
      <c r="BK812" s="34"/>
      <c r="BL812" s="34"/>
      <c r="BM812" s="34"/>
      <c r="BN812" s="34"/>
      <c r="BO812" s="34"/>
      <c r="BP812" s="34"/>
      <c r="BQ812" s="34"/>
      <c r="BR812" s="34"/>
      <c r="BS812" s="34"/>
      <c r="BT812" s="34"/>
      <c r="BU812" s="34"/>
      <c r="BV812" s="34"/>
      <c r="BW812" s="34"/>
      <c r="BX812" s="34"/>
      <c r="BY812" s="34"/>
      <c r="BZ812" s="34"/>
      <c r="CA812" s="34"/>
      <c r="CB812" s="34"/>
      <c r="CC812" s="34"/>
      <c r="CD812" s="34"/>
      <c r="CE812" s="34"/>
      <c r="CF812" s="34"/>
      <c r="CG812" s="34"/>
      <c r="CH812" s="34"/>
      <c r="CI812" s="34"/>
      <c r="CJ812" s="34"/>
      <c r="CK812" s="34"/>
      <c r="CL812" s="34"/>
      <c r="CM812" s="34"/>
      <c r="CN812" s="34"/>
      <c r="CO812" s="34"/>
      <c r="CP812" s="34"/>
      <c r="CQ812" s="34"/>
      <c r="CR812" s="34"/>
      <c r="CS812" s="34"/>
      <c r="CT812" s="34"/>
      <c r="CU812" s="34"/>
      <c r="CV812" s="34"/>
      <c r="CW812" s="34"/>
      <c r="CX812" s="34"/>
      <c r="CY812" s="34"/>
      <c r="CZ812" s="34"/>
      <c r="DA812" s="34"/>
      <c r="DB812" s="34"/>
      <c r="DC812" s="34"/>
      <c r="DD812" s="34"/>
      <c r="DE812" s="34"/>
      <c r="DF812" s="34"/>
      <c r="DG812" s="34"/>
      <c r="DH812" s="34"/>
      <c r="DI812" s="34"/>
      <c r="DJ812" s="34"/>
      <c r="DK812" s="34"/>
      <c r="DL812" s="34"/>
      <c r="DM812" s="34"/>
      <c r="DN812" s="34"/>
      <c r="DO812" s="34"/>
      <c r="DP812" s="34"/>
      <c r="DQ812" s="34"/>
      <c r="DR812" s="34"/>
      <c r="DS812" s="34"/>
      <c r="DT812" s="34"/>
      <c r="DU812" s="34"/>
      <c r="DV812" s="34"/>
      <c r="DW812" s="34"/>
      <c r="DX812" s="34"/>
      <c r="DY812" s="34"/>
      <c r="DZ812" s="34"/>
      <c r="EA812" s="34"/>
    </row>
    <row r="813" spans="1:131" ht="22.5" hidden="1">
      <c r="A813" s="22" t="s">
        <v>179</v>
      </c>
      <c r="B813" s="4"/>
      <c r="C813" s="4"/>
      <c r="D813" s="5"/>
      <c r="E813" s="5"/>
      <c r="F813" s="5"/>
      <c r="G813" s="24">
        <f>G815</f>
        <v>920000</v>
      </c>
      <c r="H813" s="5"/>
      <c r="I813" s="5"/>
      <c r="J813" s="24">
        <f>G813</f>
        <v>920000</v>
      </c>
      <c r="K813" s="5"/>
      <c r="L813" s="5"/>
      <c r="M813" s="5"/>
      <c r="N813" s="5"/>
      <c r="O813" s="5"/>
      <c r="P813" s="5"/>
      <c r="Q813" s="1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  <c r="AK813" s="34"/>
      <c r="AL813" s="34"/>
      <c r="AM813" s="34"/>
      <c r="AN813" s="34"/>
      <c r="AO813" s="34"/>
      <c r="AP813" s="34"/>
      <c r="AQ813" s="34"/>
      <c r="AR813" s="34"/>
      <c r="AS813" s="34"/>
      <c r="AT813" s="34"/>
      <c r="AU813" s="34"/>
      <c r="AV813" s="34"/>
      <c r="AW813" s="34"/>
      <c r="AX813" s="34"/>
      <c r="AY813" s="34"/>
      <c r="AZ813" s="34"/>
      <c r="BA813" s="34"/>
      <c r="BB813" s="34"/>
      <c r="BC813" s="34"/>
      <c r="BD813" s="34"/>
      <c r="BE813" s="34"/>
      <c r="BF813" s="34"/>
      <c r="BG813" s="34"/>
      <c r="BH813" s="34"/>
      <c r="BI813" s="34"/>
      <c r="BJ813" s="34"/>
      <c r="BK813" s="34"/>
      <c r="BL813" s="34"/>
      <c r="BM813" s="34"/>
      <c r="BN813" s="34"/>
      <c r="BO813" s="34"/>
      <c r="BP813" s="34"/>
      <c r="BQ813" s="34"/>
      <c r="BR813" s="34"/>
      <c r="BS813" s="34"/>
      <c r="BT813" s="34"/>
      <c r="BU813" s="34"/>
      <c r="BV813" s="34"/>
      <c r="BW813" s="34"/>
      <c r="BX813" s="34"/>
      <c r="BY813" s="34"/>
      <c r="BZ813" s="34"/>
      <c r="CA813" s="34"/>
      <c r="CB813" s="34"/>
      <c r="CC813" s="34"/>
      <c r="CD813" s="34"/>
      <c r="CE813" s="34"/>
      <c r="CF813" s="34"/>
      <c r="CG813" s="34"/>
      <c r="CH813" s="34"/>
      <c r="CI813" s="34"/>
      <c r="CJ813" s="34"/>
      <c r="CK813" s="34"/>
      <c r="CL813" s="34"/>
      <c r="CM813" s="34"/>
      <c r="CN813" s="34"/>
      <c r="CO813" s="34"/>
      <c r="CP813" s="34"/>
      <c r="CQ813" s="34"/>
      <c r="CR813" s="34"/>
      <c r="CS813" s="34"/>
      <c r="CT813" s="34"/>
      <c r="CU813" s="34"/>
      <c r="CV813" s="34"/>
      <c r="CW813" s="34"/>
      <c r="CX813" s="34"/>
      <c r="CY813" s="34"/>
      <c r="CZ813" s="34"/>
      <c r="DA813" s="34"/>
      <c r="DB813" s="34"/>
      <c r="DC813" s="34"/>
      <c r="DD813" s="34"/>
      <c r="DE813" s="34"/>
      <c r="DF813" s="34"/>
      <c r="DG813" s="34"/>
      <c r="DH813" s="34"/>
      <c r="DI813" s="34"/>
      <c r="DJ813" s="34"/>
      <c r="DK813" s="34"/>
      <c r="DL813" s="34"/>
      <c r="DM813" s="34"/>
      <c r="DN813" s="34"/>
      <c r="DO813" s="34"/>
      <c r="DP813" s="34"/>
      <c r="DQ813" s="34"/>
      <c r="DR813" s="34"/>
      <c r="DS813" s="34"/>
      <c r="DT813" s="34"/>
      <c r="DU813" s="34"/>
      <c r="DV813" s="34"/>
      <c r="DW813" s="34"/>
      <c r="DX813" s="34"/>
      <c r="DY813" s="34"/>
      <c r="DZ813" s="34"/>
      <c r="EA813" s="34"/>
    </row>
    <row r="814" spans="1:131" ht="11.25" hidden="1">
      <c r="A814" s="3" t="s">
        <v>2</v>
      </c>
      <c r="B814" s="4"/>
      <c r="C814" s="4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1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  <c r="AS814" s="34"/>
      <c r="AT814" s="34"/>
      <c r="AU814" s="34"/>
      <c r="AV814" s="34"/>
      <c r="AW814" s="34"/>
      <c r="AX814" s="34"/>
      <c r="AY814" s="34"/>
      <c r="AZ814" s="34"/>
      <c r="BA814" s="34"/>
      <c r="BB814" s="34"/>
      <c r="BC814" s="34"/>
      <c r="BD814" s="34"/>
      <c r="BE814" s="34"/>
      <c r="BF814" s="34"/>
      <c r="BG814" s="34"/>
      <c r="BH814" s="34"/>
      <c r="BI814" s="34"/>
      <c r="BJ814" s="34"/>
      <c r="BK814" s="34"/>
      <c r="BL814" s="34"/>
      <c r="BM814" s="34"/>
      <c r="BN814" s="34"/>
      <c r="BO814" s="34"/>
      <c r="BP814" s="34"/>
      <c r="BQ814" s="34"/>
      <c r="BR814" s="34"/>
      <c r="BS814" s="34"/>
      <c r="BT814" s="34"/>
      <c r="BU814" s="34"/>
      <c r="BV814" s="34"/>
      <c r="BW814" s="34"/>
      <c r="BX814" s="34"/>
      <c r="BY814" s="34"/>
      <c r="BZ814" s="34"/>
      <c r="CA814" s="34"/>
      <c r="CB814" s="34"/>
      <c r="CC814" s="34"/>
      <c r="CD814" s="34"/>
      <c r="CE814" s="34"/>
      <c r="CF814" s="34"/>
      <c r="CG814" s="34"/>
      <c r="CH814" s="34"/>
      <c r="CI814" s="34"/>
      <c r="CJ814" s="34"/>
      <c r="CK814" s="34"/>
      <c r="CL814" s="34"/>
      <c r="CM814" s="34"/>
      <c r="CN814" s="34"/>
      <c r="CO814" s="34"/>
      <c r="CP814" s="34"/>
      <c r="CQ814" s="34"/>
      <c r="CR814" s="34"/>
      <c r="CS814" s="34"/>
      <c r="CT814" s="34"/>
      <c r="CU814" s="34"/>
      <c r="CV814" s="34"/>
      <c r="CW814" s="34"/>
      <c r="CX814" s="34"/>
      <c r="CY814" s="34"/>
      <c r="CZ814" s="34"/>
      <c r="DA814" s="34"/>
      <c r="DB814" s="34"/>
      <c r="DC814" s="34"/>
      <c r="DD814" s="34"/>
      <c r="DE814" s="34"/>
      <c r="DF814" s="34"/>
      <c r="DG814" s="34"/>
      <c r="DH814" s="34"/>
      <c r="DI814" s="34"/>
      <c r="DJ814" s="34"/>
      <c r="DK814" s="34"/>
      <c r="DL814" s="34"/>
      <c r="DM814" s="34"/>
      <c r="DN814" s="34"/>
      <c r="DO814" s="34"/>
      <c r="DP814" s="34"/>
      <c r="DQ814" s="34"/>
      <c r="DR814" s="34"/>
      <c r="DS814" s="34"/>
      <c r="DT814" s="34"/>
      <c r="DU814" s="34"/>
      <c r="DV814" s="34"/>
      <c r="DW814" s="34"/>
      <c r="DX814" s="34"/>
      <c r="DY814" s="34"/>
      <c r="DZ814" s="34"/>
      <c r="EA814" s="34"/>
    </row>
    <row r="815" spans="1:131" ht="11.25" hidden="1">
      <c r="A815" s="6" t="s">
        <v>23</v>
      </c>
      <c r="B815" s="4"/>
      <c r="C815" s="4"/>
      <c r="D815" s="5"/>
      <c r="E815" s="5"/>
      <c r="F815" s="5"/>
      <c r="G815" s="5">
        <f>3200000-2280000</f>
        <v>920000</v>
      </c>
      <c r="H815" s="5"/>
      <c r="I815" s="5"/>
      <c r="J815" s="5">
        <f>G815</f>
        <v>920000</v>
      </c>
      <c r="K815" s="5"/>
      <c r="L815" s="5"/>
      <c r="M815" s="5"/>
      <c r="N815" s="5"/>
      <c r="O815" s="5"/>
      <c r="P815" s="5"/>
      <c r="Q815" s="1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4"/>
      <c r="AM815" s="34"/>
      <c r="AN815" s="34"/>
      <c r="AO815" s="34"/>
      <c r="AP815" s="34"/>
      <c r="AQ815" s="34"/>
      <c r="AR815" s="34"/>
      <c r="AS815" s="34"/>
      <c r="AT815" s="34"/>
      <c r="AU815" s="34"/>
      <c r="AV815" s="34"/>
      <c r="AW815" s="34"/>
      <c r="AX815" s="34"/>
      <c r="AY815" s="34"/>
      <c r="AZ815" s="34"/>
      <c r="BA815" s="34"/>
      <c r="BB815" s="34"/>
      <c r="BC815" s="34"/>
      <c r="BD815" s="34"/>
      <c r="BE815" s="34"/>
      <c r="BF815" s="34"/>
      <c r="BG815" s="34"/>
      <c r="BH815" s="34"/>
      <c r="BI815" s="34"/>
      <c r="BJ815" s="34"/>
      <c r="BK815" s="34"/>
      <c r="BL815" s="34"/>
      <c r="BM815" s="34"/>
      <c r="BN815" s="34"/>
      <c r="BO815" s="34"/>
      <c r="BP815" s="34"/>
      <c r="BQ815" s="34"/>
      <c r="BR815" s="34"/>
      <c r="BS815" s="34"/>
      <c r="BT815" s="34"/>
      <c r="BU815" s="34"/>
      <c r="BV815" s="34"/>
      <c r="BW815" s="34"/>
      <c r="BX815" s="34"/>
      <c r="BY815" s="34"/>
      <c r="BZ815" s="34"/>
      <c r="CA815" s="34"/>
      <c r="CB815" s="34"/>
      <c r="CC815" s="34"/>
      <c r="CD815" s="34"/>
      <c r="CE815" s="34"/>
      <c r="CF815" s="34"/>
      <c r="CG815" s="34"/>
      <c r="CH815" s="34"/>
      <c r="CI815" s="34"/>
      <c r="CJ815" s="34"/>
      <c r="CK815" s="34"/>
      <c r="CL815" s="34"/>
      <c r="CM815" s="34"/>
      <c r="CN815" s="34"/>
      <c r="CO815" s="34"/>
      <c r="CP815" s="34"/>
      <c r="CQ815" s="34"/>
      <c r="CR815" s="34"/>
      <c r="CS815" s="34"/>
      <c r="CT815" s="34"/>
      <c r="CU815" s="34"/>
      <c r="CV815" s="34"/>
      <c r="CW815" s="34"/>
      <c r="CX815" s="34"/>
      <c r="CY815" s="34"/>
      <c r="CZ815" s="34"/>
      <c r="DA815" s="34"/>
      <c r="DB815" s="34"/>
      <c r="DC815" s="34"/>
      <c r="DD815" s="34"/>
      <c r="DE815" s="34"/>
      <c r="DF815" s="34"/>
      <c r="DG815" s="34"/>
      <c r="DH815" s="34"/>
      <c r="DI815" s="34"/>
      <c r="DJ815" s="34"/>
      <c r="DK815" s="34"/>
      <c r="DL815" s="34"/>
      <c r="DM815" s="34"/>
      <c r="DN815" s="34"/>
      <c r="DO815" s="34"/>
      <c r="DP815" s="34"/>
      <c r="DQ815" s="34"/>
      <c r="DR815" s="34"/>
      <c r="DS815" s="34"/>
      <c r="DT815" s="34"/>
      <c r="DU815" s="34"/>
      <c r="DV815" s="34"/>
      <c r="DW815" s="34"/>
      <c r="DX815" s="34"/>
      <c r="DY815" s="34"/>
      <c r="DZ815" s="34"/>
      <c r="EA815" s="34"/>
    </row>
    <row r="816" spans="1:131" ht="11.25" hidden="1">
      <c r="A816" s="3" t="s">
        <v>3</v>
      </c>
      <c r="B816" s="4"/>
      <c r="C816" s="4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1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  <c r="AL816" s="34"/>
      <c r="AM816" s="34"/>
      <c r="AN816" s="34"/>
      <c r="AO816" s="34"/>
      <c r="AP816" s="34"/>
      <c r="AQ816" s="34"/>
      <c r="AR816" s="34"/>
      <c r="AS816" s="34"/>
      <c r="AT816" s="34"/>
      <c r="AU816" s="34"/>
      <c r="AV816" s="34"/>
      <c r="AW816" s="34"/>
      <c r="AX816" s="34"/>
      <c r="AY816" s="34"/>
      <c r="AZ816" s="34"/>
      <c r="BA816" s="34"/>
      <c r="BB816" s="34"/>
      <c r="BC816" s="34"/>
      <c r="BD816" s="34"/>
      <c r="BE816" s="34"/>
      <c r="BF816" s="34"/>
      <c r="BG816" s="34"/>
      <c r="BH816" s="34"/>
      <c r="BI816" s="34"/>
      <c r="BJ816" s="34"/>
      <c r="BK816" s="34"/>
      <c r="BL816" s="34"/>
      <c r="BM816" s="34"/>
      <c r="BN816" s="34"/>
      <c r="BO816" s="34"/>
      <c r="BP816" s="34"/>
      <c r="BQ816" s="34"/>
      <c r="BR816" s="34"/>
      <c r="BS816" s="34"/>
      <c r="BT816" s="34"/>
      <c r="BU816" s="34"/>
      <c r="BV816" s="34"/>
      <c r="BW816" s="34"/>
      <c r="BX816" s="34"/>
      <c r="BY816" s="34"/>
      <c r="BZ816" s="34"/>
      <c r="CA816" s="34"/>
      <c r="CB816" s="34"/>
      <c r="CC816" s="34"/>
      <c r="CD816" s="34"/>
      <c r="CE816" s="34"/>
      <c r="CF816" s="34"/>
      <c r="CG816" s="34"/>
      <c r="CH816" s="34"/>
      <c r="CI816" s="34"/>
      <c r="CJ816" s="34"/>
      <c r="CK816" s="34"/>
      <c r="CL816" s="34"/>
      <c r="CM816" s="34"/>
      <c r="CN816" s="34"/>
      <c r="CO816" s="34"/>
      <c r="CP816" s="34"/>
      <c r="CQ816" s="34"/>
      <c r="CR816" s="34"/>
      <c r="CS816" s="34"/>
      <c r="CT816" s="34"/>
      <c r="CU816" s="34"/>
      <c r="CV816" s="34"/>
      <c r="CW816" s="34"/>
      <c r="CX816" s="34"/>
      <c r="CY816" s="34"/>
      <c r="CZ816" s="34"/>
      <c r="DA816" s="34"/>
      <c r="DB816" s="34"/>
      <c r="DC816" s="34"/>
      <c r="DD816" s="34"/>
      <c r="DE816" s="34"/>
      <c r="DF816" s="34"/>
      <c r="DG816" s="34"/>
      <c r="DH816" s="34"/>
      <c r="DI816" s="34"/>
      <c r="DJ816" s="34"/>
      <c r="DK816" s="34"/>
      <c r="DL816" s="34"/>
      <c r="DM816" s="34"/>
      <c r="DN816" s="34"/>
      <c r="DO816" s="34"/>
      <c r="DP816" s="34"/>
      <c r="DQ816" s="34"/>
      <c r="DR816" s="34"/>
      <c r="DS816" s="34"/>
      <c r="DT816" s="34"/>
      <c r="DU816" s="34"/>
      <c r="DV816" s="34"/>
      <c r="DW816" s="34"/>
      <c r="DX816" s="34"/>
      <c r="DY816" s="34"/>
      <c r="DZ816" s="34"/>
      <c r="EA816" s="34"/>
    </row>
    <row r="817" spans="1:131" ht="11.25" hidden="1">
      <c r="A817" s="6" t="s">
        <v>110</v>
      </c>
      <c r="B817" s="4"/>
      <c r="C817" s="4"/>
      <c r="D817" s="5"/>
      <c r="E817" s="5"/>
      <c r="F817" s="5"/>
      <c r="G817" s="5">
        <v>17</v>
      </c>
      <c r="H817" s="5"/>
      <c r="I817" s="5"/>
      <c r="J817" s="5">
        <f>G817</f>
        <v>17</v>
      </c>
      <c r="K817" s="5"/>
      <c r="L817" s="5"/>
      <c r="M817" s="5"/>
      <c r="N817" s="5"/>
      <c r="O817" s="5"/>
      <c r="P817" s="5"/>
      <c r="Q817" s="1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  <c r="AL817" s="34"/>
      <c r="AM817" s="34"/>
      <c r="AN817" s="34"/>
      <c r="AO817" s="34"/>
      <c r="AP817" s="34"/>
      <c r="AQ817" s="34"/>
      <c r="AR817" s="34"/>
      <c r="AS817" s="34"/>
      <c r="AT817" s="34"/>
      <c r="AU817" s="34"/>
      <c r="AV817" s="34"/>
      <c r="AW817" s="34"/>
      <c r="AX817" s="34"/>
      <c r="AY817" s="34"/>
      <c r="AZ817" s="34"/>
      <c r="BA817" s="34"/>
      <c r="BB817" s="34"/>
      <c r="BC817" s="34"/>
      <c r="BD817" s="34"/>
      <c r="BE817" s="34"/>
      <c r="BF817" s="34"/>
      <c r="BG817" s="34"/>
      <c r="BH817" s="34"/>
      <c r="BI817" s="34"/>
      <c r="BJ817" s="34"/>
      <c r="BK817" s="34"/>
      <c r="BL817" s="34"/>
      <c r="BM817" s="34"/>
      <c r="BN817" s="34"/>
      <c r="BO817" s="34"/>
      <c r="BP817" s="34"/>
      <c r="BQ817" s="34"/>
      <c r="BR817" s="34"/>
      <c r="BS817" s="34"/>
      <c r="BT817" s="34"/>
      <c r="BU817" s="34"/>
      <c r="BV817" s="34"/>
      <c r="BW817" s="34"/>
      <c r="BX817" s="34"/>
      <c r="BY817" s="34"/>
      <c r="BZ817" s="34"/>
      <c r="CA817" s="34"/>
      <c r="CB817" s="34"/>
      <c r="CC817" s="34"/>
      <c r="CD817" s="34"/>
      <c r="CE817" s="34"/>
      <c r="CF817" s="34"/>
      <c r="CG817" s="34"/>
      <c r="CH817" s="34"/>
      <c r="CI817" s="34"/>
      <c r="CJ817" s="34"/>
      <c r="CK817" s="34"/>
      <c r="CL817" s="34"/>
      <c r="CM817" s="34"/>
      <c r="CN817" s="34"/>
      <c r="CO817" s="34"/>
      <c r="CP817" s="34"/>
      <c r="CQ817" s="34"/>
      <c r="CR817" s="34"/>
      <c r="CS817" s="34"/>
      <c r="CT817" s="34"/>
      <c r="CU817" s="34"/>
      <c r="CV817" s="34"/>
      <c r="CW817" s="34"/>
      <c r="CX817" s="34"/>
      <c r="CY817" s="34"/>
      <c r="CZ817" s="34"/>
      <c r="DA817" s="34"/>
      <c r="DB817" s="34"/>
      <c r="DC817" s="34"/>
      <c r="DD817" s="34"/>
      <c r="DE817" s="34"/>
      <c r="DF817" s="34"/>
      <c r="DG817" s="34"/>
      <c r="DH817" s="34"/>
      <c r="DI817" s="34"/>
      <c r="DJ817" s="34"/>
      <c r="DK817" s="34"/>
      <c r="DL817" s="34"/>
      <c r="DM817" s="34"/>
      <c r="DN817" s="34"/>
      <c r="DO817" s="34"/>
      <c r="DP817" s="34"/>
      <c r="DQ817" s="34"/>
      <c r="DR817" s="34"/>
      <c r="DS817" s="34"/>
      <c r="DT817" s="34"/>
      <c r="DU817" s="34"/>
      <c r="DV817" s="34"/>
      <c r="DW817" s="34"/>
      <c r="DX817" s="34"/>
      <c r="DY817" s="34"/>
      <c r="DZ817" s="34"/>
      <c r="EA817" s="34"/>
    </row>
    <row r="818" spans="1:131" ht="11.25" hidden="1">
      <c r="A818" s="3" t="s">
        <v>5</v>
      </c>
      <c r="B818" s="4"/>
      <c r="C818" s="4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1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4"/>
      <c r="AM818" s="34"/>
      <c r="AN818" s="34"/>
      <c r="AO818" s="34"/>
      <c r="AP818" s="34"/>
      <c r="AQ818" s="34"/>
      <c r="AR818" s="34"/>
      <c r="AS818" s="34"/>
      <c r="AT818" s="34"/>
      <c r="AU818" s="34"/>
      <c r="AV818" s="34"/>
      <c r="AW818" s="34"/>
      <c r="AX818" s="34"/>
      <c r="AY818" s="34"/>
      <c r="AZ818" s="34"/>
      <c r="BA818" s="34"/>
      <c r="BB818" s="34"/>
      <c r="BC818" s="34"/>
      <c r="BD818" s="34"/>
      <c r="BE818" s="34"/>
      <c r="BF818" s="34"/>
      <c r="BG818" s="34"/>
      <c r="BH818" s="34"/>
      <c r="BI818" s="34"/>
      <c r="BJ818" s="34"/>
      <c r="BK818" s="34"/>
      <c r="BL818" s="34"/>
      <c r="BM818" s="34"/>
      <c r="BN818" s="34"/>
      <c r="BO818" s="34"/>
      <c r="BP818" s="34"/>
      <c r="BQ818" s="34"/>
      <c r="BR818" s="34"/>
      <c r="BS818" s="34"/>
      <c r="BT818" s="34"/>
      <c r="BU818" s="34"/>
      <c r="BV818" s="34"/>
      <c r="BW818" s="34"/>
      <c r="BX818" s="34"/>
      <c r="BY818" s="34"/>
      <c r="BZ818" s="34"/>
      <c r="CA818" s="34"/>
      <c r="CB818" s="34"/>
      <c r="CC818" s="34"/>
      <c r="CD818" s="34"/>
      <c r="CE818" s="34"/>
      <c r="CF818" s="34"/>
      <c r="CG818" s="34"/>
      <c r="CH818" s="34"/>
      <c r="CI818" s="34"/>
      <c r="CJ818" s="34"/>
      <c r="CK818" s="34"/>
      <c r="CL818" s="34"/>
      <c r="CM818" s="34"/>
      <c r="CN818" s="34"/>
      <c r="CO818" s="34"/>
      <c r="CP818" s="34"/>
      <c r="CQ818" s="34"/>
      <c r="CR818" s="34"/>
      <c r="CS818" s="34"/>
      <c r="CT818" s="34"/>
      <c r="CU818" s="34"/>
      <c r="CV818" s="34"/>
      <c r="CW818" s="34"/>
      <c r="CX818" s="34"/>
      <c r="CY818" s="34"/>
      <c r="CZ818" s="34"/>
      <c r="DA818" s="34"/>
      <c r="DB818" s="34"/>
      <c r="DC818" s="34"/>
      <c r="DD818" s="34"/>
      <c r="DE818" s="34"/>
      <c r="DF818" s="34"/>
      <c r="DG818" s="34"/>
      <c r="DH818" s="34"/>
      <c r="DI818" s="34"/>
      <c r="DJ818" s="34"/>
      <c r="DK818" s="34"/>
      <c r="DL818" s="34"/>
      <c r="DM818" s="34"/>
      <c r="DN818" s="34"/>
      <c r="DO818" s="34"/>
      <c r="DP818" s="34"/>
      <c r="DQ818" s="34"/>
      <c r="DR818" s="34"/>
      <c r="DS818" s="34"/>
      <c r="DT818" s="34"/>
      <c r="DU818" s="34"/>
      <c r="DV818" s="34"/>
      <c r="DW818" s="34"/>
      <c r="DX818" s="34"/>
      <c r="DY818" s="34"/>
      <c r="DZ818" s="34"/>
      <c r="EA818" s="34"/>
    </row>
    <row r="819" spans="1:131" ht="11.25" hidden="1">
      <c r="A819" s="6" t="s">
        <v>153</v>
      </c>
      <c r="B819" s="4"/>
      <c r="C819" s="4"/>
      <c r="D819" s="5"/>
      <c r="E819" s="5"/>
      <c r="F819" s="5"/>
      <c r="G819" s="5">
        <v>54117.65</v>
      </c>
      <c r="H819" s="5"/>
      <c r="I819" s="5"/>
      <c r="J819" s="5">
        <f>G819</f>
        <v>54117.65</v>
      </c>
      <c r="K819" s="5"/>
      <c r="L819" s="5"/>
      <c r="M819" s="5"/>
      <c r="N819" s="5"/>
      <c r="O819" s="5"/>
      <c r="P819" s="5"/>
      <c r="Q819" s="1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34"/>
      <c r="AK819" s="34"/>
      <c r="AL819" s="34"/>
      <c r="AM819" s="34"/>
      <c r="AN819" s="34"/>
      <c r="AO819" s="34"/>
      <c r="AP819" s="34"/>
      <c r="AQ819" s="34"/>
      <c r="AR819" s="34"/>
      <c r="AS819" s="34"/>
      <c r="AT819" s="34"/>
      <c r="AU819" s="34"/>
      <c r="AV819" s="34"/>
      <c r="AW819" s="34"/>
      <c r="AX819" s="34"/>
      <c r="AY819" s="34"/>
      <c r="AZ819" s="34"/>
      <c r="BA819" s="34"/>
      <c r="BB819" s="34"/>
      <c r="BC819" s="34"/>
      <c r="BD819" s="34"/>
      <c r="BE819" s="34"/>
      <c r="BF819" s="34"/>
      <c r="BG819" s="34"/>
      <c r="BH819" s="34"/>
      <c r="BI819" s="34"/>
      <c r="BJ819" s="34"/>
      <c r="BK819" s="34"/>
      <c r="BL819" s="34"/>
      <c r="BM819" s="34"/>
      <c r="BN819" s="34"/>
      <c r="BO819" s="34"/>
      <c r="BP819" s="34"/>
      <c r="BQ819" s="34"/>
      <c r="BR819" s="34"/>
      <c r="BS819" s="34"/>
      <c r="BT819" s="34"/>
      <c r="BU819" s="34"/>
      <c r="BV819" s="34"/>
      <c r="BW819" s="34"/>
      <c r="BX819" s="34"/>
      <c r="BY819" s="34"/>
      <c r="BZ819" s="34"/>
      <c r="CA819" s="34"/>
      <c r="CB819" s="34"/>
      <c r="CC819" s="34"/>
      <c r="CD819" s="34"/>
      <c r="CE819" s="34"/>
      <c r="CF819" s="34"/>
      <c r="CG819" s="34"/>
      <c r="CH819" s="34"/>
      <c r="CI819" s="34"/>
      <c r="CJ819" s="34"/>
      <c r="CK819" s="34"/>
      <c r="CL819" s="34"/>
      <c r="CM819" s="34"/>
      <c r="CN819" s="34"/>
      <c r="CO819" s="34"/>
      <c r="CP819" s="34"/>
      <c r="CQ819" s="34"/>
      <c r="CR819" s="34"/>
      <c r="CS819" s="34"/>
      <c r="CT819" s="34"/>
      <c r="CU819" s="34"/>
      <c r="CV819" s="34"/>
      <c r="CW819" s="34"/>
      <c r="CX819" s="34"/>
      <c r="CY819" s="34"/>
      <c r="CZ819" s="34"/>
      <c r="DA819" s="34"/>
      <c r="DB819" s="34"/>
      <c r="DC819" s="34"/>
      <c r="DD819" s="34"/>
      <c r="DE819" s="34"/>
      <c r="DF819" s="34"/>
      <c r="DG819" s="34"/>
      <c r="DH819" s="34"/>
      <c r="DI819" s="34"/>
      <c r="DJ819" s="34"/>
      <c r="DK819" s="34"/>
      <c r="DL819" s="34"/>
      <c r="DM819" s="34"/>
      <c r="DN819" s="34"/>
      <c r="DO819" s="34"/>
      <c r="DP819" s="34"/>
      <c r="DQ819" s="34"/>
      <c r="DR819" s="34"/>
      <c r="DS819" s="34"/>
      <c r="DT819" s="34"/>
      <c r="DU819" s="34"/>
      <c r="DV819" s="34"/>
      <c r="DW819" s="34"/>
      <c r="DX819" s="34"/>
      <c r="DY819" s="34"/>
      <c r="DZ819" s="34"/>
      <c r="EA819" s="34"/>
    </row>
    <row r="820" spans="1:17" s="87" customFormat="1" ht="11.25" hidden="1">
      <c r="A820" s="85" t="s">
        <v>490</v>
      </c>
      <c r="B820" s="77"/>
      <c r="C820" s="77"/>
      <c r="D820" s="81">
        <f>13000-13000</f>
        <v>0</v>
      </c>
      <c r="E820" s="81"/>
      <c r="F820" s="81">
        <f>D820</f>
        <v>0</v>
      </c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6"/>
    </row>
    <row r="821" spans="1:131" ht="11.25" hidden="1">
      <c r="A821" s="3" t="s">
        <v>2</v>
      </c>
      <c r="B821" s="4"/>
      <c r="C821" s="4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1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  <c r="AS821" s="34"/>
      <c r="AT821" s="34"/>
      <c r="AU821" s="34"/>
      <c r="AV821" s="34"/>
      <c r="AW821" s="34"/>
      <c r="AX821" s="34"/>
      <c r="AY821" s="34"/>
      <c r="AZ821" s="34"/>
      <c r="BA821" s="34"/>
      <c r="BB821" s="34"/>
      <c r="BC821" s="34"/>
      <c r="BD821" s="34"/>
      <c r="BE821" s="34"/>
      <c r="BF821" s="34"/>
      <c r="BG821" s="34"/>
      <c r="BH821" s="34"/>
      <c r="BI821" s="34"/>
      <c r="BJ821" s="34"/>
      <c r="BK821" s="34"/>
      <c r="BL821" s="34"/>
      <c r="BM821" s="34"/>
      <c r="BN821" s="34"/>
      <c r="BO821" s="34"/>
      <c r="BP821" s="34"/>
      <c r="BQ821" s="34"/>
      <c r="BR821" s="34"/>
      <c r="BS821" s="34"/>
      <c r="BT821" s="34"/>
      <c r="BU821" s="34"/>
      <c r="BV821" s="34"/>
      <c r="BW821" s="34"/>
      <c r="BX821" s="34"/>
      <c r="BY821" s="34"/>
      <c r="BZ821" s="34"/>
      <c r="CA821" s="34"/>
      <c r="CB821" s="34"/>
      <c r="CC821" s="34"/>
      <c r="CD821" s="34"/>
      <c r="CE821" s="34"/>
      <c r="CF821" s="34"/>
      <c r="CG821" s="34"/>
      <c r="CH821" s="34"/>
      <c r="CI821" s="34"/>
      <c r="CJ821" s="34"/>
      <c r="CK821" s="34"/>
      <c r="CL821" s="34"/>
      <c r="CM821" s="34"/>
      <c r="CN821" s="34"/>
      <c r="CO821" s="34"/>
      <c r="CP821" s="34"/>
      <c r="CQ821" s="34"/>
      <c r="CR821" s="34"/>
      <c r="CS821" s="34"/>
      <c r="CT821" s="34"/>
      <c r="CU821" s="34"/>
      <c r="CV821" s="34"/>
      <c r="CW821" s="34"/>
      <c r="CX821" s="34"/>
      <c r="CY821" s="34"/>
      <c r="CZ821" s="34"/>
      <c r="DA821" s="34"/>
      <c r="DB821" s="34"/>
      <c r="DC821" s="34"/>
      <c r="DD821" s="34"/>
      <c r="DE821" s="34"/>
      <c r="DF821" s="34"/>
      <c r="DG821" s="34"/>
      <c r="DH821" s="34"/>
      <c r="DI821" s="34"/>
      <c r="DJ821" s="34"/>
      <c r="DK821" s="34"/>
      <c r="DL821" s="34"/>
      <c r="DM821" s="34"/>
      <c r="DN821" s="34"/>
      <c r="DO821" s="34"/>
      <c r="DP821" s="34"/>
      <c r="DQ821" s="34"/>
      <c r="DR821" s="34"/>
      <c r="DS821" s="34"/>
      <c r="DT821" s="34"/>
      <c r="DU821" s="34"/>
      <c r="DV821" s="34"/>
      <c r="DW821" s="34"/>
      <c r="DX821" s="34"/>
      <c r="DY821" s="34"/>
      <c r="DZ821" s="34"/>
      <c r="EA821" s="34"/>
    </row>
    <row r="822" spans="1:131" ht="11.25" hidden="1">
      <c r="A822" s="6" t="s">
        <v>23</v>
      </c>
      <c r="B822" s="4"/>
      <c r="C822" s="4"/>
      <c r="D822" s="5">
        <f>D820</f>
        <v>0</v>
      </c>
      <c r="E822" s="5"/>
      <c r="F822" s="5">
        <f>D822</f>
        <v>0</v>
      </c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1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4"/>
      <c r="AK822" s="34"/>
      <c r="AL822" s="34"/>
      <c r="AM822" s="34"/>
      <c r="AN822" s="34"/>
      <c r="AO822" s="34"/>
      <c r="AP822" s="34"/>
      <c r="AQ822" s="34"/>
      <c r="AR822" s="34"/>
      <c r="AS822" s="34"/>
      <c r="AT822" s="34"/>
      <c r="AU822" s="34"/>
      <c r="AV822" s="34"/>
      <c r="AW822" s="34"/>
      <c r="AX822" s="34"/>
      <c r="AY822" s="34"/>
      <c r="AZ822" s="34"/>
      <c r="BA822" s="34"/>
      <c r="BB822" s="34"/>
      <c r="BC822" s="34"/>
      <c r="BD822" s="34"/>
      <c r="BE822" s="34"/>
      <c r="BF822" s="34"/>
      <c r="BG822" s="34"/>
      <c r="BH822" s="34"/>
      <c r="BI822" s="34"/>
      <c r="BJ822" s="34"/>
      <c r="BK822" s="34"/>
      <c r="BL822" s="34"/>
      <c r="BM822" s="34"/>
      <c r="BN822" s="34"/>
      <c r="BO822" s="34"/>
      <c r="BP822" s="34"/>
      <c r="BQ822" s="34"/>
      <c r="BR822" s="34"/>
      <c r="BS822" s="34"/>
      <c r="BT822" s="34"/>
      <c r="BU822" s="34"/>
      <c r="BV822" s="34"/>
      <c r="BW822" s="34"/>
      <c r="BX822" s="34"/>
      <c r="BY822" s="34"/>
      <c r="BZ822" s="34"/>
      <c r="CA822" s="34"/>
      <c r="CB822" s="34"/>
      <c r="CC822" s="34"/>
      <c r="CD822" s="34"/>
      <c r="CE822" s="34"/>
      <c r="CF822" s="34"/>
      <c r="CG822" s="34"/>
      <c r="CH822" s="34"/>
      <c r="CI822" s="34"/>
      <c r="CJ822" s="34"/>
      <c r="CK822" s="34"/>
      <c r="CL822" s="34"/>
      <c r="CM822" s="34"/>
      <c r="CN822" s="34"/>
      <c r="CO822" s="34"/>
      <c r="CP822" s="34"/>
      <c r="CQ822" s="34"/>
      <c r="CR822" s="34"/>
      <c r="CS822" s="34"/>
      <c r="CT822" s="34"/>
      <c r="CU822" s="34"/>
      <c r="CV822" s="34"/>
      <c r="CW822" s="34"/>
      <c r="CX822" s="34"/>
      <c r="CY822" s="34"/>
      <c r="CZ822" s="34"/>
      <c r="DA822" s="34"/>
      <c r="DB822" s="34"/>
      <c r="DC822" s="34"/>
      <c r="DD822" s="34"/>
      <c r="DE822" s="34"/>
      <c r="DF822" s="34"/>
      <c r="DG822" s="34"/>
      <c r="DH822" s="34"/>
      <c r="DI822" s="34"/>
      <c r="DJ822" s="34"/>
      <c r="DK822" s="34"/>
      <c r="DL822" s="34"/>
      <c r="DM822" s="34"/>
      <c r="DN822" s="34"/>
      <c r="DO822" s="34"/>
      <c r="DP822" s="34"/>
      <c r="DQ822" s="34"/>
      <c r="DR822" s="34"/>
      <c r="DS822" s="34"/>
      <c r="DT822" s="34"/>
      <c r="DU822" s="34"/>
      <c r="DV822" s="34"/>
      <c r="DW822" s="34"/>
      <c r="DX822" s="34"/>
      <c r="DY822" s="34"/>
      <c r="DZ822" s="34"/>
      <c r="EA822" s="34"/>
    </row>
    <row r="823" spans="1:131" ht="11.25" hidden="1">
      <c r="A823" s="3" t="s">
        <v>3</v>
      </c>
      <c r="B823" s="4"/>
      <c r="C823" s="4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1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  <c r="AS823" s="34"/>
      <c r="AT823" s="34"/>
      <c r="AU823" s="34"/>
      <c r="AV823" s="34"/>
      <c r="AW823" s="34"/>
      <c r="AX823" s="34"/>
      <c r="AY823" s="34"/>
      <c r="AZ823" s="34"/>
      <c r="BA823" s="34"/>
      <c r="BB823" s="34"/>
      <c r="BC823" s="34"/>
      <c r="BD823" s="34"/>
      <c r="BE823" s="34"/>
      <c r="BF823" s="34"/>
      <c r="BG823" s="34"/>
      <c r="BH823" s="34"/>
      <c r="BI823" s="34"/>
      <c r="BJ823" s="34"/>
      <c r="BK823" s="34"/>
      <c r="BL823" s="34"/>
      <c r="BM823" s="34"/>
      <c r="BN823" s="34"/>
      <c r="BO823" s="34"/>
      <c r="BP823" s="34"/>
      <c r="BQ823" s="34"/>
      <c r="BR823" s="34"/>
      <c r="BS823" s="34"/>
      <c r="BT823" s="34"/>
      <c r="BU823" s="34"/>
      <c r="BV823" s="34"/>
      <c r="BW823" s="34"/>
      <c r="BX823" s="34"/>
      <c r="BY823" s="34"/>
      <c r="BZ823" s="34"/>
      <c r="CA823" s="34"/>
      <c r="CB823" s="34"/>
      <c r="CC823" s="34"/>
      <c r="CD823" s="34"/>
      <c r="CE823" s="34"/>
      <c r="CF823" s="34"/>
      <c r="CG823" s="34"/>
      <c r="CH823" s="34"/>
      <c r="CI823" s="34"/>
      <c r="CJ823" s="34"/>
      <c r="CK823" s="34"/>
      <c r="CL823" s="34"/>
      <c r="CM823" s="34"/>
      <c r="CN823" s="34"/>
      <c r="CO823" s="34"/>
      <c r="CP823" s="34"/>
      <c r="CQ823" s="34"/>
      <c r="CR823" s="34"/>
      <c r="CS823" s="34"/>
      <c r="CT823" s="34"/>
      <c r="CU823" s="34"/>
      <c r="CV823" s="34"/>
      <c r="CW823" s="34"/>
      <c r="CX823" s="34"/>
      <c r="CY823" s="34"/>
      <c r="CZ823" s="34"/>
      <c r="DA823" s="34"/>
      <c r="DB823" s="34"/>
      <c r="DC823" s="34"/>
      <c r="DD823" s="34"/>
      <c r="DE823" s="34"/>
      <c r="DF823" s="34"/>
      <c r="DG823" s="34"/>
      <c r="DH823" s="34"/>
      <c r="DI823" s="34"/>
      <c r="DJ823" s="34"/>
      <c r="DK823" s="34"/>
      <c r="DL823" s="34"/>
      <c r="DM823" s="34"/>
      <c r="DN823" s="34"/>
      <c r="DO823" s="34"/>
      <c r="DP823" s="34"/>
      <c r="DQ823" s="34"/>
      <c r="DR823" s="34"/>
      <c r="DS823" s="34"/>
      <c r="DT823" s="34"/>
      <c r="DU823" s="34"/>
      <c r="DV823" s="34"/>
      <c r="DW823" s="34"/>
      <c r="DX823" s="34"/>
      <c r="DY823" s="34"/>
      <c r="DZ823" s="34"/>
      <c r="EA823" s="34"/>
    </row>
    <row r="824" spans="1:131" ht="11.25" hidden="1">
      <c r="A824" s="6" t="s">
        <v>171</v>
      </c>
      <c r="B824" s="4"/>
      <c r="C824" s="4"/>
      <c r="D824" s="5"/>
      <c r="E824" s="5"/>
      <c r="F824" s="5">
        <f>D824</f>
        <v>0</v>
      </c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1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  <c r="AS824" s="34"/>
      <c r="AT824" s="34"/>
      <c r="AU824" s="34"/>
      <c r="AV824" s="34"/>
      <c r="AW824" s="34"/>
      <c r="AX824" s="34"/>
      <c r="AY824" s="34"/>
      <c r="AZ824" s="34"/>
      <c r="BA824" s="34"/>
      <c r="BB824" s="34"/>
      <c r="BC824" s="34"/>
      <c r="BD824" s="34"/>
      <c r="BE824" s="34"/>
      <c r="BF824" s="34"/>
      <c r="BG824" s="34"/>
      <c r="BH824" s="34"/>
      <c r="BI824" s="34"/>
      <c r="BJ824" s="34"/>
      <c r="BK824" s="34"/>
      <c r="BL824" s="34"/>
      <c r="BM824" s="34"/>
      <c r="BN824" s="34"/>
      <c r="BO824" s="34"/>
      <c r="BP824" s="34"/>
      <c r="BQ824" s="34"/>
      <c r="BR824" s="34"/>
      <c r="BS824" s="34"/>
      <c r="BT824" s="34"/>
      <c r="BU824" s="34"/>
      <c r="BV824" s="34"/>
      <c r="BW824" s="34"/>
      <c r="BX824" s="34"/>
      <c r="BY824" s="34"/>
      <c r="BZ824" s="34"/>
      <c r="CA824" s="34"/>
      <c r="CB824" s="34"/>
      <c r="CC824" s="34"/>
      <c r="CD824" s="34"/>
      <c r="CE824" s="34"/>
      <c r="CF824" s="34"/>
      <c r="CG824" s="34"/>
      <c r="CH824" s="34"/>
      <c r="CI824" s="34"/>
      <c r="CJ824" s="34"/>
      <c r="CK824" s="34"/>
      <c r="CL824" s="34"/>
      <c r="CM824" s="34"/>
      <c r="CN824" s="34"/>
      <c r="CO824" s="34"/>
      <c r="CP824" s="34"/>
      <c r="CQ824" s="34"/>
      <c r="CR824" s="34"/>
      <c r="CS824" s="34"/>
      <c r="CT824" s="34"/>
      <c r="CU824" s="34"/>
      <c r="CV824" s="34"/>
      <c r="CW824" s="34"/>
      <c r="CX824" s="34"/>
      <c r="CY824" s="34"/>
      <c r="CZ824" s="34"/>
      <c r="DA824" s="34"/>
      <c r="DB824" s="34"/>
      <c r="DC824" s="34"/>
      <c r="DD824" s="34"/>
      <c r="DE824" s="34"/>
      <c r="DF824" s="34"/>
      <c r="DG824" s="34"/>
      <c r="DH824" s="34"/>
      <c r="DI824" s="34"/>
      <c r="DJ824" s="34"/>
      <c r="DK824" s="34"/>
      <c r="DL824" s="34"/>
      <c r="DM824" s="34"/>
      <c r="DN824" s="34"/>
      <c r="DO824" s="34"/>
      <c r="DP824" s="34"/>
      <c r="DQ824" s="34"/>
      <c r="DR824" s="34"/>
      <c r="DS824" s="34"/>
      <c r="DT824" s="34"/>
      <c r="DU824" s="34"/>
      <c r="DV824" s="34"/>
      <c r="DW824" s="34"/>
      <c r="DX824" s="34"/>
      <c r="DY824" s="34"/>
      <c r="DZ824" s="34"/>
      <c r="EA824" s="34"/>
    </row>
    <row r="825" spans="1:131" ht="11.25" hidden="1">
      <c r="A825" s="3" t="s">
        <v>5</v>
      </c>
      <c r="B825" s="4"/>
      <c r="C825" s="4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1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  <c r="AS825" s="34"/>
      <c r="AT825" s="34"/>
      <c r="AU825" s="34"/>
      <c r="AV825" s="34"/>
      <c r="AW825" s="34"/>
      <c r="AX825" s="34"/>
      <c r="AY825" s="34"/>
      <c r="AZ825" s="34"/>
      <c r="BA825" s="34"/>
      <c r="BB825" s="34"/>
      <c r="BC825" s="34"/>
      <c r="BD825" s="34"/>
      <c r="BE825" s="34"/>
      <c r="BF825" s="34"/>
      <c r="BG825" s="34"/>
      <c r="BH825" s="34"/>
      <c r="BI825" s="34"/>
      <c r="BJ825" s="34"/>
      <c r="BK825" s="34"/>
      <c r="BL825" s="34"/>
      <c r="BM825" s="34"/>
      <c r="BN825" s="34"/>
      <c r="BO825" s="34"/>
      <c r="BP825" s="34"/>
      <c r="BQ825" s="34"/>
      <c r="BR825" s="34"/>
      <c r="BS825" s="34"/>
      <c r="BT825" s="34"/>
      <c r="BU825" s="34"/>
      <c r="BV825" s="34"/>
      <c r="BW825" s="34"/>
      <c r="BX825" s="34"/>
      <c r="BY825" s="34"/>
      <c r="BZ825" s="34"/>
      <c r="CA825" s="34"/>
      <c r="CB825" s="34"/>
      <c r="CC825" s="34"/>
      <c r="CD825" s="34"/>
      <c r="CE825" s="34"/>
      <c r="CF825" s="34"/>
      <c r="CG825" s="34"/>
      <c r="CH825" s="34"/>
      <c r="CI825" s="34"/>
      <c r="CJ825" s="34"/>
      <c r="CK825" s="34"/>
      <c r="CL825" s="34"/>
      <c r="CM825" s="34"/>
      <c r="CN825" s="34"/>
      <c r="CO825" s="34"/>
      <c r="CP825" s="34"/>
      <c r="CQ825" s="34"/>
      <c r="CR825" s="34"/>
      <c r="CS825" s="34"/>
      <c r="CT825" s="34"/>
      <c r="CU825" s="34"/>
      <c r="CV825" s="34"/>
      <c r="CW825" s="34"/>
      <c r="CX825" s="34"/>
      <c r="CY825" s="34"/>
      <c r="CZ825" s="34"/>
      <c r="DA825" s="34"/>
      <c r="DB825" s="34"/>
      <c r="DC825" s="34"/>
      <c r="DD825" s="34"/>
      <c r="DE825" s="34"/>
      <c r="DF825" s="34"/>
      <c r="DG825" s="34"/>
      <c r="DH825" s="34"/>
      <c r="DI825" s="34"/>
      <c r="DJ825" s="34"/>
      <c r="DK825" s="34"/>
      <c r="DL825" s="34"/>
      <c r="DM825" s="34"/>
      <c r="DN825" s="34"/>
      <c r="DO825" s="34"/>
      <c r="DP825" s="34"/>
      <c r="DQ825" s="34"/>
      <c r="DR825" s="34"/>
      <c r="DS825" s="34"/>
      <c r="DT825" s="34"/>
      <c r="DU825" s="34"/>
      <c r="DV825" s="34"/>
      <c r="DW825" s="34"/>
      <c r="DX825" s="34"/>
      <c r="DY825" s="34"/>
      <c r="DZ825" s="34"/>
      <c r="EA825" s="34"/>
    </row>
    <row r="826" spans="1:131" ht="11.25" hidden="1">
      <c r="A826" s="6" t="s">
        <v>153</v>
      </c>
      <c r="B826" s="4"/>
      <c r="C826" s="4"/>
      <c r="D826" s="5" t="e">
        <f>D822/D824</f>
        <v>#DIV/0!</v>
      </c>
      <c r="E826" s="5"/>
      <c r="F826" s="5" t="e">
        <f>D826</f>
        <v>#DIV/0!</v>
      </c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1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4"/>
      <c r="AL826" s="34"/>
      <c r="AM826" s="34"/>
      <c r="AN826" s="34"/>
      <c r="AO826" s="34"/>
      <c r="AP826" s="34"/>
      <c r="AQ826" s="34"/>
      <c r="AR826" s="34"/>
      <c r="AS826" s="34"/>
      <c r="AT826" s="34"/>
      <c r="AU826" s="34"/>
      <c r="AV826" s="34"/>
      <c r="AW826" s="34"/>
      <c r="AX826" s="34"/>
      <c r="AY826" s="34"/>
      <c r="AZ826" s="34"/>
      <c r="BA826" s="34"/>
      <c r="BB826" s="34"/>
      <c r="BC826" s="34"/>
      <c r="BD826" s="34"/>
      <c r="BE826" s="34"/>
      <c r="BF826" s="34"/>
      <c r="BG826" s="34"/>
      <c r="BH826" s="34"/>
      <c r="BI826" s="34"/>
      <c r="BJ826" s="34"/>
      <c r="BK826" s="34"/>
      <c r="BL826" s="34"/>
      <c r="BM826" s="34"/>
      <c r="BN826" s="34"/>
      <c r="BO826" s="34"/>
      <c r="BP826" s="34"/>
      <c r="BQ826" s="34"/>
      <c r="BR826" s="34"/>
      <c r="BS826" s="34"/>
      <c r="BT826" s="34"/>
      <c r="BU826" s="34"/>
      <c r="BV826" s="34"/>
      <c r="BW826" s="34"/>
      <c r="BX826" s="34"/>
      <c r="BY826" s="34"/>
      <c r="BZ826" s="34"/>
      <c r="CA826" s="34"/>
      <c r="CB826" s="34"/>
      <c r="CC826" s="34"/>
      <c r="CD826" s="34"/>
      <c r="CE826" s="34"/>
      <c r="CF826" s="34"/>
      <c r="CG826" s="34"/>
      <c r="CH826" s="34"/>
      <c r="CI826" s="34"/>
      <c r="CJ826" s="34"/>
      <c r="CK826" s="34"/>
      <c r="CL826" s="34"/>
      <c r="CM826" s="34"/>
      <c r="CN826" s="34"/>
      <c r="CO826" s="34"/>
      <c r="CP826" s="34"/>
      <c r="CQ826" s="34"/>
      <c r="CR826" s="34"/>
      <c r="CS826" s="34"/>
      <c r="CT826" s="34"/>
      <c r="CU826" s="34"/>
      <c r="CV826" s="34"/>
      <c r="CW826" s="34"/>
      <c r="CX826" s="34"/>
      <c r="CY826" s="34"/>
      <c r="CZ826" s="34"/>
      <c r="DA826" s="34"/>
      <c r="DB826" s="34"/>
      <c r="DC826" s="34"/>
      <c r="DD826" s="34"/>
      <c r="DE826" s="34"/>
      <c r="DF826" s="34"/>
      <c r="DG826" s="34"/>
      <c r="DH826" s="34"/>
      <c r="DI826" s="34"/>
      <c r="DJ826" s="34"/>
      <c r="DK826" s="34"/>
      <c r="DL826" s="34"/>
      <c r="DM826" s="34"/>
      <c r="DN826" s="34"/>
      <c r="DO826" s="34"/>
      <c r="DP826" s="34"/>
      <c r="DQ826" s="34"/>
      <c r="DR826" s="34"/>
      <c r="DS826" s="34"/>
      <c r="DT826" s="34"/>
      <c r="DU826" s="34"/>
      <c r="DV826" s="34"/>
      <c r="DW826" s="34"/>
      <c r="DX826" s="34"/>
      <c r="DY826" s="34"/>
      <c r="DZ826" s="34"/>
      <c r="EA826" s="34"/>
    </row>
    <row r="827" spans="1:17" s="76" customFormat="1" ht="22.5" hidden="1">
      <c r="A827" s="85" t="s">
        <v>491</v>
      </c>
      <c r="B827" s="73"/>
      <c r="C827" s="73"/>
      <c r="D827" s="81"/>
      <c r="E827" s="81">
        <f>30000-30000</f>
        <v>0</v>
      </c>
      <c r="F827" s="81">
        <f>E827</f>
        <v>0</v>
      </c>
      <c r="G827" s="81"/>
      <c r="H827" s="81"/>
      <c r="I827" s="74"/>
      <c r="J827" s="81"/>
      <c r="K827" s="74"/>
      <c r="L827" s="74"/>
      <c r="M827" s="74"/>
      <c r="N827" s="74"/>
      <c r="O827" s="74"/>
      <c r="P827" s="74"/>
      <c r="Q827" s="232"/>
    </row>
    <row r="828" spans="1:131" ht="11.25" hidden="1">
      <c r="A828" s="3" t="s">
        <v>2</v>
      </c>
      <c r="B828" s="4"/>
      <c r="C828" s="4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1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  <c r="AT828" s="34"/>
      <c r="AU828" s="34"/>
      <c r="AV828" s="34"/>
      <c r="AW828" s="34"/>
      <c r="AX828" s="34"/>
      <c r="AY828" s="34"/>
      <c r="AZ828" s="34"/>
      <c r="BA828" s="34"/>
      <c r="BB828" s="34"/>
      <c r="BC828" s="34"/>
      <c r="BD828" s="34"/>
      <c r="BE828" s="34"/>
      <c r="BF828" s="34"/>
      <c r="BG828" s="34"/>
      <c r="BH828" s="34"/>
      <c r="BI828" s="34"/>
      <c r="BJ828" s="34"/>
      <c r="BK828" s="34"/>
      <c r="BL828" s="34"/>
      <c r="BM828" s="34"/>
      <c r="BN828" s="34"/>
      <c r="BO828" s="34"/>
      <c r="BP828" s="34"/>
      <c r="BQ828" s="34"/>
      <c r="BR828" s="34"/>
      <c r="BS828" s="34"/>
      <c r="BT828" s="34"/>
      <c r="BU828" s="34"/>
      <c r="BV828" s="34"/>
      <c r="BW828" s="34"/>
      <c r="BX828" s="34"/>
      <c r="BY828" s="34"/>
      <c r="BZ828" s="34"/>
      <c r="CA828" s="34"/>
      <c r="CB828" s="34"/>
      <c r="CC828" s="34"/>
      <c r="CD828" s="34"/>
      <c r="CE828" s="34"/>
      <c r="CF828" s="34"/>
      <c r="CG828" s="34"/>
      <c r="CH828" s="34"/>
      <c r="CI828" s="34"/>
      <c r="CJ828" s="34"/>
      <c r="CK828" s="34"/>
      <c r="CL828" s="34"/>
      <c r="CM828" s="34"/>
      <c r="CN828" s="34"/>
      <c r="CO828" s="34"/>
      <c r="CP828" s="34"/>
      <c r="CQ828" s="34"/>
      <c r="CR828" s="34"/>
      <c r="CS828" s="34"/>
      <c r="CT828" s="34"/>
      <c r="CU828" s="34"/>
      <c r="CV828" s="34"/>
      <c r="CW828" s="34"/>
      <c r="CX828" s="34"/>
      <c r="CY828" s="34"/>
      <c r="CZ828" s="34"/>
      <c r="DA828" s="34"/>
      <c r="DB828" s="34"/>
      <c r="DC828" s="34"/>
      <c r="DD828" s="34"/>
      <c r="DE828" s="34"/>
      <c r="DF828" s="34"/>
      <c r="DG828" s="34"/>
      <c r="DH828" s="34"/>
      <c r="DI828" s="34"/>
      <c r="DJ828" s="34"/>
      <c r="DK828" s="34"/>
      <c r="DL828" s="34"/>
      <c r="DM828" s="34"/>
      <c r="DN828" s="34"/>
      <c r="DO828" s="34"/>
      <c r="DP828" s="34"/>
      <c r="DQ828" s="34"/>
      <c r="DR828" s="34"/>
      <c r="DS828" s="34"/>
      <c r="DT828" s="34"/>
      <c r="DU828" s="34"/>
      <c r="DV828" s="34"/>
      <c r="DW828" s="34"/>
      <c r="DX828" s="34"/>
      <c r="DY828" s="34"/>
      <c r="DZ828" s="34"/>
      <c r="EA828" s="34"/>
    </row>
    <row r="829" spans="1:131" ht="11.25" hidden="1">
      <c r="A829" s="6" t="s">
        <v>23</v>
      </c>
      <c r="B829" s="4"/>
      <c r="C829" s="4"/>
      <c r="D829" s="5"/>
      <c r="E829" s="5">
        <f>E827</f>
        <v>0</v>
      </c>
      <c r="F829" s="5">
        <f>E829</f>
        <v>0</v>
      </c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1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4"/>
      <c r="AL829" s="34"/>
      <c r="AM829" s="34"/>
      <c r="AN829" s="34"/>
      <c r="AO829" s="34"/>
      <c r="AP829" s="34"/>
      <c r="AQ829" s="34"/>
      <c r="AR829" s="34"/>
      <c r="AS829" s="34"/>
      <c r="AT829" s="34"/>
      <c r="AU829" s="34"/>
      <c r="AV829" s="34"/>
      <c r="AW829" s="34"/>
      <c r="AX829" s="34"/>
      <c r="AY829" s="34"/>
      <c r="AZ829" s="34"/>
      <c r="BA829" s="34"/>
      <c r="BB829" s="34"/>
      <c r="BC829" s="34"/>
      <c r="BD829" s="34"/>
      <c r="BE829" s="34"/>
      <c r="BF829" s="34"/>
      <c r="BG829" s="34"/>
      <c r="BH829" s="34"/>
      <c r="BI829" s="34"/>
      <c r="BJ829" s="34"/>
      <c r="BK829" s="34"/>
      <c r="BL829" s="34"/>
      <c r="BM829" s="34"/>
      <c r="BN829" s="34"/>
      <c r="BO829" s="34"/>
      <c r="BP829" s="34"/>
      <c r="BQ829" s="34"/>
      <c r="BR829" s="34"/>
      <c r="BS829" s="34"/>
      <c r="BT829" s="34"/>
      <c r="BU829" s="34"/>
      <c r="BV829" s="34"/>
      <c r="BW829" s="34"/>
      <c r="BX829" s="34"/>
      <c r="BY829" s="34"/>
      <c r="BZ829" s="34"/>
      <c r="CA829" s="34"/>
      <c r="CB829" s="34"/>
      <c r="CC829" s="34"/>
      <c r="CD829" s="34"/>
      <c r="CE829" s="34"/>
      <c r="CF829" s="34"/>
      <c r="CG829" s="34"/>
      <c r="CH829" s="34"/>
      <c r="CI829" s="34"/>
      <c r="CJ829" s="34"/>
      <c r="CK829" s="34"/>
      <c r="CL829" s="34"/>
      <c r="CM829" s="34"/>
      <c r="CN829" s="34"/>
      <c r="CO829" s="34"/>
      <c r="CP829" s="34"/>
      <c r="CQ829" s="34"/>
      <c r="CR829" s="34"/>
      <c r="CS829" s="34"/>
      <c r="CT829" s="34"/>
      <c r="CU829" s="34"/>
      <c r="CV829" s="34"/>
      <c r="CW829" s="34"/>
      <c r="CX829" s="34"/>
      <c r="CY829" s="34"/>
      <c r="CZ829" s="34"/>
      <c r="DA829" s="34"/>
      <c r="DB829" s="34"/>
      <c r="DC829" s="34"/>
      <c r="DD829" s="34"/>
      <c r="DE829" s="34"/>
      <c r="DF829" s="34"/>
      <c r="DG829" s="34"/>
      <c r="DH829" s="34"/>
      <c r="DI829" s="34"/>
      <c r="DJ829" s="34"/>
      <c r="DK829" s="34"/>
      <c r="DL829" s="34"/>
      <c r="DM829" s="34"/>
      <c r="DN829" s="34"/>
      <c r="DO829" s="34"/>
      <c r="DP829" s="34"/>
      <c r="DQ829" s="34"/>
      <c r="DR829" s="34"/>
      <c r="DS829" s="34"/>
      <c r="DT829" s="34"/>
      <c r="DU829" s="34"/>
      <c r="DV829" s="34"/>
      <c r="DW829" s="34"/>
      <c r="DX829" s="34"/>
      <c r="DY829" s="34"/>
      <c r="DZ829" s="34"/>
      <c r="EA829" s="34"/>
    </row>
    <row r="830" spans="1:131" ht="11.25" hidden="1">
      <c r="A830" s="3" t="s">
        <v>3</v>
      </c>
      <c r="B830" s="4"/>
      <c r="C830" s="4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1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  <c r="AT830" s="34"/>
      <c r="AU830" s="34"/>
      <c r="AV830" s="34"/>
      <c r="AW830" s="34"/>
      <c r="AX830" s="34"/>
      <c r="AY830" s="34"/>
      <c r="AZ830" s="34"/>
      <c r="BA830" s="34"/>
      <c r="BB830" s="34"/>
      <c r="BC830" s="34"/>
      <c r="BD830" s="34"/>
      <c r="BE830" s="34"/>
      <c r="BF830" s="34"/>
      <c r="BG830" s="34"/>
      <c r="BH830" s="34"/>
      <c r="BI830" s="34"/>
      <c r="BJ830" s="34"/>
      <c r="BK830" s="34"/>
      <c r="BL830" s="34"/>
      <c r="BM830" s="34"/>
      <c r="BN830" s="34"/>
      <c r="BO830" s="34"/>
      <c r="BP830" s="34"/>
      <c r="BQ830" s="34"/>
      <c r="BR830" s="34"/>
      <c r="BS830" s="34"/>
      <c r="BT830" s="34"/>
      <c r="BU830" s="34"/>
      <c r="BV830" s="34"/>
      <c r="BW830" s="34"/>
      <c r="BX830" s="34"/>
      <c r="BY830" s="34"/>
      <c r="BZ830" s="34"/>
      <c r="CA830" s="34"/>
      <c r="CB830" s="34"/>
      <c r="CC830" s="34"/>
      <c r="CD830" s="34"/>
      <c r="CE830" s="34"/>
      <c r="CF830" s="34"/>
      <c r="CG830" s="34"/>
      <c r="CH830" s="34"/>
      <c r="CI830" s="34"/>
      <c r="CJ830" s="34"/>
      <c r="CK830" s="34"/>
      <c r="CL830" s="34"/>
      <c r="CM830" s="34"/>
      <c r="CN830" s="34"/>
      <c r="CO830" s="34"/>
      <c r="CP830" s="34"/>
      <c r="CQ830" s="34"/>
      <c r="CR830" s="34"/>
      <c r="CS830" s="34"/>
      <c r="CT830" s="34"/>
      <c r="CU830" s="34"/>
      <c r="CV830" s="34"/>
      <c r="CW830" s="34"/>
      <c r="CX830" s="34"/>
      <c r="CY830" s="34"/>
      <c r="CZ830" s="34"/>
      <c r="DA830" s="34"/>
      <c r="DB830" s="34"/>
      <c r="DC830" s="34"/>
      <c r="DD830" s="34"/>
      <c r="DE830" s="34"/>
      <c r="DF830" s="34"/>
      <c r="DG830" s="34"/>
      <c r="DH830" s="34"/>
      <c r="DI830" s="34"/>
      <c r="DJ830" s="34"/>
      <c r="DK830" s="34"/>
      <c r="DL830" s="34"/>
      <c r="DM830" s="34"/>
      <c r="DN830" s="34"/>
      <c r="DO830" s="34"/>
      <c r="DP830" s="34"/>
      <c r="DQ830" s="34"/>
      <c r="DR830" s="34"/>
      <c r="DS830" s="34"/>
      <c r="DT830" s="34"/>
      <c r="DU830" s="34"/>
      <c r="DV830" s="34"/>
      <c r="DW830" s="34"/>
      <c r="DX830" s="34"/>
      <c r="DY830" s="34"/>
      <c r="DZ830" s="34"/>
      <c r="EA830" s="34"/>
    </row>
    <row r="831" spans="1:131" ht="11.25" hidden="1">
      <c r="A831" s="6" t="s">
        <v>171</v>
      </c>
      <c r="B831" s="4"/>
      <c r="C831" s="4"/>
      <c r="D831" s="5"/>
      <c r="E831" s="5">
        <f>2-2</f>
        <v>0</v>
      </c>
      <c r="F831" s="5">
        <f>E831</f>
        <v>0</v>
      </c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1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  <c r="AT831" s="34"/>
      <c r="AU831" s="34"/>
      <c r="AV831" s="34"/>
      <c r="AW831" s="34"/>
      <c r="AX831" s="34"/>
      <c r="AY831" s="34"/>
      <c r="AZ831" s="34"/>
      <c r="BA831" s="34"/>
      <c r="BB831" s="34"/>
      <c r="BC831" s="34"/>
      <c r="BD831" s="34"/>
      <c r="BE831" s="34"/>
      <c r="BF831" s="34"/>
      <c r="BG831" s="34"/>
      <c r="BH831" s="34"/>
      <c r="BI831" s="34"/>
      <c r="BJ831" s="34"/>
      <c r="BK831" s="34"/>
      <c r="BL831" s="34"/>
      <c r="BM831" s="34"/>
      <c r="BN831" s="34"/>
      <c r="BO831" s="34"/>
      <c r="BP831" s="34"/>
      <c r="BQ831" s="34"/>
      <c r="BR831" s="34"/>
      <c r="BS831" s="34"/>
      <c r="BT831" s="34"/>
      <c r="BU831" s="34"/>
      <c r="BV831" s="34"/>
      <c r="BW831" s="34"/>
      <c r="BX831" s="34"/>
      <c r="BY831" s="34"/>
      <c r="BZ831" s="34"/>
      <c r="CA831" s="34"/>
      <c r="CB831" s="34"/>
      <c r="CC831" s="34"/>
      <c r="CD831" s="34"/>
      <c r="CE831" s="34"/>
      <c r="CF831" s="34"/>
      <c r="CG831" s="34"/>
      <c r="CH831" s="34"/>
      <c r="CI831" s="34"/>
      <c r="CJ831" s="34"/>
      <c r="CK831" s="34"/>
      <c r="CL831" s="34"/>
      <c r="CM831" s="34"/>
      <c r="CN831" s="34"/>
      <c r="CO831" s="34"/>
      <c r="CP831" s="34"/>
      <c r="CQ831" s="34"/>
      <c r="CR831" s="34"/>
      <c r="CS831" s="34"/>
      <c r="CT831" s="34"/>
      <c r="CU831" s="34"/>
      <c r="CV831" s="34"/>
      <c r="CW831" s="34"/>
      <c r="CX831" s="34"/>
      <c r="CY831" s="34"/>
      <c r="CZ831" s="34"/>
      <c r="DA831" s="34"/>
      <c r="DB831" s="34"/>
      <c r="DC831" s="34"/>
      <c r="DD831" s="34"/>
      <c r="DE831" s="34"/>
      <c r="DF831" s="34"/>
      <c r="DG831" s="34"/>
      <c r="DH831" s="34"/>
      <c r="DI831" s="34"/>
      <c r="DJ831" s="34"/>
      <c r="DK831" s="34"/>
      <c r="DL831" s="34"/>
      <c r="DM831" s="34"/>
      <c r="DN831" s="34"/>
      <c r="DO831" s="34"/>
      <c r="DP831" s="34"/>
      <c r="DQ831" s="34"/>
      <c r="DR831" s="34"/>
      <c r="DS831" s="34"/>
      <c r="DT831" s="34"/>
      <c r="DU831" s="34"/>
      <c r="DV831" s="34"/>
      <c r="DW831" s="34"/>
      <c r="DX831" s="34"/>
      <c r="DY831" s="34"/>
      <c r="DZ831" s="34"/>
      <c r="EA831" s="34"/>
    </row>
    <row r="832" spans="1:131" ht="11.25" hidden="1">
      <c r="A832" s="3" t="s">
        <v>5</v>
      </c>
      <c r="B832" s="4"/>
      <c r="C832" s="4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1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  <c r="AS832" s="34"/>
      <c r="AT832" s="34"/>
      <c r="AU832" s="34"/>
      <c r="AV832" s="34"/>
      <c r="AW832" s="34"/>
      <c r="AX832" s="34"/>
      <c r="AY832" s="34"/>
      <c r="AZ832" s="34"/>
      <c r="BA832" s="34"/>
      <c r="BB832" s="34"/>
      <c r="BC832" s="34"/>
      <c r="BD832" s="34"/>
      <c r="BE832" s="34"/>
      <c r="BF832" s="34"/>
      <c r="BG832" s="34"/>
      <c r="BH832" s="34"/>
      <c r="BI832" s="34"/>
      <c r="BJ832" s="34"/>
      <c r="BK832" s="34"/>
      <c r="BL832" s="34"/>
      <c r="BM832" s="34"/>
      <c r="BN832" s="34"/>
      <c r="BO832" s="34"/>
      <c r="BP832" s="34"/>
      <c r="BQ832" s="34"/>
      <c r="BR832" s="34"/>
      <c r="BS832" s="34"/>
      <c r="BT832" s="34"/>
      <c r="BU832" s="34"/>
      <c r="BV832" s="34"/>
      <c r="BW832" s="34"/>
      <c r="BX832" s="34"/>
      <c r="BY832" s="34"/>
      <c r="BZ832" s="34"/>
      <c r="CA832" s="34"/>
      <c r="CB832" s="34"/>
      <c r="CC832" s="34"/>
      <c r="CD832" s="34"/>
      <c r="CE832" s="34"/>
      <c r="CF832" s="34"/>
      <c r="CG832" s="34"/>
      <c r="CH832" s="34"/>
      <c r="CI832" s="34"/>
      <c r="CJ832" s="34"/>
      <c r="CK832" s="34"/>
      <c r="CL832" s="34"/>
      <c r="CM832" s="34"/>
      <c r="CN832" s="34"/>
      <c r="CO832" s="34"/>
      <c r="CP832" s="34"/>
      <c r="CQ832" s="34"/>
      <c r="CR832" s="34"/>
      <c r="CS832" s="34"/>
      <c r="CT832" s="34"/>
      <c r="CU832" s="34"/>
      <c r="CV832" s="34"/>
      <c r="CW832" s="34"/>
      <c r="CX832" s="34"/>
      <c r="CY832" s="34"/>
      <c r="CZ832" s="34"/>
      <c r="DA832" s="34"/>
      <c r="DB832" s="34"/>
      <c r="DC832" s="34"/>
      <c r="DD832" s="34"/>
      <c r="DE832" s="34"/>
      <c r="DF832" s="34"/>
      <c r="DG832" s="34"/>
      <c r="DH832" s="34"/>
      <c r="DI832" s="34"/>
      <c r="DJ832" s="34"/>
      <c r="DK832" s="34"/>
      <c r="DL832" s="34"/>
      <c r="DM832" s="34"/>
      <c r="DN832" s="34"/>
      <c r="DO832" s="34"/>
      <c r="DP832" s="34"/>
      <c r="DQ832" s="34"/>
      <c r="DR832" s="34"/>
      <c r="DS832" s="34"/>
      <c r="DT832" s="34"/>
      <c r="DU832" s="34"/>
      <c r="DV832" s="34"/>
      <c r="DW832" s="34"/>
      <c r="DX832" s="34"/>
      <c r="DY832" s="34"/>
      <c r="DZ832" s="34"/>
      <c r="EA832" s="34"/>
    </row>
    <row r="833" spans="1:131" ht="11.25" hidden="1">
      <c r="A833" s="6" t="s">
        <v>153</v>
      </c>
      <c r="B833" s="4"/>
      <c r="C833" s="4"/>
      <c r="D833" s="5"/>
      <c r="E833" s="5">
        <v>0</v>
      </c>
      <c r="F833" s="5">
        <f>E833</f>
        <v>0</v>
      </c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1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F833" s="34"/>
      <c r="AG833" s="34"/>
      <c r="AH833" s="34"/>
      <c r="AI833" s="34"/>
      <c r="AJ833" s="34"/>
      <c r="AK833" s="34"/>
      <c r="AL833" s="34"/>
      <c r="AM833" s="34"/>
      <c r="AN833" s="34"/>
      <c r="AO833" s="34"/>
      <c r="AP833" s="34"/>
      <c r="AQ833" s="34"/>
      <c r="AR833" s="34"/>
      <c r="AS833" s="34"/>
      <c r="AT833" s="34"/>
      <c r="AU833" s="34"/>
      <c r="AV833" s="34"/>
      <c r="AW833" s="34"/>
      <c r="AX833" s="34"/>
      <c r="AY833" s="34"/>
      <c r="AZ833" s="34"/>
      <c r="BA833" s="34"/>
      <c r="BB833" s="34"/>
      <c r="BC833" s="34"/>
      <c r="BD833" s="34"/>
      <c r="BE833" s="34"/>
      <c r="BF833" s="34"/>
      <c r="BG833" s="34"/>
      <c r="BH833" s="34"/>
      <c r="BI833" s="34"/>
      <c r="BJ833" s="34"/>
      <c r="BK833" s="34"/>
      <c r="BL833" s="34"/>
      <c r="BM833" s="34"/>
      <c r="BN833" s="34"/>
      <c r="BO833" s="34"/>
      <c r="BP833" s="34"/>
      <c r="BQ833" s="34"/>
      <c r="BR833" s="34"/>
      <c r="BS833" s="34"/>
      <c r="BT833" s="34"/>
      <c r="BU833" s="34"/>
      <c r="BV833" s="34"/>
      <c r="BW833" s="34"/>
      <c r="BX833" s="34"/>
      <c r="BY833" s="34"/>
      <c r="BZ833" s="34"/>
      <c r="CA833" s="34"/>
      <c r="CB833" s="34"/>
      <c r="CC833" s="34"/>
      <c r="CD833" s="34"/>
      <c r="CE833" s="34"/>
      <c r="CF833" s="34"/>
      <c r="CG833" s="34"/>
      <c r="CH833" s="34"/>
      <c r="CI833" s="34"/>
      <c r="CJ833" s="34"/>
      <c r="CK833" s="34"/>
      <c r="CL833" s="34"/>
      <c r="CM833" s="34"/>
      <c r="CN833" s="34"/>
      <c r="CO833" s="34"/>
      <c r="CP833" s="34"/>
      <c r="CQ833" s="34"/>
      <c r="CR833" s="34"/>
      <c r="CS833" s="34"/>
      <c r="CT833" s="34"/>
      <c r="CU833" s="34"/>
      <c r="CV833" s="34"/>
      <c r="CW833" s="34"/>
      <c r="CX833" s="34"/>
      <c r="CY833" s="34"/>
      <c r="CZ833" s="34"/>
      <c r="DA833" s="34"/>
      <c r="DB833" s="34"/>
      <c r="DC833" s="34"/>
      <c r="DD833" s="34"/>
      <c r="DE833" s="34"/>
      <c r="DF833" s="34"/>
      <c r="DG833" s="34"/>
      <c r="DH833" s="34"/>
      <c r="DI833" s="34"/>
      <c r="DJ833" s="34"/>
      <c r="DK833" s="34"/>
      <c r="DL833" s="34"/>
      <c r="DM833" s="34"/>
      <c r="DN833" s="34"/>
      <c r="DO833" s="34"/>
      <c r="DP833" s="34"/>
      <c r="DQ833" s="34"/>
      <c r="DR833" s="34"/>
      <c r="DS833" s="34"/>
      <c r="DT833" s="34"/>
      <c r="DU833" s="34"/>
      <c r="DV833" s="34"/>
      <c r="DW833" s="34"/>
      <c r="DX833" s="34"/>
      <c r="DY833" s="34"/>
      <c r="DZ833" s="34"/>
      <c r="EA833" s="34"/>
    </row>
    <row r="834" spans="1:17" s="76" customFormat="1" ht="30.75" customHeight="1" hidden="1">
      <c r="A834" s="85" t="s">
        <v>507</v>
      </c>
      <c r="B834" s="73"/>
      <c r="C834" s="73"/>
      <c r="D834" s="81">
        <f>300000-200000</f>
        <v>100000</v>
      </c>
      <c r="E834" s="81"/>
      <c r="F834" s="81">
        <f>D834</f>
        <v>100000</v>
      </c>
      <c r="G834" s="74"/>
      <c r="H834" s="74"/>
      <c r="I834" s="74"/>
      <c r="J834" s="74"/>
      <c r="K834" s="74"/>
      <c r="L834" s="74"/>
      <c r="M834" s="74"/>
      <c r="N834" s="81"/>
      <c r="O834" s="81"/>
      <c r="P834" s="81"/>
      <c r="Q834" s="232"/>
    </row>
    <row r="835" spans="1:131" ht="11.25" hidden="1">
      <c r="A835" s="6" t="s">
        <v>2</v>
      </c>
      <c r="B835" s="4"/>
      <c r="C835" s="4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1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F835" s="34"/>
      <c r="AG835" s="34"/>
      <c r="AH835" s="34"/>
      <c r="AI835" s="34"/>
      <c r="AJ835" s="34"/>
      <c r="AK835" s="34"/>
      <c r="AL835" s="34"/>
      <c r="AM835" s="34"/>
      <c r="AN835" s="34"/>
      <c r="AO835" s="34"/>
      <c r="AP835" s="34"/>
      <c r="AQ835" s="34"/>
      <c r="AR835" s="34"/>
      <c r="AS835" s="34"/>
      <c r="AT835" s="34"/>
      <c r="AU835" s="34"/>
      <c r="AV835" s="34"/>
      <c r="AW835" s="34"/>
      <c r="AX835" s="34"/>
      <c r="AY835" s="34"/>
      <c r="AZ835" s="34"/>
      <c r="BA835" s="34"/>
      <c r="BB835" s="34"/>
      <c r="BC835" s="34"/>
      <c r="BD835" s="34"/>
      <c r="BE835" s="34"/>
      <c r="BF835" s="34"/>
      <c r="BG835" s="34"/>
      <c r="BH835" s="34"/>
      <c r="BI835" s="34"/>
      <c r="BJ835" s="34"/>
      <c r="BK835" s="34"/>
      <c r="BL835" s="34"/>
      <c r="BM835" s="34"/>
      <c r="BN835" s="34"/>
      <c r="BO835" s="34"/>
      <c r="BP835" s="34"/>
      <c r="BQ835" s="34"/>
      <c r="BR835" s="34"/>
      <c r="BS835" s="34"/>
      <c r="BT835" s="34"/>
      <c r="BU835" s="34"/>
      <c r="BV835" s="34"/>
      <c r="BW835" s="34"/>
      <c r="BX835" s="34"/>
      <c r="BY835" s="34"/>
      <c r="BZ835" s="34"/>
      <c r="CA835" s="34"/>
      <c r="CB835" s="34"/>
      <c r="CC835" s="34"/>
      <c r="CD835" s="34"/>
      <c r="CE835" s="34"/>
      <c r="CF835" s="34"/>
      <c r="CG835" s="34"/>
      <c r="CH835" s="34"/>
      <c r="CI835" s="34"/>
      <c r="CJ835" s="34"/>
      <c r="CK835" s="34"/>
      <c r="CL835" s="34"/>
      <c r="CM835" s="34"/>
      <c r="CN835" s="34"/>
      <c r="CO835" s="34"/>
      <c r="CP835" s="34"/>
      <c r="CQ835" s="34"/>
      <c r="CR835" s="34"/>
      <c r="CS835" s="34"/>
      <c r="CT835" s="34"/>
      <c r="CU835" s="34"/>
      <c r="CV835" s="34"/>
      <c r="CW835" s="34"/>
      <c r="CX835" s="34"/>
      <c r="CY835" s="34"/>
      <c r="CZ835" s="34"/>
      <c r="DA835" s="34"/>
      <c r="DB835" s="34"/>
      <c r="DC835" s="34"/>
      <c r="DD835" s="34"/>
      <c r="DE835" s="34"/>
      <c r="DF835" s="34"/>
      <c r="DG835" s="34"/>
      <c r="DH835" s="34"/>
      <c r="DI835" s="34"/>
      <c r="DJ835" s="34"/>
      <c r="DK835" s="34"/>
      <c r="DL835" s="34"/>
      <c r="DM835" s="34"/>
      <c r="DN835" s="34"/>
      <c r="DO835" s="34"/>
      <c r="DP835" s="34"/>
      <c r="DQ835" s="34"/>
      <c r="DR835" s="34"/>
      <c r="DS835" s="34"/>
      <c r="DT835" s="34"/>
      <c r="DU835" s="34"/>
      <c r="DV835" s="34"/>
      <c r="DW835" s="34"/>
      <c r="DX835" s="34"/>
      <c r="DY835" s="34"/>
      <c r="DZ835" s="34"/>
      <c r="EA835" s="34"/>
    </row>
    <row r="836" spans="1:131" ht="11.25" hidden="1">
      <c r="A836" s="6" t="s">
        <v>23</v>
      </c>
      <c r="B836" s="4"/>
      <c r="C836" s="4"/>
      <c r="D836" s="5">
        <f>D834</f>
        <v>100000</v>
      </c>
      <c r="E836" s="5"/>
      <c r="F836" s="5">
        <f>F834</f>
        <v>100000</v>
      </c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1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F836" s="34"/>
      <c r="AG836" s="34"/>
      <c r="AH836" s="34"/>
      <c r="AI836" s="34"/>
      <c r="AJ836" s="34"/>
      <c r="AK836" s="34"/>
      <c r="AL836" s="34"/>
      <c r="AM836" s="34"/>
      <c r="AN836" s="34"/>
      <c r="AO836" s="34"/>
      <c r="AP836" s="34"/>
      <c r="AQ836" s="34"/>
      <c r="AR836" s="34"/>
      <c r="AS836" s="34"/>
      <c r="AT836" s="34"/>
      <c r="AU836" s="34"/>
      <c r="AV836" s="34"/>
      <c r="AW836" s="34"/>
      <c r="AX836" s="34"/>
      <c r="AY836" s="34"/>
      <c r="AZ836" s="34"/>
      <c r="BA836" s="34"/>
      <c r="BB836" s="34"/>
      <c r="BC836" s="34"/>
      <c r="BD836" s="34"/>
      <c r="BE836" s="34"/>
      <c r="BF836" s="34"/>
      <c r="BG836" s="34"/>
      <c r="BH836" s="34"/>
      <c r="BI836" s="34"/>
      <c r="BJ836" s="34"/>
      <c r="BK836" s="34"/>
      <c r="BL836" s="34"/>
      <c r="BM836" s="34"/>
      <c r="BN836" s="34"/>
      <c r="BO836" s="34"/>
      <c r="BP836" s="34"/>
      <c r="BQ836" s="34"/>
      <c r="BR836" s="34"/>
      <c r="BS836" s="34"/>
      <c r="BT836" s="34"/>
      <c r="BU836" s="34"/>
      <c r="BV836" s="34"/>
      <c r="BW836" s="34"/>
      <c r="BX836" s="34"/>
      <c r="BY836" s="34"/>
      <c r="BZ836" s="34"/>
      <c r="CA836" s="34"/>
      <c r="CB836" s="34"/>
      <c r="CC836" s="34"/>
      <c r="CD836" s="34"/>
      <c r="CE836" s="34"/>
      <c r="CF836" s="34"/>
      <c r="CG836" s="34"/>
      <c r="CH836" s="34"/>
      <c r="CI836" s="34"/>
      <c r="CJ836" s="34"/>
      <c r="CK836" s="34"/>
      <c r="CL836" s="34"/>
      <c r="CM836" s="34"/>
      <c r="CN836" s="34"/>
      <c r="CO836" s="34"/>
      <c r="CP836" s="34"/>
      <c r="CQ836" s="34"/>
      <c r="CR836" s="34"/>
      <c r="CS836" s="34"/>
      <c r="CT836" s="34"/>
      <c r="CU836" s="34"/>
      <c r="CV836" s="34"/>
      <c r="CW836" s="34"/>
      <c r="CX836" s="34"/>
      <c r="CY836" s="34"/>
      <c r="CZ836" s="34"/>
      <c r="DA836" s="34"/>
      <c r="DB836" s="34"/>
      <c r="DC836" s="34"/>
      <c r="DD836" s="34"/>
      <c r="DE836" s="34"/>
      <c r="DF836" s="34"/>
      <c r="DG836" s="34"/>
      <c r="DH836" s="34"/>
      <c r="DI836" s="34"/>
      <c r="DJ836" s="34"/>
      <c r="DK836" s="34"/>
      <c r="DL836" s="34"/>
      <c r="DM836" s="34"/>
      <c r="DN836" s="34"/>
      <c r="DO836" s="34"/>
      <c r="DP836" s="34"/>
      <c r="DQ836" s="34"/>
      <c r="DR836" s="34"/>
      <c r="DS836" s="34"/>
      <c r="DT836" s="34"/>
      <c r="DU836" s="34"/>
      <c r="DV836" s="34"/>
      <c r="DW836" s="34"/>
      <c r="DX836" s="34"/>
      <c r="DY836" s="34"/>
      <c r="DZ836" s="34"/>
      <c r="EA836" s="34"/>
    </row>
    <row r="837" spans="1:131" ht="11.25" hidden="1">
      <c r="A837" s="6" t="s">
        <v>474</v>
      </c>
      <c r="B837" s="4"/>
      <c r="C837" s="4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1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F837" s="34"/>
      <c r="AG837" s="34"/>
      <c r="AH837" s="34"/>
      <c r="AI837" s="34"/>
      <c r="AJ837" s="34"/>
      <c r="AK837" s="34"/>
      <c r="AL837" s="34"/>
      <c r="AM837" s="34"/>
      <c r="AN837" s="34"/>
      <c r="AO837" s="34"/>
      <c r="AP837" s="34"/>
      <c r="AQ837" s="34"/>
      <c r="AR837" s="34"/>
      <c r="AS837" s="34"/>
      <c r="AT837" s="34"/>
      <c r="AU837" s="34"/>
      <c r="AV837" s="34"/>
      <c r="AW837" s="34"/>
      <c r="AX837" s="34"/>
      <c r="AY837" s="34"/>
      <c r="AZ837" s="34"/>
      <c r="BA837" s="34"/>
      <c r="BB837" s="34"/>
      <c r="BC837" s="34"/>
      <c r="BD837" s="34"/>
      <c r="BE837" s="34"/>
      <c r="BF837" s="34"/>
      <c r="BG837" s="34"/>
      <c r="BH837" s="34"/>
      <c r="BI837" s="34"/>
      <c r="BJ837" s="34"/>
      <c r="BK837" s="34"/>
      <c r="BL837" s="34"/>
      <c r="BM837" s="34"/>
      <c r="BN837" s="34"/>
      <c r="BO837" s="34"/>
      <c r="BP837" s="34"/>
      <c r="BQ837" s="34"/>
      <c r="BR837" s="34"/>
      <c r="BS837" s="34"/>
      <c r="BT837" s="34"/>
      <c r="BU837" s="34"/>
      <c r="BV837" s="34"/>
      <c r="BW837" s="34"/>
      <c r="BX837" s="34"/>
      <c r="BY837" s="34"/>
      <c r="BZ837" s="34"/>
      <c r="CA837" s="34"/>
      <c r="CB837" s="34"/>
      <c r="CC837" s="34"/>
      <c r="CD837" s="34"/>
      <c r="CE837" s="34"/>
      <c r="CF837" s="34"/>
      <c r="CG837" s="34"/>
      <c r="CH837" s="34"/>
      <c r="CI837" s="34"/>
      <c r="CJ837" s="34"/>
      <c r="CK837" s="34"/>
      <c r="CL837" s="34"/>
      <c r="CM837" s="34"/>
      <c r="CN837" s="34"/>
      <c r="CO837" s="34"/>
      <c r="CP837" s="34"/>
      <c r="CQ837" s="34"/>
      <c r="CR837" s="34"/>
      <c r="CS837" s="34"/>
      <c r="CT837" s="34"/>
      <c r="CU837" s="34"/>
      <c r="CV837" s="34"/>
      <c r="CW837" s="34"/>
      <c r="CX837" s="34"/>
      <c r="CY837" s="34"/>
      <c r="CZ837" s="34"/>
      <c r="DA837" s="34"/>
      <c r="DB837" s="34"/>
      <c r="DC837" s="34"/>
      <c r="DD837" s="34"/>
      <c r="DE837" s="34"/>
      <c r="DF837" s="34"/>
      <c r="DG837" s="34"/>
      <c r="DH837" s="34"/>
      <c r="DI837" s="34"/>
      <c r="DJ837" s="34"/>
      <c r="DK837" s="34"/>
      <c r="DL837" s="34"/>
      <c r="DM837" s="34"/>
      <c r="DN837" s="34"/>
      <c r="DO837" s="34"/>
      <c r="DP837" s="34"/>
      <c r="DQ837" s="34"/>
      <c r="DR837" s="34"/>
      <c r="DS837" s="34"/>
      <c r="DT837" s="34"/>
      <c r="DU837" s="34"/>
      <c r="DV837" s="34"/>
      <c r="DW837" s="34"/>
      <c r="DX837" s="34"/>
      <c r="DY837" s="34"/>
      <c r="DZ837" s="34"/>
      <c r="EA837" s="34"/>
    </row>
    <row r="838" spans="1:131" ht="11.25" hidden="1">
      <c r="A838" s="6" t="s">
        <v>171</v>
      </c>
      <c r="B838" s="4"/>
      <c r="C838" s="4"/>
      <c r="D838" s="5">
        <v>6</v>
      </c>
      <c r="E838" s="5"/>
      <c r="F838" s="5">
        <v>6</v>
      </c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1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  <c r="AH838" s="34"/>
      <c r="AI838" s="34"/>
      <c r="AJ838" s="34"/>
      <c r="AK838" s="34"/>
      <c r="AL838" s="34"/>
      <c r="AM838" s="34"/>
      <c r="AN838" s="34"/>
      <c r="AO838" s="34"/>
      <c r="AP838" s="34"/>
      <c r="AQ838" s="34"/>
      <c r="AR838" s="34"/>
      <c r="AS838" s="34"/>
      <c r="AT838" s="34"/>
      <c r="AU838" s="34"/>
      <c r="AV838" s="34"/>
      <c r="AW838" s="34"/>
      <c r="AX838" s="34"/>
      <c r="AY838" s="34"/>
      <c r="AZ838" s="34"/>
      <c r="BA838" s="34"/>
      <c r="BB838" s="34"/>
      <c r="BC838" s="34"/>
      <c r="BD838" s="34"/>
      <c r="BE838" s="34"/>
      <c r="BF838" s="34"/>
      <c r="BG838" s="34"/>
      <c r="BH838" s="34"/>
      <c r="BI838" s="34"/>
      <c r="BJ838" s="34"/>
      <c r="BK838" s="34"/>
      <c r="BL838" s="34"/>
      <c r="BM838" s="34"/>
      <c r="BN838" s="34"/>
      <c r="BO838" s="34"/>
      <c r="BP838" s="34"/>
      <c r="BQ838" s="34"/>
      <c r="BR838" s="34"/>
      <c r="BS838" s="34"/>
      <c r="BT838" s="34"/>
      <c r="BU838" s="34"/>
      <c r="BV838" s="34"/>
      <c r="BW838" s="34"/>
      <c r="BX838" s="34"/>
      <c r="BY838" s="34"/>
      <c r="BZ838" s="34"/>
      <c r="CA838" s="34"/>
      <c r="CB838" s="34"/>
      <c r="CC838" s="34"/>
      <c r="CD838" s="34"/>
      <c r="CE838" s="34"/>
      <c r="CF838" s="34"/>
      <c r="CG838" s="34"/>
      <c r="CH838" s="34"/>
      <c r="CI838" s="34"/>
      <c r="CJ838" s="34"/>
      <c r="CK838" s="34"/>
      <c r="CL838" s="34"/>
      <c r="CM838" s="34"/>
      <c r="CN838" s="34"/>
      <c r="CO838" s="34"/>
      <c r="CP838" s="34"/>
      <c r="CQ838" s="34"/>
      <c r="CR838" s="34"/>
      <c r="CS838" s="34"/>
      <c r="CT838" s="34"/>
      <c r="CU838" s="34"/>
      <c r="CV838" s="34"/>
      <c r="CW838" s="34"/>
      <c r="CX838" s="34"/>
      <c r="CY838" s="34"/>
      <c r="CZ838" s="34"/>
      <c r="DA838" s="34"/>
      <c r="DB838" s="34"/>
      <c r="DC838" s="34"/>
      <c r="DD838" s="34"/>
      <c r="DE838" s="34"/>
      <c r="DF838" s="34"/>
      <c r="DG838" s="34"/>
      <c r="DH838" s="34"/>
      <c r="DI838" s="34"/>
      <c r="DJ838" s="34"/>
      <c r="DK838" s="34"/>
      <c r="DL838" s="34"/>
      <c r="DM838" s="34"/>
      <c r="DN838" s="34"/>
      <c r="DO838" s="34"/>
      <c r="DP838" s="34"/>
      <c r="DQ838" s="34"/>
      <c r="DR838" s="34"/>
      <c r="DS838" s="34"/>
      <c r="DT838" s="34"/>
      <c r="DU838" s="34"/>
      <c r="DV838" s="34"/>
      <c r="DW838" s="34"/>
      <c r="DX838" s="34"/>
      <c r="DY838" s="34"/>
      <c r="DZ838" s="34"/>
      <c r="EA838" s="34"/>
    </row>
    <row r="839" spans="1:131" ht="11.25" hidden="1">
      <c r="A839" s="6" t="s">
        <v>475</v>
      </c>
      <c r="B839" s="4"/>
      <c r="C839" s="4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1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F839" s="34"/>
      <c r="AG839" s="34"/>
      <c r="AH839" s="34"/>
      <c r="AI839" s="34"/>
      <c r="AJ839" s="34"/>
      <c r="AK839" s="34"/>
      <c r="AL839" s="34"/>
      <c r="AM839" s="34"/>
      <c r="AN839" s="34"/>
      <c r="AO839" s="34"/>
      <c r="AP839" s="34"/>
      <c r="AQ839" s="34"/>
      <c r="AR839" s="34"/>
      <c r="AS839" s="34"/>
      <c r="AT839" s="34"/>
      <c r="AU839" s="34"/>
      <c r="AV839" s="34"/>
      <c r="AW839" s="34"/>
      <c r="AX839" s="34"/>
      <c r="AY839" s="34"/>
      <c r="AZ839" s="34"/>
      <c r="BA839" s="34"/>
      <c r="BB839" s="34"/>
      <c r="BC839" s="34"/>
      <c r="BD839" s="34"/>
      <c r="BE839" s="34"/>
      <c r="BF839" s="34"/>
      <c r="BG839" s="34"/>
      <c r="BH839" s="34"/>
      <c r="BI839" s="34"/>
      <c r="BJ839" s="34"/>
      <c r="BK839" s="34"/>
      <c r="BL839" s="34"/>
      <c r="BM839" s="34"/>
      <c r="BN839" s="34"/>
      <c r="BO839" s="34"/>
      <c r="BP839" s="34"/>
      <c r="BQ839" s="34"/>
      <c r="BR839" s="34"/>
      <c r="BS839" s="34"/>
      <c r="BT839" s="34"/>
      <c r="BU839" s="34"/>
      <c r="BV839" s="34"/>
      <c r="BW839" s="34"/>
      <c r="BX839" s="34"/>
      <c r="BY839" s="34"/>
      <c r="BZ839" s="34"/>
      <c r="CA839" s="34"/>
      <c r="CB839" s="34"/>
      <c r="CC839" s="34"/>
      <c r="CD839" s="34"/>
      <c r="CE839" s="34"/>
      <c r="CF839" s="34"/>
      <c r="CG839" s="34"/>
      <c r="CH839" s="34"/>
      <c r="CI839" s="34"/>
      <c r="CJ839" s="34"/>
      <c r="CK839" s="34"/>
      <c r="CL839" s="34"/>
      <c r="CM839" s="34"/>
      <c r="CN839" s="34"/>
      <c r="CO839" s="34"/>
      <c r="CP839" s="34"/>
      <c r="CQ839" s="34"/>
      <c r="CR839" s="34"/>
      <c r="CS839" s="34"/>
      <c r="CT839" s="34"/>
      <c r="CU839" s="34"/>
      <c r="CV839" s="34"/>
      <c r="CW839" s="34"/>
      <c r="CX839" s="34"/>
      <c r="CY839" s="34"/>
      <c r="CZ839" s="34"/>
      <c r="DA839" s="34"/>
      <c r="DB839" s="34"/>
      <c r="DC839" s="34"/>
      <c r="DD839" s="34"/>
      <c r="DE839" s="34"/>
      <c r="DF839" s="34"/>
      <c r="DG839" s="34"/>
      <c r="DH839" s="34"/>
      <c r="DI839" s="34"/>
      <c r="DJ839" s="34"/>
      <c r="DK839" s="34"/>
      <c r="DL839" s="34"/>
      <c r="DM839" s="34"/>
      <c r="DN839" s="34"/>
      <c r="DO839" s="34"/>
      <c r="DP839" s="34"/>
      <c r="DQ839" s="34"/>
      <c r="DR839" s="34"/>
      <c r="DS839" s="34"/>
      <c r="DT839" s="34"/>
      <c r="DU839" s="34"/>
      <c r="DV839" s="34"/>
      <c r="DW839" s="34"/>
      <c r="DX839" s="34"/>
      <c r="DY839" s="34"/>
      <c r="DZ839" s="34"/>
      <c r="EA839" s="34"/>
    </row>
    <row r="840" spans="1:131" ht="11.25" hidden="1">
      <c r="A840" s="6" t="s">
        <v>153</v>
      </c>
      <c r="B840" s="4"/>
      <c r="C840" s="4"/>
      <c r="D840" s="5">
        <f>D836/D838</f>
        <v>16666.666666666668</v>
      </c>
      <c r="E840" s="5"/>
      <c r="F840" s="5">
        <f>D840</f>
        <v>16666.666666666668</v>
      </c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1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F840" s="34"/>
      <c r="AG840" s="34"/>
      <c r="AH840" s="34"/>
      <c r="AI840" s="34"/>
      <c r="AJ840" s="34"/>
      <c r="AK840" s="34"/>
      <c r="AL840" s="34"/>
      <c r="AM840" s="34"/>
      <c r="AN840" s="34"/>
      <c r="AO840" s="34"/>
      <c r="AP840" s="34"/>
      <c r="AQ840" s="34"/>
      <c r="AR840" s="34"/>
      <c r="AS840" s="34"/>
      <c r="AT840" s="34"/>
      <c r="AU840" s="34"/>
      <c r="AV840" s="34"/>
      <c r="AW840" s="34"/>
      <c r="AX840" s="34"/>
      <c r="AY840" s="34"/>
      <c r="AZ840" s="34"/>
      <c r="BA840" s="34"/>
      <c r="BB840" s="34"/>
      <c r="BC840" s="34"/>
      <c r="BD840" s="34"/>
      <c r="BE840" s="34"/>
      <c r="BF840" s="34"/>
      <c r="BG840" s="34"/>
      <c r="BH840" s="34"/>
      <c r="BI840" s="34"/>
      <c r="BJ840" s="34"/>
      <c r="BK840" s="34"/>
      <c r="BL840" s="34"/>
      <c r="BM840" s="34"/>
      <c r="BN840" s="34"/>
      <c r="BO840" s="34"/>
      <c r="BP840" s="34"/>
      <c r="BQ840" s="34"/>
      <c r="BR840" s="34"/>
      <c r="BS840" s="34"/>
      <c r="BT840" s="34"/>
      <c r="BU840" s="34"/>
      <c r="BV840" s="34"/>
      <c r="BW840" s="34"/>
      <c r="BX840" s="34"/>
      <c r="BY840" s="34"/>
      <c r="BZ840" s="34"/>
      <c r="CA840" s="34"/>
      <c r="CB840" s="34"/>
      <c r="CC840" s="34"/>
      <c r="CD840" s="34"/>
      <c r="CE840" s="34"/>
      <c r="CF840" s="34"/>
      <c r="CG840" s="34"/>
      <c r="CH840" s="34"/>
      <c r="CI840" s="34"/>
      <c r="CJ840" s="34"/>
      <c r="CK840" s="34"/>
      <c r="CL840" s="34"/>
      <c r="CM840" s="34"/>
      <c r="CN840" s="34"/>
      <c r="CO840" s="34"/>
      <c r="CP840" s="34"/>
      <c r="CQ840" s="34"/>
      <c r="CR840" s="34"/>
      <c r="CS840" s="34"/>
      <c r="CT840" s="34"/>
      <c r="CU840" s="34"/>
      <c r="CV840" s="34"/>
      <c r="CW840" s="34"/>
      <c r="CX840" s="34"/>
      <c r="CY840" s="34"/>
      <c r="CZ840" s="34"/>
      <c r="DA840" s="34"/>
      <c r="DB840" s="34"/>
      <c r="DC840" s="34"/>
      <c r="DD840" s="34"/>
      <c r="DE840" s="34"/>
      <c r="DF840" s="34"/>
      <c r="DG840" s="34"/>
      <c r="DH840" s="34"/>
      <c r="DI840" s="34"/>
      <c r="DJ840" s="34"/>
      <c r="DK840" s="34"/>
      <c r="DL840" s="34"/>
      <c r="DM840" s="34"/>
      <c r="DN840" s="34"/>
      <c r="DO840" s="34"/>
      <c r="DP840" s="34"/>
      <c r="DQ840" s="34"/>
      <c r="DR840" s="34"/>
      <c r="DS840" s="34"/>
      <c r="DT840" s="34"/>
      <c r="DU840" s="34"/>
      <c r="DV840" s="34"/>
      <c r="DW840" s="34"/>
      <c r="DX840" s="34"/>
      <c r="DY840" s="34"/>
      <c r="DZ840" s="34"/>
      <c r="EA840" s="34"/>
    </row>
    <row r="841" spans="1:131" ht="45" hidden="1">
      <c r="A841" s="85" t="s">
        <v>492</v>
      </c>
      <c r="B841" s="4"/>
      <c r="C841" s="4"/>
      <c r="D841" s="24">
        <f>D843</f>
        <v>3350000</v>
      </c>
      <c r="E841" s="5"/>
      <c r="F841" s="24">
        <f aca="true" t="shared" si="46" ref="F841:F846">D841</f>
        <v>3350000</v>
      </c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1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F841" s="34"/>
      <c r="AG841" s="34"/>
      <c r="AH841" s="34"/>
      <c r="AI841" s="34"/>
      <c r="AJ841" s="34"/>
      <c r="AK841" s="34"/>
      <c r="AL841" s="34"/>
      <c r="AM841" s="34"/>
      <c r="AN841" s="34"/>
      <c r="AO841" s="34"/>
      <c r="AP841" s="34"/>
      <c r="AQ841" s="34"/>
      <c r="AR841" s="34"/>
      <c r="AS841" s="34"/>
      <c r="AT841" s="34"/>
      <c r="AU841" s="34"/>
      <c r="AV841" s="34"/>
      <c r="AW841" s="34"/>
      <c r="AX841" s="34"/>
      <c r="AY841" s="34"/>
      <c r="AZ841" s="34"/>
      <c r="BA841" s="34"/>
      <c r="BB841" s="34"/>
      <c r="BC841" s="34"/>
      <c r="BD841" s="34"/>
      <c r="BE841" s="34"/>
      <c r="BF841" s="34"/>
      <c r="BG841" s="34"/>
      <c r="BH841" s="34"/>
      <c r="BI841" s="34"/>
      <c r="BJ841" s="34"/>
      <c r="BK841" s="34"/>
      <c r="BL841" s="34"/>
      <c r="BM841" s="34"/>
      <c r="BN841" s="34"/>
      <c r="BO841" s="34"/>
      <c r="BP841" s="34"/>
      <c r="BQ841" s="34"/>
      <c r="BR841" s="34"/>
      <c r="BS841" s="34"/>
      <c r="BT841" s="34"/>
      <c r="BU841" s="34"/>
      <c r="BV841" s="34"/>
      <c r="BW841" s="34"/>
      <c r="BX841" s="34"/>
      <c r="BY841" s="34"/>
      <c r="BZ841" s="34"/>
      <c r="CA841" s="34"/>
      <c r="CB841" s="34"/>
      <c r="CC841" s="34"/>
      <c r="CD841" s="34"/>
      <c r="CE841" s="34"/>
      <c r="CF841" s="34"/>
      <c r="CG841" s="34"/>
      <c r="CH841" s="34"/>
      <c r="CI841" s="34"/>
      <c r="CJ841" s="34"/>
      <c r="CK841" s="34"/>
      <c r="CL841" s="34"/>
      <c r="CM841" s="34"/>
      <c r="CN841" s="34"/>
      <c r="CO841" s="34"/>
      <c r="CP841" s="34"/>
      <c r="CQ841" s="34"/>
      <c r="CR841" s="34"/>
      <c r="CS841" s="34"/>
      <c r="CT841" s="34"/>
      <c r="CU841" s="34"/>
      <c r="CV841" s="34"/>
      <c r="CW841" s="34"/>
      <c r="CX841" s="34"/>
      <c r="CY841" s="34"/>
      <c r="CZ841" s="34"/>
      <c r="DA841" s="34"/>
      <c r="DB841" s="34"/>
      <c r="DC841" s="34"/>
      <c r="DD841" s="34"/>
      <c r="DE841" s="34"/>
      <c r="DF841" s="34"/>
      <c r="DG841" s="34"/>
      <c r="DH841" s="34"/>
      <c r="DI841" s="34"/>
      <c r="DJ841" s="34"/>
      <c r="DK841" s="34"/>
      <c r="DL841" s="34"/>
      <c r="DM841" s="34"/>
      <c r="DN841" s="34"/>
      <c r="DO841" s="34"/>
      <c r="DP841" s="34"/>
      <c r="DQ841" s="34"/>
      <c r="DR841" s="34"/>
      <c r="DS841" s="34"/>
      <c r="DT841" s="34"/>
      <c r="DU841" s="34"/>
      <c r="DV841" s="34"/>
      <c r="DW841" s="34"/>
      <c r="DX841" s="34"/>
      <c r="DY841" s="34"/>
      <c r="DZ841" s="34"/>
      <c r="EA841" s="34"/>
    </row>
    <row r="842" spans="1:131" ht="11.25" hidden="1">
      <c r="A842" s="3" t="s">
        <v>2</v>
      </c>
      <c r="B842" s="4"/>
      <c r="C842" s="4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1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F842" s="34"/>
      <c r="AG842" s="34"/>
      <c r="AH842" s="34"/>
      <c r="AI842" s="34"/>
      <c r="AJ842" s="34"/>
      <c r="AK842" s="34"/>
      <c r="AL842" s="34"/>
      <c r="AM842" s="34"/>
      <c r="AN842" s="34"/>
      <c r="AO842" s="34"/>
      <c r="AP842" s="34"/>
      <c r="AQ842" s="34"/>
      <c r="AR842" s="34"/>
      <c r="AS842" s="34"/>
      <c r="AT842" s="34"/>
      <c r="AU842" s="34"/>
      <c r="AV842" s="34"/>
      <c r="AW842" s="34"/>
      <c r="AX842" s="34"/>
      <c r="AY842" s="34"/>
      <c r="AZ842" s="34"/>
      <c r="BA842" s="34"/>
      <c r="BB842" s="34"/>
      <c r="BC842" s="34"/>
      <c r="BD842" s="34"/>
      <c r="BE842" s="34"/>
      <c r="BF842" s="34"/>
      <c r="BG842" s="34"/>
      <c r="BH842" s="34"/>
      <c r="BI842" s="34"/>
      <c r="BJ842" s="34"/>
      <c r="BK842" s="34"/>
      <c r="BL842" s="34"/>
      <c r="BM842" s="34"/>
      <c r="BN842" s="34"/>
      <c r="BO842" s="34"/>
      <c r="BP842" s="34"/>
      <c r="BQ842" s="34"/>
      <c r="BR842" s="34"/>
      <c r="BS842" s="34"/>
      <c r="BT842" s="34"/>
      <c r="BU842" s="34"/>
      <c r="BV842" s="34"/>
      <c r="BW842" s="34"/>
      <c r="BX842" s="34"/>
      <c r="BY842" s="34"/>
      <c r="BZ842" s="34"/>
      <c r="CA842" s="34"/>
      <c r="CB842" s="34"/>
      <c r="CC842" s="34"/>
      <c r="CD842" s="34"/>
      <c r="CE842" s="34"/>
      <c r="CF842" s="34"/>
      <c r="CG842" s="34"/>
      <c r="CH842" s="34"/>
      <c r="CI842" s="34"/>
      <c r="CJ842" s="34"/>
      <c r="CK842" s="34"/>
      <c r="CL842" s="34"/>
      <c r="CM842" s="34"/>
      <c r="CN842" s="34"/>
      <c r="CO842" s="34"/>
      <c r="CP842" s="34"/>
      <c r="CQ842" s="34"/>
      <c r="CR842" s="34"/>
      <c r="CS842" s="34"/>
      <c r="CT842" s="34"/>
      <c r="CU842" s="34"/>
      <c r="CV842" s="34"/>
      <c r="CW842" s="34"/>
      <c r="CX842" s="34"/>
      <c r="CY842" s="34"/>
      <c r="CZ842" s="34"/>
      <c r="DA842" s="34"/>
      <c r="DB842" s="34"/>
      <c r="DC842" s="34"/>
      <c r="DD842" s="34"/>
      <c r="DE842" s="34"/>
      <c r="DF842" s="34"/>
      <c r="DG842" s="34"/>
      <c r="DH842" s="34"/>
      <c r="DI842" s="34"/>
      <c r="DJ842" s="34"/>
      <c r="DK842" s="34"/>
      <c r="DL842" s="34"/>
      <c r="DM842" s="34"/>
      <c r="DN842" s="34"/>
      <c r="DO842" s="34"/>
      <c r="DP842" s="34"/>
      <c r="DQ842" s="34"/>
      <c r="DR842" s="34"/>
      <c r="DS842" s="34"/>
      <c r="DT842" s="34"/>
      <c r="DU842" s="34"/>
      <c r="DV842" s="34"/>
      <c r="DW842" s="34"/>
      <c r="DX842" s="34"/>
      <c r="DY842" s="34"/>
      <c r="DZ842" s="34"/>
      <c r="EA842" s="34"/>
    </row>
    <row r="843" spans="1:131" ht="11.25" hidden="1">
      <c r="A843" s="3" t="s">
        <v>23</v>
      </c>
      <c r="B843" s="4"/>
      <c r="C843" s="4"/>
      <c r="D843" s="5">
        <v>3350000</v>
      </c>
      <c r="E843" s="5"/>
      <c r="F843" s="5">
        <f t="shared" si="46"/>
        <v>3350000</v>
      </c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1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F843" s="34"/>
      <c r="AG843" s="34"/>
      <c r="AH843" s="34"/>
      <c r="AI843" s="34"/>
      <c r="AJ843" s="34"/>
      <c r="AK843" s="34"/>
      <c r="AL843" s="34"/>
      <c r="AM843" s="34"/>
      <c r="AN843" s="34"/>
      <c r="AO843" s="34"/>
      <c r="AP843" s="34"/>
      <c r="AQ843" s="34"/>
      <c r="AR843" s="34"/>
      <c r="AS843" s="34"/>
      <c r="AT843" s="34"/>
      <c r="AU843" s="34"/>
      <c r="AV843" s="34"/>
      <c r="AW843" s="34"/>
      <c r="AX843" s="34"/>
      <c r="AY843" s="34"/>
      <c r="AZ843" s="34"/>
      <c r="BA843" s="34"/>
      <c r="BB843" s="34"/>
      <c r="BC843" s="34"/>
      <c r="BD843" s="34"/>
      <c r="BE843" s="34"/>
      <c r="BF843" s="34"/>
      <c r="BG843" s="34"/>
      <c r="BH843" s="34"/>
      <c r="BI843" s="34"/>
      <c r="BJ843" s="34"/>
      <c r="BK843" s="34"/>
      <c r="BL843" s="34"/>
      <c r="BM843" s="34"/>
      <c r="BN843" s="34"/>
      <c r="BO843" s="34"/>
      <c r="BP843" s="34"/>
      <c r="BQ843" s="34"/>
      <c r="BR843" s="34"/>
      <c r="BS843" s="34"/>
      <c r="BT843" s="34"/>
      <c r="BU843" s="34"/>
      <c r="BV843" s="34"/>
      <c r="BW843" s="34"/>
      <c r="BX843" s="34"/>
      <c r="BY843" s="34"/>
      <c r="BZ843" s="34"/>
      <c r="CA843" s="34"/>
      <c r="CB843" s="34"/>
      <c r="CC843" s="34"/>
      <c r="CD843" s="34"/>
      <c r="CE843" s="34"/>
      <c r="CF843" s="34"/>
      <c r="CG843" s="34"/>
      <c r="CH843" s="34"/>
      <c r="CI843" s="34"/>
      <c r="CJ843" s="34"/>
      <c r="CK843" s="34"/>
      <c r="CL843" s="34"/>
      <c r="CM843" s="34"/>
      <c r="CN843" s="34"/>
      <c r="CO843" s="34"/>
      <c r="CP843" s="34"/>
      <c r="CQ843" s="34"/>
      <c r="CR843" s="34"/>
      <c r="CS843" s="34"/>
      <c r="CT843" s="34"/>
      <c r="CU843" s="34"/>
      <c r="CV843" s="34"/>
      <c r="CW843" s="34"/>
      <c r="CX843" s="34"/>
      <c r="CY843" s="34"/>
      <c r="CZ843" s="34"/>
      <c r="DA843" s="34"/>
      <c r="DB843" s="34"/>
      <c r="DC843" s="34"/>
      <c r="DD843" s="34"/>
      <c r="DE843" s="34"/>
      <c r="DF843" s="34"/>
      <c r="DG843" s="34"/>
      <c r="DH843" s="34"/>
      <c r="DI843" s="34"/>
      <c r="DJ843" s="34"/>
      <c r="DK843" s="34"/>
      <c r="DL843" s="34"/>
      <c r="DM843" s="34"/>
      <c r="DN843" s="34"/>
      <c r="DO843" s="34"/>
      <c r="DP843" s="34"/>
      <c r="DQ843" s="34"/>
      <c r="DR843" s="34"/>
      <c r="DS843" s="34"/>
      <c r="DT843" s="34"/>
      <c r="DU843" s="34"/>
      <c r="DV843" s="34"/>
      <c r="DW843" s="34"/>
      <c r="DX843" s="34"/>
      <c r="DY843" s="34"/>
      <c r="DZ843" s="34"/>
      <c r="EA843" s="34"/>
    </row>
    <row r="844" spans="1:131" ht="33.75" hidden="1">
      <c r="A844" s="85" t="s">
        <v>493</v>
      </c>
      <c r="B844" s="4"/>
      <c r="C844" s="4"/>
      <c r="D844" s="24">
        <f>D846</f>
        <v>2000000</v>
      </c>
      <c r="E844" s="5"/>
      <c r="F844" s="24">
        <f t="shared" si="46"/>
        <v>2000000</v>
      </c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1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  <c r="AF844" s="34"/>
      <c r="AG844" s="34"/>
      <c r="AH844" s="34"/>
      <c r="AI844" s="34"/>
      <c r="AJ844" s="34"/>
      <c r="AK844" s="34"/>
      <c r="AL844" s="34"/>
      <c r="AM844" s="34"/>
      <c r="AN844" s="34"/>
      <c r="AO844" s="34"/>
      <c r="AP844" s="34"/>
      <c r="AQ844" s="34"/>
      <c r="AR844" s="34"/>
      <c r="AS844" s="34"/>
      <c r="AT844" s="34"/>
      <c r="AU844" s="34"/>
      <c r="AV844" s="34"/>
      <c r="AW844" s="34"/>
      <c r="AX844" s="34"/>
      <c r="AY844" s="34"/>
      <c r="AZ844" s="34"/>
      <c r="BA844" s="34"/>
      <c r="BB844" s="34"/>
      <c r="BC844" s="34"/>
      <c r="BD844" s="34"/>
      <c r="BE844" s="34"/>
      <c r="BF844" s="34"/>
      <c r="BG844" s="34"/>
      <c r="BH844" s="34"/>
      <c r="BI844" s="34"/>
      <c r="BJ844" s="34"/>
      <c r="BK844" s="34"/>
      <c r="BL844" s="34"/>
      <c r="BM844" s="34"/>
      <c r="BN844" s="34"/>
      <c r="BO844" s="34"/>
      <c r="BP844" s="34"/>
      <c r="BQ844" s="34"/>
      <c r="BR844" s="34"/>
      <c r="BS844" s="34"/>
      <c r="BT844" s="34"/>
      <c r="BU844" s="34"/>
      <c r="BV844" s="34"/>
      <c r="BW844" s="34"/>
      <c r="BX844" s="34"/>
      <c r="BY844" s="34"/>
      <c r="BZ844" s="34"/>
      <c r="CA844" s="34"/>
      <c r="CB844" s="34"/>
      <c r="CC844" s="34"/>
      <c r="CD844" s="34"/>
      <c r="CE844" s="34"/>
      <c r="CF844" s="34"/>
      <c r="CG844" s="34"/>
      <c r="CH844" s="34"/>
      <c r="CI844" s="34"/>
      <c r="CJ844" s="34"/>
      <c r="CK844" s="34"/>
      <c r="CL844" s="34"/>
      <c r="CM844" s="34"/>
      <c r="CN844" s="34"/>
      <c r="CO844" s="34"/>
      <c r="CP844" s="34"/>
      <c r="CQ844" s="34"/>
      <c r="CR844" s="34"/>
      <c r="CS844" s="34"/>
      <c r="CT844" s="34"/>
      <c r="CU844" s="34"/>
      <c r="CV844" s="34"/>
      <c r="CW844" s="34"/>
      <c r="CX844" s="34"/>
      <c r="CY844" s="34"/>
      <c r="CZ844" s="34"/>
      <c r="DA844" s="34"/>
      <c r="DB844" s="34"/>
      <c r="DC844" s="34"/>
      <c r="DD844" s="34"/>
      <c r="DE844" s="34"/>
      <c r="DF844" s="34"/>
      <c r="DG844" s="34"/>
      <c r="DH844" s="34"/>
      <c r="DI844" s="34"/>
      <c r="DJ844" s="34"/>
      <c r="DK844" s="34"/>
      <c r="DL844" s="34"/>
      <c r="DM844" s="34"/>
      <c r="DN844" s="34"/>
      <c r="DO844" s="34"/>
      <c r="DP844" s="34"/>
      <c r="DQ844" s="34"/>
      <c r="DR844" s="34"/>
      <c r="DS844" s="34"/>
      <c r="DT844" s="34"/>
      <c r="DU844" s="34"/>
      <c r="DV844" s="34"/>
      <c r="DW844" s="34"/>
      <c r="DX844" s="34"/>
      <c r="DY844" s="34"/>
      <c r="DZ844" s="34"/>
      <c r="EA844" s="34"/>
    </row>
    <row r="845" spans="1:131" ht="11.25" hidden="1">
      <c r="A845" s="3" t="s">
        <v>2</v>
      </c>
      <c r="B845" s="4"/>
      <c r="C845" s="4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1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  <c r="AF845" s="34"/>
      <c r="AG845" s="34"/>
      <c r="AH845" s="34"/>
      <c r="AI845" s="34"/>
      <c r="AJ845" s="34"/>
      <c r="AK845" s="34"/>
      <c r="AL845" s="34"/>
      <c r="AM845" s="34"/>
      <c r="AN845" s="34"/>
      <c r="AO845" s="34"/>
      <c r="AP845" s="34"/>
      <c r="AQ845" s="34"/>
      <c r="AR845" s="34"/>
      <c r="AS845" s="34"/>
      <c r="AT845" s="34"/>
      <c r="AU845" s="34"/>
      <c r="AV845" s="34"/>
      <c r="AW845" s="34"/>
      <c r="AX845" s="34"/>
      <c r="AY845" s="34"/>
      <c r="AZ845" s="34"/>
      <c r="BA845" s="34"/>
      <c r="BB845" s="34"/>
      <c r="BC845" s="34"/>
      <c r="BD845" s="34"/>
      <c r="BE845" s="34"/>
      <c r="BF845" s="34"/>
      <c r="BG845" s="34"/>
      <c r="BH845" s="34"/>
      <c r="BI845" s="34"/>
      <c r="BJ845" s="34"/>
      <c r="BK845" s="34"/>
      <c r="BL845" s="34"/>
      <c r="BM845" s="34"/>
      <c r="BN845" s="34"/>
      <c r="BO845" s="34"/>
      <c r="BP845" s="34"/>
      <c r="BQ845" s="34"/>
      <c r="BR845" s="34"/>
      <c r="BS845" s="34"/>
      <c r="BT845" s="34"/>
      <c r="BU845" s="34"/>
      <c r="BV845" s="34"/>
      <c r="BW845" s="34"/>
      <c r="BX845" s="34"/>
      <c r="BY845" s="34"/>
      <c r="BZ845" s="34"/>
      <c r="CA845" s="34"/>
      <c r="CB845" s="34"/>
      <c r="CC845" s="34"/>
      <c r="CD845" s="34"/>
      <c r="CE845" s="34"/>
      <c r="CF845" s="34"/>
      <c r="CG845" s="34"/>
      <c r="CH845" s="34"/>
      <c r="CI845" s="34"/>
      <c r="CJ845" s="34"/>
      <c r="CK845" s="34"/>
      <c r="CL845" s="34"/>
      <c r="CM845" s="34"/>
      <c r="CN845" s="34"/>
      <c r="CO845" s="34"/>
      <c r="CP845" s="34"/>
      <c r="CQ845" s="34"/>
      <c r="CR845" s="34"/>
      <c r="CS845" s="34"/>
      <c r="CT845" s="34"/>
      <c r="CU845" s="34"/>
      <c r="CV845" s="34"/>
      <c r="CW845" s="34"/>
      <c r="CX845" s="34"/>
      <c r="CY845" s="34"/>
      <c r="CZ845" s="34"/>
      <c r="DA845" s="34"/>
      <c r="DB845" s="34"/>
      <c r="DC845" s="34"/>
      <c r="DD845" s="34"/>
      <c r="DE845" s="34"/>
      <c r="DF845" s="34"/>
      <c r="DG845" s="34"/>
      <c r="DH845" s="34"/>
      <c r="DI845" s="34"/>
      <c r="DJ845" s="34"/>
      <c r="DK845" s="34"/>
      <c r="DL845" s="34"/>
      <c r="DM845" s="34"/>
      <c r="DN845" s="34"/>
      <c r="DO845" s="34"/>
      <c r="DP845" s="34"/>
      <c r="DQ845" s="34"/>
      <c r="DR845" s="34"/>
      <c r="DS845" s="34"/>
      <c r="DT845" s="34"/>
      <c r="DU845" s="34"/>
      <c r="DV845" s="34"/>
      <c r="DW845" s="34"/>
      <c r="DX845" s="34"/>
      <c r="DY845" s="34"/>
      <c r="DZ845" s="34"/>
      <c r="EA845" s="34"/>
    </row>
    <row r="846" spans="1:131" ht="11.25" hidden="1">
      <c r="A846" s="3" t="s">
        <v>23</v>
      </c>
      <c r="B846" s="4"/>
      <c r="C846" s="4"/>
      <c r="D846" s="5">
        <f>2000000</f>
        <v>2000000</v>
      </c>
      <c r="E846" s="5"/>
      <c r="F846" s="5">
        <f t="shared" si="46"/>
        <v>2000000</v>
      </c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1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F846" s="34"/>
      <c r="AG846" s="34"/>
      <c r="AH846" s="34"/>
      <c r="AI846" s="34"/>
      <c r="AJ846" s="34"/>
      <c r="AK846" s="34"/>
      <c r="AL846" s="34"/>
      <c r="AM846" s="34"/>
      <c r="AN846" s="34"/>
      <c r="AO846" s="34"/>
      <c r="AP846" s="34"/>
      <c r="AQ846" s="34"/>
      <c r="AR846" s="34"/>
      <c r="AS846" s="34"/>
      <c r="AT846" s="34"/>
      <c r="AU846" s="34"/>
      <c r="AV846" s="34"/>
      <c r="AW846" s="34"/>
      <c r="AX846" s="34"/>
      <c r="AY846" s="34"/>
      <c r="AZ846" s="34"/>
      <c r="BA846" s="34"/>
      <c r="BB846" s="34"/>
      <c r="BC846" s="34"/>
      <c r="BD846" s="34"/>
      <c r="BE846" s="34"/>
      <c r="BF846" s="34"/>
      <c r="BG846" s="34"/>
      <c r="BH846" s="34"/>
      <c r="BI846" s="34"/>
      <c r="BJ846" s="34"/>
      <c r="BK846" s="34"/>
      <c r="BL846" s="34"/>
      <c r="BM846" s="34"/>
      <c r="BN846" s="34"/>
      <c r="BO846" s="34"/>
      <c r="BP846" s="34"/>
      <c r="BQ846" s="34"/>
      <c r="BR846" s="34"/>
      <c r="BS846" s="34"/>
      <c r="BT846" s="34"/>
      <c r="BU846" s="34"/>
      <c r="BV846" s="34"/>
      <c r="BW846" s="34"/>
      <c r="BX846" s="34"/>
      <c r="BY846" s="34"/>
      <c r="BZ846" s="34"/>
      <c r="CA846" s="34"/>
      <c r="CB846" s="34"/>
      <c r="CC846" s="34"/>
      <c r="CD846" s="34"/>
      <c r="CE846" s="34"/>
      <c r="CF846" s="34"/>
      <c r="CG846" s="34"/>
      <c r="CH846" s="34"/>
      <c r="CI846" s="34"/>
      <c r="CJ846" s="34"/>
      <c r="CK846" s="34"/>
      <c r="CL846" s="34"/>
      <c r="CM846" s="34"/>
      <c r="CN846" s="34"/>
      <c r="CO846" s="34"/>
      <c r="CP846" s="34"/>
      <c r="CQ846" s="34"/>
      <c r="CR846" s="34"/>
      <c r="CS846" s="34"/>
      <c r="CT846" s="34"/>
      <c r="CU846" s="34"/>
      <c r="CV846" s="34"/>
      <c r="CW846" s="34"/>
      <c r="CX846" s="34"/>
      <c r="CY846" s="34"/>
      <c r="CZ846" s="34"/>
      <c r="DA846" s="34"/>
      <c r="DB846" s="34"/>
      <c r="DC846" s="34"/>
      <c r="DD846" s="34"/>
      <c r="DE846" s="34"/>
      <c r="DF846" s="34"/>
      <c r="DG846" s="34"/>
      <c r="DH846" s="34"/>
      <c r="DI846" s="34"/>
      <c r="DJ846" s="34"/>
      <c r="DK846" s="34"/>
      <c r="DL846" s="34"/>
      <c r="DM846" s="34"/>
      <c r="DN846" s="34"/>
      <c r="DO846" s="34"/>
      <c r="DP846" s="34"/>
      <c r="DQ846" s="34"/>
      <c r="DR846" s="34"/>
      <c r="DS846" s="34"/>
      <c r="DT846" s="34"/>
      <c r="DU846" s="34"/>
      <c r="DV846" s="34"/>
      <c r="DW846" s="34"/>
      <c r="DX846" s="34"/>
      <c r="DY846" s="34"/>
      <c r="DZ846" s="34"/>
      <c r="EA846" s="34"/>
    </row>
    <row r="847" spans="1:131" ht="22.5" hidden="1">
      <c r="A847" s="85" t="s">
        <v>528</v>
      </c>
      <c r="B847" s="4"/>
      <c r="C847" s="4"/>
      <c r="D847" s="18">
        <f>D849</f>
        <v>30000</v>
      </c>
      <c r="E847" s="18"/>
      <c r="F847" s="18">
        <f>D847+E847</f>
        <v>30000</v>
      </c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1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F847" s="34"/>
      <c r="AG847" s="34"/>
      <c r="AH847" s="34"/>
      <c r="AI847" s="34"/>
      <c r="AJ847" s="34"/>
      <c r="AK847" s="34"/>
      <c r="AL847" s="34"/>
      <c r="AM847" s="34"/>
      <c r="AN847" s="34"/>
      <c r="AO847" s="34"/>
      <c r="AP847" s="34"/>
      <c r="AQ847" s="34"/>
      <c r="AR847" s="34"/>
      <c r="AS847" s="34"/>
      <c r="AT847" s="34"/>
      <c r="AU847" s="34"/>
      <c r="AV847" s="34"/>
      <c r="AW847" s="34"/>
      <c r="AX847" s="34"/>
      <c r="AY847" s="34"/>
      <c r="AZ847" s="34"/>
      <c r="BA847" s="34"/>
      <c r="BB847" s="34"/>
      <c r="BC847" s="34"/>
      <c r="BD847" s="34"/>
      <c r="BE847" s="34"/>
      <c r="BF847" s="34"/>
      <c r="BG847" s="34"/>
      <c r="BH847" s="34"/>
      <c r="BI847" s="34"/>
      <c r="BJ847" s="34"/>
      <c r="BK847" s="34"/>
      <c r="BL847" s="34"/>
      <c r="BM847" s="34"/>
      <c r="BN847" s="34"/>
      <c r="BO847" s="34"/>
      <c r="BP847" s="34"/>
      <c r="BQ847" s="34"/>
      <c r="BR847" s="34"/>
      <c r="BS847" s="34"/>
      <c r="BT847" s="34"/>
      <c r="BU847" s="34"/>
      <c r="BV847" s="34"/>
      <c r="BW847" s="34"/>
      <c r="BX847" s="34"/>
      <c r="BY847" s="34"/>
      <c r="BZ847" s="34"/>
      <c r="CA847" s="34"/>
      <c r="CB847" s="34"/>
      <c r="CC847" s="34"/>
      <c r="CD847" s="34"/>
      <c r="CE847" s="34"/>
      <c r="CF847" s="34"/>
      <c r="CG847" s="34"/>
      <c r="CH847" s="34"/>
      <c r="CI847" s="34"/>
      <c r="CJ847" s="34"/>
      <c r="CK847" s="34"/>
      <c r="CL847" s="34"/>
      <c r="CM847" s="34"/>
      <c r="CN847" s="34"/>
      <c r="CO847" s="34"/>
      <c r="CP847" s="34"/>
      <c r="CQ847" s="34"/>
      <c r="CR847" s="34"/>
      <c r="CS847" s="34"/>
      <c r="CT847" s="34"/>
      <c r="CU847" s="34"/>
      <c r="CV847" s="34"/>
      <c r="CW847" s="34"/>
      <c r="CX847" s="34"/>
      <c r="CY847" s="34"/>
      <c r="CZ847" s="34"/>
      <c r="DA847" s="34"/>
      <c r="DB847" s="34"/>
      <c r="DC847" s="34"/>
      <c r="DD847" s="34"/>
      <c r="DE847" s="34"/>
      <c r="DF847" s="34"/>
      <c r="DG847" s="34"/>
      <c r="DH847" s="34"/>
      <c r="DI847" s="34"/>
      <c r="DJ847" s="34"/>
      <c r="DK847" s="34"/>
      <c r="DL847" s="34"/>
      <c r="DM847" s="34"/>
      <c r="DN847" s="34"/>
      <c r="DO847" s="34"/>
      <c r="DP847" s="34"/>
      <c r="DQ847" s="34"/>
      <c r="DR847" s="34"/>
      <c r="DS847" s="34"/>
      <c r="DT847" s="34"/>
      <c r="DU847" s="34"/>
      <c r="DV847" s="34"/>
      <c r="DW847" s="34"/>
      <c r="DX847" s="34"/>
      <c r="DY847" s="34"/>
      <c r="DZ847" s="34"/>
      <c r="EA847" s="34"/>
    </row>
    <row r="848" spans="1:131" ht="11.25" hidden="1">
      <c r="A848" s="3" t="s">
        <v>2</v>
      </c>
      <c r="B848" s="4"/>
      <c r="C848" s="4"/>
      <c r="D848" s="5"/>
      <c r="E848" s="5"/>
      <c r="F848" s="5">
        <f aca="true" t="shared" si="47" ref="F848:F856">D848+E848</f>
        <v>0</v>
      </c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1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F848" s="34"/>
      <c r="AG848" s="34"/>
      <c r="AH848" s="34"/>
      <c r="AI848" s="34"/>
      <c r="AJ848" s="34"/>
      <c r="AK848" s="34"/>
      <c r="AL848" s="34"/>
      <c r="AM848" s="34"/>
      <c r="AN848" s="34"/>
      <c r="AO848" s="34"/>
      <c r="AP848" s="34"/>
      <c r="AQ848" s="34"/>
      <c r="AR848" s="34"/>
      <c r="AS848" s="34"/>
      <c r="AT848" s="34"/>
      <c r="AU848" s="34"/>
      <c r="AV848" s="34"/>
      <c r="AW848" s="34"/>
      <c r="AX848" s="34"/>
      <c r="AY848" s="34"/>
      <c r="AZ848" s="34"/>
      <c r="BA848" s="34"/>
      <c r="BB848" s="34"/>
      <c r="BC848" s="34"/>
      <c r="BD848" s="34"/>
      <c r="BE848" s="34"/>
      <c r="BF848" s="34"/>
      <c r="BG848" s="34"/>
      <c r="BH848" s="34"/>
      <c r="BI848" s="34"/>
      <c r="BJ848" s="34"/>
      <c r="BK848" s="34"/>
      <c r="BL848" s="34"/>
      <c r="BM848" s="34"/>
      <c r="BN848" s="34"/>
      <c r="BO848" s="34"/>
      <c r="BP848" s="34"/>
      <c r="BQ848" s="34"/>
      <c r="BR848" s="34"/>
      <c r="BS848" s="34"/>
      <c r="BT848" s="34"/>
      <c r="BU848" s="34"/>
      <c r="BV848" s="34"/>
      <c r="BW848" s="34"/>
      <c r="BX848" s="34"/>
      <c r="BY848" s="34"/>
      <c r="BZ848" s="34"/>
      <c r="CA848" s="34"/>
      <c r="CB848" s="34"/>
      <c r="CC848" s="34"/>
      <c r="CD848" s="34"/>
      <c r="CE848" s="34"/>
      <c r="CF848" s="34"/>
      <c r="CG848" s="34"/>
      <c r="CH848" s="34"/>
      <c r="CI848" s="34"/>
      <c r="CJ848" s="34"/>
      <c r="CK848" s="34"/>
      <c r="CL848" s="34"/>
      <c r="CM848" s="34"/>
      <c r="CN848" s="34"/>
      <c r="CO848" s="34"/>
      <c r="CP848" s="34"/>
      <c r="CQ848" s="34"/>
      <c r="CR848" s="34"/>
      <c r="CS848" s="34"/>
      <c r="CT848" s="34"/>
      <c r="CU848" s="34"/>
      <c r="CV848" s="34"/>
      <c r="CW848" s="34"/>
      <c r="CX848" s="34"/>
      <c r="CY848" s="34"/>
      <c r="CZ848" s="34"/>
      <c r="DA848" s="34"/>
      <c r="DB848" s="34"/>
      <c r="DC848" s="34"/>
      <c r="DD848" s="34"/>
      <c r="DE848" s="34"/>
      <c r="DF848" s="34"/>
      <c r="DG848" s="34"/>
      <c r="DH848" s="34"/>
      <c r="DI848" s="34"/>
      <c r="DJ848" s="34"/>
      <c r="DK848" s="34"/>
      <c r="DL848" s="34"/>
      <c r="DM848" s="34"/>
      <c r="DN848" s="34"/>
      <c r="DO848" s="34"/>
      <c r="DP848" s="34"/>
      <c r="DQ848" s="34"/>
      <c r="DR848" s="34"/>
      <c r="DS848" s="34"/>
      <c r="DT848" s="34"/>
      <c r="DU848" s="34"/>
      <c r="DV848" s="34"/>
      <c r="DW848" s="34"/>
      <c r="DX848" s="34"/>
      <c r="DY848" s="34"/>
      <c r="DZ848" s="34"/>
      <c r="EA848" s="34"/>
    </row>
    <row r="849" spans="1:131" ht="11.25" hidden="1">
      <c r="A849" s="6" t="s">
        <v>23</v>
      </c>
      <c r="B849" s="4"/>
      <c r="C849" s="4"/>
      <c r="D849" s="5">
        <f>D851*D853</f>
        <v>30000</v>
      </c>
      <c r="E849" s="5"/>
      <c r="F849" s="5">
        <f t="shared" si="47"/>
        <v>30000</v>
      </c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1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F849" s="34"/>
      <c r="AG849" s="34"/>
      <c r="AH849" s="34"/>
      <c r="AI849" s="34"/>
      <c r="AJ849" s="34"/>
      <c r="AK849" s="34"/>
      <c r="AL849" s="34"/>
      <c r="AM849" s="34"/>
      <c r="AN849" s="34"/>
      <c r="AO849" s="34"/>
      <c r="AP849" s="34"/>
      <c r="AQ849" s="34"/>
      <c r="AR849" s="34"/>
      <c r="AS849" s="34"/>
      <c r="AT849" s="34"/>
      <c r="AU849" s="34"/>
      <c r="AV849" s="34"/>
      <c r="AW849" s="34"/>
      <c r="AX849" s="34"/>
      <c r="AY849" s="34"/>
      <c r="AZ849" s="34"/>
      <c r="BA849" s="34"/>
      <c r="BB849" s="34"/>
      <c r="BC849" s="34"/>
      <c r="BD849" s="34"/>
      <c r="BE849" s="34"/>
      <c r="BF849" s="34"/>
      <c r="BG849" s="34"/>
      <c r="BH849" s="34"/>
      <c r="BI849" s="34"/>
      <c r="BJ849" s="34"/>
      <c r="BK849" s="34"/>
      <c r="BL849" s="34"/>
      <c r="BM849" s="34"/>
      <c r="BN849" s="34"/>
      <c r="BO849" s="34"/>
      <c r="BP849" s="34"/>
      <c r="BQ849" s="34"/>
      <c r="BR849" s="34"/>
      <c r="BS849" s="34"/>
      <c r="BT849" s="34"/>
      <c r="BU849" s="34"/>
      <c r="BV849" s="34"/>
      <c r="BW849" s="34"/>
      <c r="BX849" s="34"/>
      <c r="BY849" s="34"/>
      <c r="BZ849" s="34"/>
      <c r="CA849" s="34"/>
      <c r="CB849" s="34"/>
      <c r="CC849" s="34"/>
      <c r="CD849" s="34"/>
      <c r="CE849" s="34"/>
      <c r="CF849" s="34"/>
      <c r="CG849" s="34"/>
      <c r="CH849" s="34"/>
      <c r="CI849" s="34"/>
      <c r="CJ849" s="34"/>
      <c r="CK849" s="34"/>
      <c r="CL849" s="34"/>
      <c r="CM849" s="34"/>
      <c r="CN849" s="34"/>
      <c r="CO849" s="34"/>
      <c r="CP849" s="34"/>
      <c r="CQ849" s="34"/>
      <c r="CR849" s="34"/>
      <c r="CS849" s="34"/>
      <c r="CT849" s="34"/>
      <c r="CU849" s="34"/>
      <c r="CV849" s="34"/>
      <c r="CW849" s="34"/>
      <c r="CX849" s="34"/>
      <c r="CY849" s="34"/>
      <c r="CZ849" s="34"/>
      <c r="DA849" s="34"/>
      <c r="DB849" s="34"/>
      <c r="DC849" s="34"/>
      <c r="DD849" s="34"/>
      <c r="DE849" s="34"/>
      <c r="DF849" s="34"/>
      <c r="DG849" s="34"/>
      <c r="DH849" s="34"/>
      <c r="DI849" s="34"/>
      <c r="DJ849" s="34"/>
      <c r="DK849" s="34"/>
      <c r="DL849" s="34"/>
      <c r="DM849" s="34"/>
      <c r="DN849" s="34"/>
      <c r="DO849" s="34"/>
      <c r="DP849" s="34"/>
      <c r="DQ849" s="34"/>
      <c r="DR849" s="34"/>
      <c r="DS849" s="34"/>
      <c r="DT849" s="34"/>
      <c r="DU849" s="34"/>
      <c r="DV849" s="34"/>
      <c r="DW849" s="34"/>
      <c r="DX849" s="34"/>
      <c r="DY849" s="34"/>
      <c r="DZ849" s="34"/>
      <c r="EA849" s="34"/>
    </row>
    <row r="850" spans="1:131" ht="11.25" hidden="1">
      <c r="A850" s="3" t="s">
        <v>3</v>
      </c>
      <c r="B850" s="4"/>
      <c r="C850" s="4"/>
      <c r="D850" s="5"/>
      <c r="E850" s="5"/>
      <c r="F850" s="5">
        <f t="shared" si="47"/>
        <v>0</v>
      </c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1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F850" s="34"/>
      <c r="AG850" s="34"/>
      <c r="AH850" s="34"/>
      <c r="AI850" s="34"/>
      <c r="AJ850" s="34"/>
      <c r="AK850" s="34"/>
      <c r="AL850" s="34"/>
      <c r="AM850" s="34"/>
      <c r="AN850" s="34"/>
      <c r="AO850" s="34"/>
      <c r="AP850" s="34"/>
      <c r="AQ850" s="34"/>
      <c r="AR850" s="34"/>
      <c r="AS850" s="34"/>
      <c r="AT850" s="34"/>
      <c r="AU850" s="34"/>
      <c r="AV850" s="34"/>
      <c r="AW850" s="34"/>
      <c r="AX850" s="34"/>
      <c r="AY850" s="34"/>
      <c r="AZ850" s="34"/>
      <c r="BA850" s="34"/>
      <c r="BB850" s="34"/>
      <c r="BC850" s="34"/>
      <c r="BD850" s="34"/>
      <c r="BE850" s="34"/>
      <c r="BF850" s="34"/>
      <c r="BG850" s="34"/>
      <c r="BH850" s="34"/>
      <c r="BI850" s="34"/>
      <c r="BJ850" s="34"/>
      <c r="BK850" s="34"/>
      <c r="BL850" s="34"/>
      <c r="BM850" s="34"/>
      <c r="BN850" s="34"/>
      <c r="BO850" s="34"/>
      <c r="BP850" s="34"/>
      <c r="BQ850" s="34"/>
      <c r="BR850" s="34"/>
      <c r="BS850" s="34"/>
      <c r="BT850" s="34"/>
      <c r="BU850" s="34"/>
      <c r="BV850" s="34"/>
      <c r="BW850" s="34"/>
      <c r="BX850" s="34"/>
      <c r="BY850" s="34"/>
      <c r="BZ850" s="34"/>
      <c r="CA850" s="34"/>
      <c r="CB850" s="34"/>
      <c r="CC850" s="34"/>
      <c r="CD850" s="34"/>
      <c r="CE850" s="34"/>
      <c r="CF850" s="34"/>
      <c r="CG850" s="34"/>
      <c r="CH850" s="34"/>
      <c r="CI850" s="34"/>
      <c r="CJ850" s="34"/>
      <c r="CK850" s="34"/>
      <c r="CL850" s="34"/>
      <c r="CM850" s="34"/>
      <c r="CN850" s="34"/>
      <c r="CO850" s="34"/>
      <c r="CP850" s="34"/>
      <c r="CQ850" s="34"/>
      <c r="CR850" s="34"/>
      <c r="CS850" s="34"/>
      <c r="CT850" s="34"/>
      <c r="CU850" s="34"/>
      <c r="CV850" s="34"/>
      <c r="CW850" s="34"/>
      <c r="CX850" s="34"/>
      <c r="CY850" s="34"/>
      <c r="CZ850" s="34"/>
      <c r="DA850" s="34"/>
      <c r="DB850" s="34"/>
      <c r="DC850" s="34"/>
      <c r="DD850" s="34"/>
      <c r="DE850" s="34"/>
      <c r="DF850" s="34"/>
      <c r="DG850" s="34"/>
      <c r="DH850" s="34"/>
      <c r="DI850" s="34"/>
      <c r="DJ850" s="34"/>
      <c r="DK850" s="34"/>
      <c r="DL850" s="34"/>
      <c r="DM850" s="34"/>
      <c r="DN850" s="34"/>
      <c r="DO850" s="34"/>
      <c r="DP850" s="34"/>
      <c r="DQ850" s="34"/>
      <c r="DR850" s="34"/>
      <c r="DS850" s="34"/>
      <c r="DT850" s="34"/>
      <c r="DU850" s="34"/>
      <c r="DV850" s="34"/>
      <c r="DW850" s="34"/>
      <c r="DX850" s="34"/>
      <c r="DY850" s="34"/>
      <c r="DZ850" s="34"/>
      <c r="EA850" s="34"/>
    </row>
    <row r="851" spans="1:131" ht="11.25" hidden="1">
      <c r="A851" s="6" t="s">
        <v>171</v>
      </c>
      <c r="B851" s="4"/>
      <c r="C851" s="4"/>
      <c r="D851" s="5">
        <v>2</v>
      </c>
      <c r="E851" s="5"/>
      <c r="F851" s="5">
        <f t="shared" si="47"/>
        <v>2</v>
      </c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1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F851" s="34"/>
      <c r="AG851" s="34"/>
      <c r="AH851" s="34"/>
      <c r="AI851" s="34"/>
      <c r="AJ851" s="34"/>
      <c r="AK851" s="34"/>
      <c r="AL851" s="34"/>
      <c r="AM851" s="34"/>
      <c r="AN851" s="34"/>
      <c r="AO851" s="34"/>
      <c r="AP851" s="34"/>
      <c r="AQ851" s="34"/>
      <c r="AR851" s="34"/>
      <c r="AS851" s="34"/>
      <c r="AT851" s="34"/>
      <c r="AU851" s="34"/>
      <c r="AV851" s="34"/>
      <c r="AW851" s="34"/>
      <c r="AX851" s="34"/>
      <c r="AY851" s="34"/>
      <c r="AZ851" s="34"/>
      <c r="BA851" s="34"/>
      <c r="BB851" s="34"/>
      <c r="BC851" s="34"/>
      <c r="BD851" s="34"/>
      <c r="BE851" s="34"/>
      <c r="BF851" s="34"/>
      <c r="BG851" s="34"/>
      <c r="BH851" s="34"/>
      <c r="BI851" s="34"/>
      <c r="BJ851" s="34"/>
      <c r="BK851" s="34"/>
      <c r="BL851" s="34"/>
      <c r="BM851" s="34"/>
      <c r="BN851" s="34"/>
      <c r="BO851" s="34"/>
      <c r="BP851" s="34"/>
      <c r="BQ851" s="34"/>
      <c r="BR851" s="34"/>
      <c r="BS851" s="34"/>
      <c r="BT851" s="34"/>
      <c r="BU851" s="34"/>
      <c r="BV851" s="34"/>
      <c r="BW851" s="34"/>
      <c r="BX851" s="34"/>
      <c r="BY851" s="34"/>
      <c r="BZ851" s="34"/>
      <c r="CA851" s="34"/>
      <c r="CB851" s="34"/>
      <c r="CC851" s="34"/>
      <c r="CD851" s="34"/>
      <c r="CE851" s="34"/>
      <c r="CF851" s="34"/>
      <c r="CG851" s="34"/>
      <c r="CH851" s="34"/>
      <c r="CI851" s="34"/>
      <c r="CJ851" s="34"/>
      <c r="CK851" s="34"/>
      <c r="CL851" s="34"/>
      <c r="CM851" s="34"/>
      <c r="CN851" s="34"/>
      <c r="CO851" s="34"/>
      <c r="CP851" s="34"/>
      <c r="CQ851" s="34"/>
      <c r="CR851" s="34"/>
      <c r="CS851" s="34"/>
      <c r="CT851" s="34"/>
      <c r="CU851" s="34"/>
      <c r="CV851" s="34"/>
      <c r="CW851" s="34"/>
      <c r="CX851" s="34"/>
      <c r="CY851" s="34"/>
      <c r="CZ851" s="34"/>
      <c r="DA851" s="34"/>
      <c r="DB851" s="34"/>
      <c r="DC851" s="34"/>
      <c r="DD851" s="34"/>
      <c r="DE851" s="34"/>
      <c r="DF851" s="34"/>
      <c r="DG851" s="34"/>
      <c r="DH851" s="34"/>
      <c r="DI851" s="34"/>
      <c r="DJ851" s="34"/>
      <c r="DK851" s="34"/>
      <c r="DL851" s="34"/>
      <c r="DM851" s="34"/>
      <c r="DN851" s="34"/>
      <c r="DO851" s="34"/>
      <c r="DP851" s="34"/>
      <c r="DQ851" s="34"/>
      <c r="DR851" s="34"/>
      <c r="DS851" s="34"/>
      <c r="DT851" s="34"/>
      <c r="DU851" s="34"/>
      <c r="DV851" s="34"/>
      <c r="DW851" s="34"/>
      <c r="DX851" s="34"/>
      <c r="DY851" s="34"/>
      <c r="DZ851" s="34"/>
      <c r="EA851" s="34"/>
    </row>
    <row r="852" spans="1:131" ht="11.25" hidden="1">
      <c r="A852" s="3" t="s">
        <v>5</v>
      </c>
      <c r="B852" s="4"/>
      <c r="C852" s="4"/>
      <c r="D852" s="5"/>
      <c r="E852" s="5"/>
      <c r="F852" s="5">
        <f t="shared" si="47"/>
        <v>0</v>
      </c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1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  <c r="AF852" s="34"/>
      <c r="AG852" s="34"/>
      <c r="AH852" s="34"/>
      <c r="AI852" s="34"/>
      <c r="AJ852" s="34"/>
      <c r="AK852" s="34"/>
      <c r="AL852" s="34"/>
      <c r="AM852" s="34"/>
      <c r="AN852" s="34"/>
      <c r="AO852" s="34"/>
      <c r="AP852" s="34"/>
      <c r="AQ852" s="34"/>
      <c r="AR852" s="34"/>
      <c r="AS852" s="34"/>
      <c r="AT852" s="34"/>
      <c r="AU852" s="34"/>
      <c r="AV852" s="34"/>
      <c r="AW852" s="34"/>
      <c r="AX852" s="34"/>
      <c r="AY852" s="34"/>
      <c r="AZ852" s="34"/>
      <c r="BA852" s="34"/>
      <c r="BB852" s="34"/>
      <c r="BC852" s="34"/>
      <c r="BD852" s="34"/>
      <c r="BE852" s="34"/>
      <c r="BF852" s="34"/>
      <c r="BG852" s="34"/>
      <c r="BH852" s="34"/>
      <c r="BI852" s="34"/>
      <c r="BJ852" s="34"/>
      <c r="BK852" s="34"/>
      <c r="BL852" s="34"/>
      <c r="BM852" s="34"/>
      <c r="BN852" s="34"/>
      <c r="BO852" s="34"/>
      <c r="BP852" s="34"/>
      <c r="BQ852" s="34"/>
      <c r="BR852" s="34"/>
      <c r="BS852" s="34"/>
      <c r="BT852" s="34"/>
      <c r="BU852" s="34"/>
      <c r="BV852" s="34"/>
      <c r="BW852" s="34"/>
      <c r="BX852" s="34"/>
      <c r="BY852" s="34"/>
      <c r="BZ852" s="34"/>
      <c r="CA852" s="34"/>
      <c r="CB852" s="34"/>
      <c r="CC852" s="34"/>
      <c r="CD852" s="34"/>
      <c r="CE852" s="34"/>
      <c r="CF852" s="34"/>
      <c r="CG852" s="34"/>
      <c r="CH852" s="34"/>
      <c r="CI852" s="34"/>
      <c r="CJ852" s="34"/>
      <c r="CK852" s="34"/>
      <c r="CL852" s="34"/>
      <c r="CM852" s="34"/>
      <c r="CN852" s="34"/>
      <c r="CO852" s="34"/>
      <c r="CP852" s="34"/>
      <c r="CQ852" s="34"/>
      <c r="CR852" s="34"/>
      <c r="CS852" s="34"/>
      <c r="CT852" s="34"/>
      <c r="CU852" s="34"/>
      <c r="CV852" s="34"/>
      <c r="CW852" s="34"/>
      <c r="CX852" s="34"/>
      <c r="CY852" s="34"/>
      <c r="CZ852" s="34"/>
      <c r="DA852" s="34"/>
      <c r="DB852" s="34"/>
      <c r="DC852" s="34"/>
      <c r="DD852" s="34"/>
      <c r="DE852" s="34"/>
      <c r="DF852" s="34"/>
      <c r="DG852" s="34"/>
      <c r="DH852" s="34"/>
      <c r="DI852" s="34"/>
      <c r="DJ852" s="34"/>
      <c r="DK852" s="34"/>
      <c r="DL852" s="34"/>
      <c r="DM852" s="34"/>
      <c r="DN852" s="34"/>
      <c r="DO852" s="34"/>
      <c r="DP852" s="34"/>
      <c r="DQ852" s="34"/>
      <c r="DR852" s="34"/>
      <c r="DS852" s="34"/>
      <c r="DT852" s="34"/>
      <c r="DU852" s="34"/>
      <c r="DV852" s="34"/>
      <c r="DW852" s="34"/>
      <c r="DX852" s="34"/>
      <c r="DY852" s="34"/>
      <c r="DZ852" s="34"/>
      <c r="EA852" s="34"/>
    </row>
    <row r="853" spans="1:131" ht="11.25" hidden="1">
      <c r="A853" s="6" t="s">
        <v>153</v>
      </c>
      <c r="B853" s="4"/>
      <c r="C853" s="4"/>
      <c r="D853" s="5">
        <v>15000</v>
      </c>
      <c r="E853" s="5"/>
      <c r="F853" s="5">
        <f t="shared" si="47"/>
        <v>15000</v>
      </c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1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F853" s="34"/>
      <c r="AG853" s="34"/>
      <c r="AH853" s="34"/>
      <c r="AI853" s="34"/>
      <c r="AJ853" s="34"/>
      <c r="AK853" s="34"/>
      <c r="AL853" s="34"/>
      <c r="AM853" s="34"/>
      <c r="AN853" s="34"/>
      <c r="AO853" s="34"/>
      <c r="AP853" s="34"/>
      <c r="AQ853" s="34"/>
      <c r="AR853" s="34"/>
      <c r="AS853" s="34"/>
      <c r="AT853" s="34"/>
      <c r="AU853" s="34"/>
      <c r="AV853" s="34"/>
      <c r="AW853" s="34"/>
      <c r="AX853" s="34"/>
      <c r="AY853" s="34"/>
      <c r="AZ853" s="34"/>
      <c r="BA853" s="34"/>
      <c r="BB853" s="34"/>
      <c r="BC853" s="34"/>
      <c r="BD853" s="34"/>
      <c r="BE853" s="34"/>
      <c r="BF853" s="34"/>
      <c r="BG853" s="34"/>
      <c r="BH853" s="34"/>
      <c r="BI853" s="34"/>
      <c r="BJ853" s="34"/>
      <c r="BK853" s="34"/>
      <c r="BL853" s="34"/>
      <c r="BM853" s="34"/>
      <c r="BN853" s="34"/>
      <c r="BO853" s="34"/>
      <c r="BP853" s="34"/>
      <c r="BQ853" s="34"/>
      <c r="BR853" s="34"/>
      <c r="BS853" s="34"/>
      <c r="BT853" s="34"/>
      <c r="BU853" s="34"/>
      <c r="BV853" s="34"/>
      <c r="BW853" s="34"/>
      <c r="BX853" s="34"/>
      <c r="BY853" s="34"/>
      <c r="BZ853" s="34"/>
      <c r="CA853" s="34"/>
      <c r="CB853" s="34"/>
      <c r="CC853" s="34"/>
      <c r="CD853" s="34"/>
      <c r="CE853" s="34"/>
      <c r="CF853" s="34"/>
      <c r="CG853" s="34"/>
      <c r="CH853" s="34"/>
      <c r="CI853" s="34"/>
      <c r="CJ853" s="34"/>
      <c r="CK853" s="34"/>
      <c r="CL853" s="34"/>
      <c r="CM853" s="34"/>
      <c r="CN853" s="34"/>
      <c r="CO853" s="34"/>
      <c r="CP853" s="34"/>
      <c r="CQ853" s="34"/>
      <c r="CR853" s="34"/>
      <c r="CS853" s="34"/>
      <c r="CT853" s="34"/>
      <c r="CU853" s="34"/>
      <c r="CV853" s="34"/>
      <c r="CW853" s="34"/>
      <c r="CX853" s="34"/>
      <c r="CY853" s="34"/>
      <c r="CZ853" s="34"/>
      <c r="DA853" s="34"/>
      <c r="DB853" s="34"/>
      <c r="DC853" s="34"/>
      <c r="DD853" s="34"/>
      <c r="DE853" s="34"/>
      <c r="DF853" s="34"/>
      <c r="DG853" s="34"/>
      <c r="DH853" s="34"/>
      <c r="DI853" s="34"/>
      <c r="DJ853" s="34"/>
      <c r="DK853" s="34"/>
      <c r="DL853" s="34"/>
      <c r="DM853" s="34"/>
      <c r="DN853" s="34"/>
      <c r="DO853" s="34"/>
      <c r="DP853" s="34"/>
      <c r="DQ853" s="34"/>
      <c r="DR853" s="34"/>
      <c r="DS853" s="34"/>
      <c r="DT853" s="34"/>
      <c r="DU853" s="34"/>
      <c r="DV853" s="34"/>
      <c r="DW853" s="34"/>
      <c r="DX853" s="34"/>
      <c r="DY853" s="34"/>
      <c r="DZ853" s="34"/>
      <c r="EA853" s="34"/>
    </row>
    <row r="854" spans="1:131" ht="33.75" hidden="1">
      <c r="A854" s="85" t="s">
        <v>540</v>
      </c>
      <c r="B854" s="4"/>
      <c r="C854" s="4"/>
      <c r="D854" s="18">
        <f>D856</f>
        <v>5602000</v>
      </c>
      <c r="E854" s="18"/>
      <c r="F854" s="18">
        <f t="shared" si="47"/>
        <v>5602000</v>
      </c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1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  <c r="AF854" s="34"/>
      <c r="AG854" s="34"/>
      <c r="AH854" s="34"/>
      <c r="AI854" s="34"/>
      <c r="AJ854" s="34"/>
      <c r="AK854" s="34"/>
      <c r="AL854" s="34"/>
      <c r="AM854" s="34"/>
      <c r="AN854" s="34"/>
      <c r="AO854" s="34"/>
      <c r="AP854" s="34"/>
      <c r="AQ854" s="34"/>
      <c r="AR854" s="34"/>
      <c r="AS854" s="34"/>
      <c r="AT854" s="34"/>
      <c r="AU854" s="34"/>
      <c r="AV854" s="34"/>
      <c r="AW854" s="34"/>
      <c r="AX854" s="34"/>
      <c r="AY854" s="34"/>
      <c r="AZ854" s="34"/>
      <c r="BA854" s="34"/>
      <c r="BB854" s="34"/>
      <c r="BC854" s="34"/>
      <c r="BD854" s="34"/>
      <c r="BE854" s="34"/>
      <c r="BF854" s="34"/>
      <c r="BG854" s="34"/>
      <c r="BH854" s="34"/>
      <c r="BI854" s="34"/>
      <c r="BJ854" s="34"/>
      <c r="BK854" s="34"/>
      <c r="BL854" s="34"/>
      <c r="BM854" s="34"/>
      <c r="BN854" s="34"/>
      <c r="BO854" s="34"/>
      <c r="BP854" s="34"/>
      <c r="BQ854" s="34"/>
      <c r="BR854" s="34"/>
      <c r="BS854" s="34"/>
      <c r="BT854" s="34"/>
      <c r="BU854" s="34"/>
      <c r="BV854" s="34"/>
      <c r="BW854" s="34"/>
      <c r="BX854" s="34"/>
      <c r="BY854" s="34"/>
      <c r="BZ854" s="34"/>
      <c r="CA854" s="34"/>
      <c r="CB854" s="34"/>
      <c r="CC854" s="34"/>
      <c r="CD854" s="34"/>
      <c r="CE854" s="34"/>
      <c r="CF854" s="34"/>
      <c r="CG854" s="34"/>
      <c r="CH854" s="34"/>
      <c r="CI854" s="34"/>
      <c r="CJ854" s="34"/>
      <c r="CK854" s="34"/>
      <c r="CL854" s="34"/>
      <c r="CM854" s="34"/>
      <c r="CN854" s="34"/>
      <c r="CO854" s="34"/>
      <c r="CP854" s="34"/>
      <c r="CQ854" s="34"/>
      <c r="CR854" s="34"/>
      <c r="CS854" s="34"/>
      <c r="CT854" s="34"/>
      <c r="CU854" s="34"/>
      <c r="CV854" s="34"/>
      <c r="CW854" s="34"/>
      <c r="CX854" s="34"/>
      <c r="CY854" s="34"/>
      <c r="CZ854" s="34"/>
      <c r="DA854" s="34"/>
      <c r="DB854" s="34"/>
      <c r="DC854" s="34"/>
      <c r="DD854" s="34"/>
      <c r="DE854" s="34"/>
      <c r="DF854" s="34"/>
      <c r="DG854" s="34"/>
      <c r="DH854" s="34"/>
      <c r="DI854" s="34"/>
      <c r="DJ854" s="34"/>
      <c r="DK854" s="34"/>
      <c r="DL854" s="34"/>
      <c r="DM854" s="34"/>
      <c r="DN854" s="34"/>
      <c r="DO854" s="34"/>
      <c r="DP854" s="34"/>
      <c r="DQ854" s="34"/>
      <c r="DR854" s="34"/>
      <c r="DS854" s="34"/>
      <c r="DT854" s="34"/>
      <c r="DU854" s="34"/>
      <c r="DV854" s="34"/>
      <c r="DW854" s="34"/>
      <c r="DX854" s="34"/>
      <c r="DY854" s="34"/>
      <c r="DZ854" s="34"/>
      <c r="EA854" s="34"/>
    </row>
    <row r="855" spans="1:131" ht="11.25" hidden="1">
      <c r="A855" s="3" t="s">
        <v>2</v>
      </c>
      <c r="B855" s="4"/>
      <c r="C855" s="4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1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  <c r="AF855" s="34"/>
      <c r="AG855" s="34"/>
      <c r="AH855" s="34"/>
      <c r="AI855" s="34"/>
      <c r="AJ855" s="34"/>
      <c r="AK855" s="34"/>
      <c r="AL855" s="34"/>
      <c r="AM855" s="34"/>
      <c r="AN855" s="34"/>
      <c r="AO855" s="34"/>
      <c r="AP855" s="34"/>
      <c r="AQ855" s="34"/>
      <c r="AR855" s="34"/>
      <c r="AS855" s="34"/>
      <c r="AT855" s="34"/>
      <c r="AU855" s="34"/>
      <c r="AV855" s="34"/>
      <c r="AW855" s="34"/>
      <c r="AX855" s="34"/>
      <c r="AY855" s="34"/>
      <c r="AZ855" s="34"/>
      <c r="BA855" s="34"/>
      <c r="BB855" s="34"/>
      <c r="BC855" s="34"/>
      <c r="BD855" s="34"/>
      <c r="BE855" s="34"/>
      <c r="BF855" s="34"/>
      <c r="BG855" s="34"/>
      <c r="BH855" s="34"/>
      <c r="BI855" s="34"/>
      <c r="BJ855" s="34"/>
      <c r="BK855" s="34"/>
      <c r="BL855" s="34"/>
      <c r="BM855" s="34"/>
      <c r="BN855" s="34"/>
      <c r="BO855" s="34"/>
      <c r="BP855" s="34"/>
      <c r="BQ855" s="34"/>
      <c r="BR855" s="34"/>
      <c r="BS855" s="34"/>
      <c r="BT855" s="34"/>
      <c r="BU855" s="34"/>
      <c r="BV855" s="34"/>
      <c r="BW855" s="34"/>
      <c r="BX855" s="34"/>
      <c r="BY855" s="34"/>
      <c r="BZ855" s="34"/>
      <c r="CA855" s="34"/>
      <c r="CB855" s="34"/>
      <c r="CC855" s="34"/>
      <c r="CD855" s="34"/>
      <c r="CE855" s="34"/>
      <c r="CF855" s="34"/>
      <c r="CG855" s="34"/>
      <c r="CH855" s="34"/>
      <c r="CI855" s="34"/>
      <c r="CJ855" s="34"/>
      <c r="CK855" s="34"/>
      <c r="CL855" s="34"/>
      <c r="CM855" s="34"/>
      <c r="CN855" s="34"/>
      <c r="CO855" s="34"/>
      <c r="CP855" s="34"/>
      <c r="CQ855" s="34"/>
      <c r="CR855" s="34"/>
      <c r="CS855" s="34"/>
      <c r="CT855" s="34"/>
      <c r="CU855" s="34"/>
      <c r="CV855" s="34"/>
      <c r="CW855" s="34"/>
      <c r="CX855" s="34"/>
      <c r="CY855" s="34"/>
      <c r="CZ855" s="34"/>
      <c r="DA855" s="34"/>
      <c r="DB855" s="34"/>
      <c r="DC855" s="34"/>
      <c r="DD855" s="34"/>
      <c r="DE855" s="34"/>
      <c r="DF855" s="34"/>
      <c r="DG855" s="34"/>
      <c r="DH855" s="34"/>
      <c r="DI855" s="34"/>
      <c r="DJ855" s="34"/>
      <c r="DK855" s="34"/>
      <c r="DL855" s="34"/>
      <c r="DM855" s="34"/>
      <c r="DN855" s="34"/>
      <c r="DO855" s="34"/>
      <c r="DP855" s="34"/>
      <c r="DQ855" s="34"/>
      <c r="DR855" s="34"/>
      <c r="DS855" s="34"/>
      <c r="DT855" s="34"/>
      <c r="DU855" s="34"/>
      <c r="DV855" s="34"/>
      <c r="DW855" s="34"/>
      <c r="DX855" s="34"/>
      <c r="DY855" s="34"/>
      <c r="DZ855" s="34"/>
      <c r="EA855" s="34"/>
    </row>
    <row r="856" spans="1:131" ht="11.25" hidden="1">
      <c r="A856" s="3" t="s">
        <v>23</v>
      </c>
      <c r="B856" s="4"/>
      <c r="C856" s="4"/>
      <c r="D856" s="5">
        <f>0+5630000-28000</f>
        <v>5602000</v>
      </c>
      <c r="E856" s="5"/>
      <c r="F856" s="5">
        <f t="shared" si="47"/>
        <v>5602000</v>
      </c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1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34"/>
      <c r="AF856" s="34"/>
      <c r="AG856" s="34"/>
      <c r="AH856" s="34"/>
      <c r="AI856" s="34"/>
      <c r="AJ856" s="34"/>
      <c r="AK856" s="34"/>
      <c r="AL856" s="34"/>
      <c r="AM856" s="34"/>
      <c r="AN856" s="34"/>
      <c r="AO856" s="34"/>
      <c r="AP856" s="34"/>
      <c r="AQ856" s="34"/>
      <c r="AR856" s="34"/>
      <c r="AS856" s="34"/>
      <c r="AT856" s="34"/>
      <c r="AU856" s="34"/>
      <c r="AV856" s="34"/>
      <c r="AW856" s="34"/>
      <c r="AX856" s="34"/>
      <c r="AY856" s="34"/>
      <c r="AZ856" s="34"/>
      <c r="BA856" s="34"/>
      <c r="BB856" s="34"/>
      <c r="BC856" s="34"/>
      <c r="BD856" s="34"/>
      <c r="BE856" s="34"/>
      <c r="BF856" s="34"/>
      <c r="BG856" s="34"/>
      <c r="BH856" s="34"/>
      <c r="BI856" s="34"/>
      <c r="BJ856" s="34"/>
      <c r="BK856" s="34"/>
      <c r="BL856" s="34"/>
      <c r="BM856" s="34"/>
      <c r="BN856" s="34"/>
      <c r="BO856" s="34"/>
      <c r="BP856" s="34"/>
      <c r="BQ856" s="34"/>
      <c r="BR856" s="34"/>
      <c r="BS856" s="34"/>
      <c r="BT856" s="34"/>
      <c r="BU856" s="34"/>
      <c r="BV856" s="34"/>
      <c r="BW856" s="34"/>
      <c r="BX856" s="34"/>
      <c r="BY856" s="34"/>
      <c r="BZ856" s="34"/>
      <c r="CA856" s="34"/>
      <c r="CB856" s="34"/>
      <c r="CC856" s="34"/>
      <c r="CD856" s="34"/>
      <c r="CE856" s="34"/>
      <c r="CF856" s="34"/>
      <c r="CG856" s="34"/>
      <c r="CH856" s="34"/>
      <c r="CI856" s="34"/>
      <c r="CJ856" s="34"/>
      <c r="CK856" s="34"/>
      <c r="CL856" s="34"/>
      <c r="CM856" s="34"/>
      <c r="CN856" s="34"/>
      <c r="CO856" s="34"/>
      <c r="CP856" s="34"/>
      <c r="CQ856" s="34"/>
      <c r="CR856" s="34"/>
      <c r="CS856" s="34"/>
      <c r="CT856" s="34"/>
      <c r="CU856" s="34"/>
      <c r="CV856" s="34"/>
      <c r="CW856" s="34"/>
      <c r="CX856" s="34"/>
      <c r="CY856" s="34"/>
      <c r="CZ856" s="34"/>
      <c r="DA856" s="34"/>
      <c r="DB856" s="34"/>
      <c r="DC856" s="34"/>
      <c r="DD856" s="34"/>
      <c r="DE856" s="34"/>
      <c r="DF856" s="34"/>
      <c r="DG856" s="34"/>
      <c r="DH856" s="34"/>
      <c r="DI856" s="34"/>
      <c r="DJ856" s="34"/>
      <c r="DK856" s="34"/>
      <c r="DL856" s="34"/>
      <c r="DM856" s="34"/>
      <c r="DN856" s="34"/>
      <c r="DO856" s="34"/>
      <c r="DP856" s="34"/>
      <c r="DQ856" s="34"/>
      <c r="DR856" s="34"/>
      <c r="DS856" s="34"/>
      <c r="DT856" s="34"/>
      <c r="DU856" s="34"/>
      <c r="DV856" s="34"/>
      <c r="DW856" s="34"/>
      <c r="DX856" s="34"/>
      <c r="DY856" s="34"/>
      <c r="DZ856" s="34"/>
      <c r="EA856" s="34"/>
    </row>
    <row r="857" spans="1:131" ht="33.75" hidden="1">
      <c r="A857" s="85" t="s">
        <v>541</v>
      </c>
      <c r="B857" s="4"/>
      <c r="C857" s="4"/>
      <c r="D857" s="18">
        <f>D859</f>
        <v>0</v>
      </c>
      <c r="E857" s="18"/>
      <c r="F857" s="18">
        <f>D857+E857</f>
        <v>0</v>
      </c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1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34"/>
      <c r="AF857" s="34"/>
      <c r="AG857" s="34"/>
      <c r="AH857" s="34"/>
      <c r="AI857" s="34"/>
      <c r="AJ857" s="34"/>
      <c r="AK857" s="34"/>
      <c r="AL857" s="34"/>
      <c r="AM857" s="34"/>
      <c r="AN857" s="34"/>
      <c r="AO857" s="34"/>
      <c r="AP857" s="34"/>
      <c r="AQ857" s="34"/>
      <c r="AR857" s="34"/>
      <c r="AS857" s="34"/>
      <c r="AT857" s="34"/>
      <c r="AU857" s="34"/>
      <c r="AV857" s="34"/>
      <c r="AW857" s="34"/>
      <c r="AX857" s="34"/>
      <c r="AY857" s="34"/>
      <c r="AZ857" s="34"/>
      <c r="BA857" s="34"/>
      <c r="BB857" s="34"/>
      <c r="BC857" s="34"/>
      <c r="BD857" s="34"/>
      <c r="BE857" s="34"/>
      <c r="BF857" s="34"/>
      <c r="BG857" s="34"/>
      <c r="BH857" s="34"/>
      <c r="BI857" s="34"/>
      <c r="BJ857" s="34"/>
      <c r="BK857" s="34"/>
      <c r="BL857" s="34"/>
      <c r="BM857" s="34"/>
      <c r="BN857" s="34"/>
      <c r="BO857" s="34"/>
      <c r="BP857" s="34"/>
      <c r="BQ857" s="34"/>
      <c r="BR857" s="34"/>
      <c r="BS857" s="34"/>
      <c r="BT857" s="34"/>
      <c r="BU857" s="34"/>
      <c r="BV857" s="34"/>
      <c r="BW857" s="34"/>
      <c r="BX857" s="34"/>
      <c r="BY857" s="34"/>
      <c r="BZ857" s="34"/>
      <c r="CA857" s="34"/>
      <c r="CB857" s="34"/>
      <c r="CC857" s="34"/>
      <c r="CD857" s="34"/>
      <c r="CE857" s="34"/>
      <c r="CF857" s="34"/>
      <c r="CG857" s="34"/>
      <c r="CH857" s="34"/>
      <c r="CI857" s="34"/>
      <c r="CJ857" s="34"/>
      <c r="CK857" s="34"/>
      <c r="CL857" s="34"/>
      <c r="CM857" s="34"/>
      <c r="CN857" s="34"/>
      <c r="CO857" s="34"/>
      <c r="CP857" s="34"/>
      <c r="CQ857" s="34"/>
      <c r="CR857" s="34"/>
      <c r="CS857" s="34"/>
      <c r="CT857" s="34"/>
      <c r="CU857" s="34"/>
      <c r="CV857" s="34"/>
      <c r="CW857" s="34"/>
      <c r="CX857" s="34"/>
      <c r="CY857" s="34"/>
      <c r="CZ857" s="34"/>
      <c r="DA857" s="34"/>
      <c r="DB857" s="34"/>
      <c r="DC857" s="34"/>
      <c r="DD857" s="34"/>
      <c r="DE857" s="34"/>
      <c r="DF857" s="34"/>
      <c r="DG857" s="34"/>
      <c r="DH857" s="34"/>
      <c r="DI857" s="34"/>
      <c r="DJ857" s="34"/>
      <c r="DK857" s="34"/>
      <c r="DL857" s="34"/>
      <c r="DM857" s="34"/>
      <c r="DN857" s="34"/>
      <c r="DO857" s="34"/>
      <c r="DP857" s="34"/>
      <c r="DQ857" s="34"/>
      <c r="DR857" s="34"/>
      <c r="DS857" s="34"/>
      <c r="DT857" s="34"/>
      <c r="DU857" s="34"/>
      <c r="DV857" s="34"/>
      <c r="DW857" s="34"/>
      <c r="DX857" s="34"/>
      <c r="DY857" s="34"/>
      <c r="DZ857" s="34"/>
      <c r="EA857" s="34"/>
    </row>
    <row r="858" spans="1:131" ht="11.25" hidden="1">
      <c r="A858" s="3" t="s">
        <v>2</v>
      </c>
      <c r="B858" s="4"/>
      <c r="C858" s="4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1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4"/>
      <c r="AF858" s="34"/>
      <c r="AG858" s="34"/>
      <c r="AH858" s="34"/>
      <c r="AI858" s="34"/>
      <c r="AJ858" s="34"/>
      <c r="AK858" s="34"/>
      <c r="AL858" s="34"/>
      <c r="AM858" s="34"/>
      <c r="AN858" s="34"/>
      <c r="AO858" s="34"/>
      <c r="AP858" s="34"/>
      <c r="AQ858" s="34"/>
      <c r="AR858" s="34"/>
      <c r="AS858" s="34"/>
      <c r="AT858" s="34"/>
      <c r="AU858" s="34"/>
      <c r="AV858" s="34"/>
      <c r="AW858" s="34"/>
      <c r="AX858" s="34"/>
      <c r="AY858" s="34"/>
      <c r="AZ858" s="34"/>
      <c r="BA858" s="34"/>
      <c r="BB858" s="34"/>
      <c r="BC858" s="34"/>
      <c r="BD858" s="34"/>
      <c r="BE858" s="34"/>
      <c r="BF858" s="34"/>
      <c r="BG858" s="34"/>
      <c r="BH858" s="34"/>
      <c r="BI858" s="34"/>
      <c r="BJ858" s="34"/>
      <c r="BK858" s="34"/>
      <c r="BL858" s="34"/>
      <c r="BM858" s="34"/>
      <c r="BN858" s="34"/>
      <c r="BO858" s="34"/>
      <c r="BP858" s="34"/>
      <c r="BQ858" s="34"/>
      <c r="BR858" s="34"/>
      <c r="BS858" s="34"/>
      <c r="BT858" s="34"/>
      <c r="BU858" s="34"/>
      <c r="BV858" s="34"/>
      <c r="BW858" s="34"/>
      <c r="BX858" s="34"/>
      <c r="BY858" s="34"/>
      <c r="BZ858" s="34"/>
      <c r="CA858" s="34"/>
      <c r="CB858" s="34"/>
      <c r="CC858" s="34"/>
      <c r="CD858" s="34"/>
      <c r="CE858" s="34"/>
      <c r="CF858" s="34"/>
      <c r="CG858" s="34"/>
      <c r="CH858" s="34"/>
      <c r="CI858" s="34"/>
      <c r="CJ858" s="34"/>
      <c r="CK858" s="34"/>
      <c r="CL858" s="34"/>
      <c r="CM858" s="34"/>
      <c r="CN858" s="34"/>
      <c r="CO858" s="34"/>
      <c r="CP858" s="34"/>
      <c r="CQ858" s="34"/>
      <c r="CR858" s="34"/>
      <c r="CS858" s="34"/>
      <c r="CT858" s="34"/>
      <c r="CU858" s="34"/>
      <c r="CV858" s="34"/>
      <c r="CW858" s="34"/>
      <c r="CX858" s="34"/>
      <c r="CY858" s="34"/>
      <c r="CZ858" s="34"/>
      <c r="DA858" s="34"/>
      <c r="DB858" s="34"/>
      <c r="DC858" s="34"/>
      <c r="DD858" s="34"/>
      <c r="DE858" s="34"/>
      <c r="DF858" s="34"/>
      <c r="DG858" s="34"/>
      <c r="DH858" s="34"/>
      <c r="DI858" s="34"/>
      <c r="DJ858" s="34"/>
      <c r="DK858" s="34"/>
      <c r="DL858" s="34"/>
      <c r="DM858" s="34"/>
      <c r="DN858" s="34"/>
      <c r="DO858" s="34"/>
      <c r="DP858" s="34"/>
      <c r="DQ858" s="34"/>
      <c r="DR858" s="34"/>
      <c r="DS858" s="34"/>
      <c r="DT858" s="34"/>
      <c r="DU858" s="34"/>
      <c r="DV858" s="34"/>
      <c r="DW858" s="34"/>
      <c r="DX858" s="34"/>
      <c r="DY858" s="34"/>
      <c r="DZ858" s="34"/>
      <c r="EA858" s="34"/>
    </row>
    <row r="859" spans="1:131" ht="11.25" hidden="1">
      <c r="A859" s="3" t="s">
        <v>23</v>
      </c>
      <c r="B859" s="4"/>
      <c r="C859" s="4"/>
      <c r="D859" s="5">
        <f>3830000-3830000</f>
        <v>0</v>
      </c>
      <c r="E859" s="5"/>
      <c r="F859" s="5">
        <f>D859+E859</f>
        <v>0</v>
      </c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1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34"/>
      <c r="AF859" s="34"/>
      <c r="AG859" s="34"/>
      <c r="AH859" s="34"/>
      <c r="AI859" s="34"/>
      <c r="AJ859" s="34"/>
      <c r="AK859" s="34"/>
      <c r="AL859" s="34"/>
      <c r="AM859" s="34"/>
      <c r="AN859" s="34"/>
      <c r="AO859" s="34"/>
      <c r="AP859" s="34"/>
      <c r="AQ859" s="34"/>
      <c r="AR859" s="34"/>
      <c r="AS859" s="34"/>
      <c r="AT859" s="34"/>
      <c r="AU859" s="34"/>
      <c r="AV859" s="34"/>
      <c r="AW859" s="34"/>
      <c r="AX859" s="34"/>
      <c r="AY859" s="34"/>
      <c r="AZ859" s="34"/>
      <c r="BA859" s="34"/>
      <c r="BB859" s="34"/>
      <c r="BC859" s="34"/>
      <c r="BD859" s="34"/>
      <c r="BE859" s="34"/>
      <c r="BF859" s="34"/>
      <c r="BG859" s="34"/>
      <c r="BH859" s="34"/>
      <c r="BI859" s="34"/>
      <c r="BJ859" s="34"/>
      <c r="BK859" s="34"/>
      <c r="BL859" s="34"/>
      <c r="BM859" s="34"/>
      <c r="BN859" s="34"/>
      <c r="BO859" s="34"/>
      <c r="BP859" s="34"/>
      <c r="BQ859" s="34"/>
      <c r="BR859" s="34"/>
      <c r="BS859" s="34"/>
      <c r="BT859" s="34"/>
      <c r="BU859" s="34"/>
      <c r="BV859" s="34"/>
      <c r="BW859" s="34"/>
      <c r="BX859" s="34"/>
      <c r="BY859" s="34"/>
      <c r="BZ859" s="34"/>
      <c r="CA859" s="34"/>
      <c r="CB859" s="34"/>
      <c r="CC859" s="34"/>
      <c r="CD859" s="34"/>
      <c r="CE859" s="34"/>
      <c r="CF859" s="34"/>
      <c r="CG859" s="34"/>
      <c r="CH859" s="34"/>
      <c r="CI859" s="34"/>
      <c r="CJ859" s="34"/>
      <c r="CK859" s="34"/>
      <c r="CL859" s="34"/>
      <c r="CM859" s="34"/>
      <c r="CN859" s="34"/>
      <c r="CO859" s="34"/>
      <c r="CP859" s="34"/>
      <c r="CQ859" s="34"/>
      <c r="CR859" s="34"/>
      <c r="CS859" s="34"/>
      <c r="CT859" s="34"/>
      <c r="CU859" s="34"/>
      <c r="CV859" s="34"/>
      <c r="CW859" s="34"/>
      <c r="CX859" s="34"/>
      <c r="CY859" s="34"/>
      <c r="CZ859" s="34"/>
      <c r="DA859" s="34"/>
      <c r="DB859" s="34"/>
      <c r="DC859" s="34"/>
      <c r="DD859" s="34"/>
      <c r="DE859" s="34"/>
      <c r="DF859" s="34"/>
      <c r="DG859" s="34"/>
      <c r="DH859" s="34"/>
      <c r="DI859" s="34"/>
      <c r="DJ859" s="34"/>
      <c r="DK859" s="34"/>
      <c r="DL859" s="34"/>
      <c r="DM859" s="34"/>
      <c r="DN859" s="34"/>
      <c r="DO859" s="34"/>
      <c r="DP859" s="34"/>
      <c r="DQ859" s="34"/>
      <c r="DR859" s="34"/>
      <c r="DS859" s="34"/>
      <c r="DT859" s="34"/>
      <c r="DU859" s="34"/>
      <c r="DV859" s="34"/>
      <c r="DW859" s="34"/>
      <c r="DX859" s="34"/>
      <c r="DY859" s="34"/>
      <c r="DZ859" s="34"/>
      <c r="EA859" s="34"/>
    </row>
    <row r="860" spans="1:17" s="203" customFormat="1" ht="27.75" customHeight="1" hidden="1">
      <c r="A860" s="200" t="s">
        <v>134</v>
      </c>
      <c r="B860" s="231"/>
      <c r="C860" s="231"/>
      <c r="D860" s="201">
        <f>D862</f>
        <v>1998000</v>
      </c>
      <c r="E860" s="201"/>
      <c r="F860" s="201">
        <f>D860</f>
        <v>1998000</v>
      </c>
      <c r="G860" s="201">
        <f>G862</f>
        <v>4001300</v>
      </c>
      <c r="H860" s="201"/>
      <c r="I860" s="201">
        <f>I862</f>
        <v>0</v>
      </c>
      <c r="J860" s="201">
        <f>J862</f>
        <v>4001300</v>
      </c>
      <c r="K860" s="201"/>
      <c r="L860" s="201"/>
      <c r="M860" s="201"/>
      <c r="N860" s="201">
        <f>N862</f>
        <v>4241300</v>
      </c>
      <c r="O860" s="201"/>
      <c r="P860" s="201">
        <f>P862</f>
        <v>4241300</v>
      </c>
      <c r="Q860" s="233"/>
    </row>
    <row r="861" spans="1:131" ht="65.25" customHeight="1" hidden="1">
      <c r="A861" s="6" t="s">
        <v>85</v>
      </c>
      <c r="B861" s="4"/>
      <c r="C861" s="4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1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  <c r="AF861" s="34"/>
      <c r="AG861" s="34"/>
      <c r="AH861" s="34"/>
      <c r="AI861" s="34"/>
      <c r="AJ861" s="34"/>
      <c r="AK861" s="34"/>
      <c r="AL861" s="34"/>
      <c r="AM861" s="34"/>
      <c r="AN861" s="34"/>
      <c r="AO861" s="34"/>
      <c r="AP861" s="34"/>
      <c r="AQ861" s="34"/>
      <c r="AR861" s="34"/>
      <c r="AS861" s="34"/>
      <c r="AT861" s="34"/>
      <c r="AU861" s="34"/>
      <c r="AV861" s="34"/>
      <c r="AW861" s="34"/>
      <c r="AX861" s="34"/>
      <c r="AY861" s="34"/>
      <c r="AZ861" s="34"/>
      <c r="BA861" s="34"/>
      <c r="BB861" s="34"/>
      <c r="BC861" s="34"/>
      <c r="BD861" s="34"/>
      <c r="BE861" s="34"/>
      <c r="BF861" s="34"/>
      <c r="BG861" s="34"/>
      <c r="BH861" s="34"/>
      <c r="BI861" s="34"/>
      <c r="BJ861" s="34"/>
      <c r="BK861" s="34"/>
      <c r="BL861" s="34"/>
      <c r="BM861" s="34"/>
      <c r="BN861" s="34"/>
      <c r="BO861" s="34"/>
      <c r="BP861" s="34"/>
      <c r="BQ861" s="34"/>
      <c r="BR861" s="34"/>
      <c r="BS861" s="34"/>
      <c r="BT861" s="34"/>
      <c r="BU861" s="34"/>
      <c r="BV861" s="34"/>
      <c r="BW861" s="34"/>
      <c r="BX861" s="34"/>
      <c r="BY861" s="34"/>
      <c r="BZ861" s="34"/>
      <c r="CA861" s="34"/>
      <c r="CB861" s="34"/>
      <c r="CC861" s="34"/>
      <c r="CD861" s="34"/>
      <c r="CE861" s="34"/>
      <c r="CF861" s="34"/>
      <c r="CG861" s="34"/>
      <c r="CH861" s="34"/>
      <c r="CI861" s="34"/>
      <c r="CJ861" s="34"/>
      <c r="CK861" s="34"/>
      <c r="CL861" s="34"/>
      <c r="CM861" s="34"/>
      <c r="CN861" s="34"/>
      <c r="CO861" s="34"/>
      <c r="CP861" s="34"/>
      <c r="CQ861" s="34"/>
      <c r="CR861" s="34"/>
      <c r="CS861" s="34"/>
      <c r="CT861" s="34"/>
      <c r="CU861" s="34"/>
      <c r="CV861" s="34"/>
      <c r="CW861" s="34"/>
      <c r="CX861" s="34"/>
      <c r="CY861" s="34"/>
      <c r="CZ861" s="34"/>
      <c r="DA861" s="34"/>
      <c r="DB861" s="34"/>
      <c r="DC861" s="34"/>
      <c r="DD861" s="34"/>
      <c r="DE861" s="34"/>
      <c r="DF861" s="34"/>
      <c r="DG861" s="34"/>
      <c r="DH861" s="34"/>
      <c r="DI861" s="34"/>
      <c r="DJ861" s="34"/>
      <c r="DK861" s="34"/>
      <c r="DL861" s="34"/>
      <c r="DM861" s="34"/>
      <c r="DN861" s="34"/>
      <c r="DO861" s="34"/>
      <c r="DP861" s="34"/>
      <c r="DQ861" s="34"/>
      <c r="DR861" s="34"/>
      <c r="DS861" s="34"/>
      <c r="DT861" s="34"/>
      <c r="DU861" s="34"/>
      <c r="DV861" s="34"/>
      <c r="DW861" s="34"/>
      <c r="DX861" s="34"/>
      <c r="DY861" s="34"/>
      <c r="DZ861" s="34"/>
      <c r="EA861" s="34"/>
    </row>
    <row r="862" spans="1:17" s="235" customFormat="1" ht="25.5" hidden="1">
      <c r="A862" s="194" t="s">
        <v>494</v>
      </c>
      <c r="B862" s="195"/>
      <c r="C862" s="195"/>
      <c r="D862" s="223">
        <f>D863+D870+D877</f>
        <v>1998000</v>
      </c>
      <c r="E862" s="223">
        <f aca="true" t="shared" si="48" ref="E862:O862">E863+E870</f>
        <v>0</v>
      </c>
      <c r="F862" s="223">
        <f>D862+E862</f>
        <v>1998000</v>
      </c>
      <c r="G862" s="223">
        <f t="shared" si="48"/>
        <v>4001300</v>
      </c>
      <c r="H862" s="223">
        <f t="shared" si="48"/>
        <v>0</v>
      </c>
      <c r="I862" s="223">
        <f t="shared" si="48"/>
        <v>0</v>
      </c>
      <c r="J862" s="223">
        <f>G862+H862</f>
        <v>4001300</v>
      </c>
      <c r="K862" s="223">
        <f t="shared" si="48"/>
        <v>0</v>
      </c>
      <c r="L862" s="223">
        <f t="shared" si="48"/>
        <v>0</v>
      </c>
      <c r="M862" s="223">
        <f t="shared" si="48"/>
        <v>0</v>
      </c>
      <c r="N862" s="223">
        <f t="shared" si="48"/>
        <v>4241300</v>
      </c>
      <c r="O862" s="223">
        <f t="shared" si="48"/>
        <v>0</v>
      </c>
      <c r="P862" s="223">
        <f>N862+O862</f>
        <v>4241300</v>
      </c>
      <c r="Q862" s="234"/>
    </row>
    <row r="863" spans="1:17" s="43" customFormat="1" ht="45" hidden="1">
      <c r="A863" s="41" t="s">
        <v>512</v>
      </c>
      <c r="B863" s="23"/>
      <c r="C863" s="23"/>
      <c r="D863" s="124">
        <f>1500000-900000</f>
        <v>600000</v>
      </c>
      <c r="E863" s="124"/>
      <c r="F863" s="124">
        <f>D863+E863</f>
        <v>600000</v>
      </c>
      <c r="G863" s="81">
        <v>1600500</v>
      </c>
      <c r="H863" s="81"/>
      <c r="I863" s="81">
        <f>I867*I869</f>
        <v>0</v>
      </c>
      <c r="J863" s="81">
        <f>G863</f>
        <v>1600500</v>
      </c>
      <c r="K863" s="81">
        <f>K867*K869</f>
        <v>0</v>
      </c>
      <c r="L863" s="81">
        <f>L867*L869</f>
        <v>0</v>
      </c>
      <c r="M863" s="81">
        <f>M867*M869</f>
        <v>0</v>
      </c>
      <c r="N863" s="81">
        <v>1696500</v>
      </c>
      <c r="O863" s="81"/>
      <c r="P863" s="81">
        <f>N863</f>
        <v>1696500</v>
      </c>
      <c r="Q863" s="42"/>
    </row>
    <row r="864" spans="1:17" s="33" customFormat="1" ht="11.25" hidden="1">
      <c r="A864" s="3" t="s">
        <v>2</v>
      </c>
      <c r="B864" s="25"/>
      <c r="C864" s="25"/>
      <c r="D864" s="98"/>
      <c r="E864" s="98"/>
      <c r="F864" s="170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40"/>
    </row>
    <row r="865" spans="1:17" s="33" customFormat="1" ht="27.75" customHeight="1" hidden="1">
      <c r="A865" s="6" t="s">
        <v>86</v>
      </c>
      <c r="B865" s="25"/>
      <c r="C865" s="25"/>
      <c r="D865" s="139">
        <v>500</v>
      </c>
      <c r="E865" s="98"/>
      <c r="F865" s="170"/>
      <c r="G865" s="74">
        <v>500</v>
      </c>
      <c r="H865" s="84"/>
      <c r="I865" s="84"/>
      <c r="J865" s="74">
        <f>G865+H865</f>
        <v>500</v>
      </c>
      <c r="K865" s="84"/>
      <c r="L865" s="84"/>
      <c r="M865" s="84"/>
      <c r="N865" s="74">
        <f>N867</f>
        <v>500</v>
      </c>
      <c r="O865" s="74"/>
      <c r="P865" s="74">
        <f>N865+O865</f>
        <v>500</v>
      </c>
      <c r="Q865" s="40"/>
    </row>
    <row r="866" spans="1:17" s="33" customFormat="1" ht="11.25" hidden="1">
      <c r="A866" s="3" t="s">
        <v>3</v>
      </c>
      <c r="B866" s="25"/>
      <c r="C866" s="25"/>
      <c r="D866" s="98"/>
      <c r="E866" s="98"/>
      <c r="F866" s="170"/>
      <c r="G866" s="84"/>
      <c r="H866" s="84"/>
      <c r="I866" s="84"/>
      <c r="J866" s="74"/>
      <c r="K866" s="84"/>
      <c r="L866" s="84"/>
      <c r="M866" s="84"/>
      <c r="N866" s="84"/>
      <c r="O866" s="84"/>
      <c r="P866" s="74"/>
      <c r="Q866" s="40"/>
    </row>
    <row r="867" spans="1:17" s="33" customFormat="1" ht="22.5" hidden="1">
      <c r="A867" s="6" t="s">
        <v>87</v>
      </c>
      <c r="B867" s="25"/>
      <c r="C867" s="25"/>
      <c r="D867" s="139">
        <v>500</v>
      </c>
      <c r="E867" s="98"/>
      <c r="F867" s="170"/>
      <c r="G867" s="74">
        <f>G865</f>
        <v>500</v>
      </c>
      <c r="H867" s="74"/>
      <c r="I867" s="74"/>
      <c r="J867" s="74">
        <f>G867+H867</f>
        <v>500</v>
      </c>
      <c r="K867" s="74">
        <f>K865</f>
        <v>0</v>
      </c>
      <c r="L867" s="74">
        <f>L865</f>
        <v>0</v>
      </c>
      <c r="M867" s="74">
        <f>M865</f>
        <v>0</v>
      </c>
      <c r="N867" s="74">
        <v>500</v>
      </c>
      <c r="O867" s="74"/>
      <c r="P867" s="74">
        <f>N867+O867</f>
        <v>500</v>
      </c>
      <c r="Q867" s="40"/>
    </row>
    <row r="868" spans="1:17" s="33" customFormat="1" ht="11.25" hidden="1">
      <c r="A868" s="3" t="s">
        <v>5</v>
      </c>
      <c r="B868" s="25"/>
      <c r="C868" s="25"/>
      <c r="D868" s="98"/>
      <c r="E868" s="98"/>
      <c r="F868" s="170"/>
      <c r="G868" s="84"/>
      <c r="H868" s="84"/>
      <c r="I868" s="84"/>
      <c r="J868" s="74"/>
      <c r="K868" s="84"/>
      <c r="L868" s="84"/>
      <c r="M868" s="84"/>
      <c r="N868" s="84"/>
      <c r="O868" s="84"/>
      <c r="P868" s="74"/>
      <c r="Q868" s="40"/>
    </row>
    <row r="869" spans="1:17" s="33" customFormat="1" ht="17.25" customHeight="1" hidden="1">
      <c r="A869" s="6" t="s">
        <v>88</v>
      </c>
      <c r="B869" s="25"/>
      <c r="C869" s="25"/>
      <c r="D869" s="98">
        <f>D863/D865</f>
        <v>1200</v>
      </c>
      <c r="E869" s="98"/>
      <c r="F869" s="170"/>
      <c r="G869" s="74">
        <f>G863/G867</f>
        <v>3201</v>
      </c>
      <c r="H869" s="84"/>
      <c r="I869" s="84"/>
      <c r="J869" s="74">
        <f>G869+H869</f>
        <v>3201</v>
      </c>
      <c r="K869" s="84"/>
      <c r="L869" s="84"/>
      <c r="M869" s="84"/>
      <c r="N869" s="74">
        <f>N863/N867</f>
        <v>3393</v>
      </c>
      <c r="O869" s="74"/>
      <c r="P869" s="74">
        <f>N869+O869</f>
        <v>3393</v>
      </c>
      <c r="Q869" s="40"/>
    </row>
    <row r="870" spans="1:17" s="45" customFormat="1" ht="65.25" customHeight="1" hidden="1">
      <c r="A870" s="41" t="s">
        <v>511</v>
      </c>
      <c r="B870" s="22"/>
      <c r="C870" s="22"/>
      <c r="D870" s="124">
        <f>2250000-1052000</f>
        <v>1198000</v>
      </c>
      <c r="E870" s="124"/>
      <c r="F870" s="124">
        <f>D870+E870</f>
        <v>1198000</v>
      </c>
      <c r="G870" s="81">
        <v>2400800</v>
      </c>
      <c r="H870" s="81"/>
      <c r="I870" s="81">
        <f>I874*I876</f>
        <v>0</v>
      </c>
      <c r="J870" s="81">
        <f>G870</f>
        <v>2400800</v>
      </c>
      <c r="K870" s="81">
        <f>K874*K876</f>
        <v>0</v>
      </c>
      <c r="L870" s="81">
        <f>L874*L876</f>
        <v>0</v>
      </c>
      <c r="M870" s="81">
        <f>M874*M876</f>
        <v>0</v>
      </c>
      <c r="N870" s="81">
        <v>2544800</v>
      </c>
      <c r="O870" s="81"/>
      <c r="P870" s="81">
        <f>N870</f>
        <v>2544800</v>
      </c>
      <c r="Q870" s="44"/>
    </row>
    <row r="871" spans="1:131" ht="11.25" hidden="1">
      <c r="A871" s="3" t="s">
        <v>2</v>
      </c>
      <c r="B871" s="4"/>
      <c r="C871" s="4"/>
      <c r="D871" s="171"/>
      <c r="E871" s="171"/>
      <c r="F871" s="171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1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F871" s="34"/>
      <c r="AG871" s="34"/>
      <c r="AH871" s="34"/>
      <c r="AI871" s="34"/>
      <c r="AJ871" s="34"/>
      <c r="AK871" s="34"/>
      <c r="AL871" s="34"/>
      <c r="AM871" s="34"/>
      <c r="AN871" s="34"/>
      <c r="AO871" s="34"/>
      <c r="AP871" s="34"/>
      <c r="AQ871" s="34"/>
      <c r="AR871" s="34"/>
      <c r="AS871" s="34"/>
      <c r="AT871" s="34"/>
      <c r="AU871" s="34"/>
      <c r="AV871" s="34"/>
      <c r="AW871" s="34"/>
      <c r="AX871" s="34"/>
      <c r="AY871" s="34"/>
      <c r="AZ871" s="34"/>
      <c r="BA871" s="34"/>
      <c r="BB871" s="34"/>
      <c r="BC871" s="34"/>
      <c r="BD871" s="34"/>
      <c r="BE871" s="34"/>
      <c r="BF871" s="34"/>
      <c r="BG871" s="34"/>
      <c r="BH871" s="34"/>
      <c r="BI871" s="34"/>
      <c r="BJ871" s="34"/>
      <c r="BK871" s="34"/>
      <c r="BL871" s="34"/>
      <c r="BM871" s="34"/>
      <c r="BN871" s="34"/>
      <c r="BO871" s="34"/>
      <c r="BP871" s="34"/>
      <c r="BQ871" s="34"/>
      <c r="BR871" s="34"/>
      <c r="BS871" s="34"/>
      <c r="BT871" s="34"/>
      <c r="BU871" s="34"/>
      <c r="BV871" s="34"/>
      <c r="BW871" s="34"/>
      <c r="BX871" s="34"/>
      <c r="BY871" s="34"/>
      <c r="BZ871" s="34"/>
      <c r="CA871" s="34"/>
      <c r="CB871" s="34"/>
      <c r="CC871" s="34"/>
      <c r="CD871" s="34"/>
      <c r="CE871" s="34"/>
      <c r="CF871" s="34"/>
      <c r="CG871" s="34"/>
      <c r="CH871" s="34"/>
      <c r="CI871" s="34"/>
      <c r="CJ871" s="34"/>
      <c r="CK871" s="34"/>
      <c r="CL871" s="34"/>
      <c r="CM871" s="34"/>
      <c r="CN871" s="34"/>
      <c r="CO871" s="34"/>
      <c r="CP871" s="34"/>
      <c r="CQ871" s="34"/>
      <c r="CR871" s="34"/>
      <c r="CS871" s="34"/>
      <c r="CT871" s="34"/>
      <c r="CU871" s="34"/>
      <c r="CV871" s="34"/>
      <c r="CW871" s="34"/>
      <c r="CX871" s="34"/>
      <c r="CY871" s="34"/>
      <c r="CZ871" s="34"/>
      <c r="DA871" s="34"/>
      <c r="DB871" s="34"/>
      <c r="DC871" s="34"/>
      <c r="DD871" s="34"/>
      <c r="DE871" s="34"/>
      <c r="DF871" s="34"/>
      <c r="DG871" s="34"/>
      <c r="DH871" s="34"/>
      <c r="DI871" s="34"/>
      <c r="DJ871" s="34"/>
      <c r="DK871" s="34"/>
      <c r="DL871" s="34"/>
      <c r="DM871" s="34"/>
      <c r="DN871" s="34"/>
      <c r="DO871" s="34"/>
      <c r="DP871" s="34"/>
      <c r="DQ871" s="34"/>
      <c r="DR871" s="34"/>
      <c r="DS871" s="34"/>
      <c r="DT871" s="34"/>
      <c r="DU871" s="34"/>
      <c r="DV871" s="34"/>
      <c r="DW871" s="34"/>
      <c r="DX871" s="34"/>
      <c r="DY871" s="34"/>
      <c r="DZ871" s="34"/>
      <c r="EA871" s="34"/>
    </row>
    <row r="872" spans="1:131" ht="22.5" hidden="1">
      <c r="A872" s="6" t="s">
        <v>86</v>
      </c>
      <c r="B872" s="4"/>
      <c r="C872" s="4"/>
      <c r="D872" s="136">
        <v>30</v>
      </c>
      <c r="E872" s="136"/>
      <c r="F872" s="136">
        <f>D872</f>
        <v>30</v>
      </c>
      <c r="G872" s="136">
        <f>G874</f>
        <v>30</v>
      </c>
      <c r="H872" s="136"/>
      <c r="I872" s="136"/>
      <c r="J872" s="74">
        <f>G872+H872</f>
        <v>30</v>
      </c>
      <c r="K872" s="136">
        <f>H872</f>
        <v>0</v>
      </c>
      <c r="L872" s="136">
        <f>J872</f>
        <v>30</v>
      </c>
      <c r="M872" s="136">
        <f>K872</f>
        <v>0</v>
      </c>
      <c r="N872" s="136">
        <f>N874</f>
        <v>30</v>
      </c>
      <c r="O872" s="136"/>
      <c r="P872" s="136">
        <f>N872</f>
        <v>30</v>
      </c>
      <c r="Q872" s="1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F872" s="34"/>
      <c r="AG872" s="34"/>
      <c r="AH872" s="34"/>
      <c r="AI872" s="34"/>
      <c r="AJ872" s="34"/>
      <c r="AK872" s="34"/>
      <c r="AL872" s="34"/>
      <c r="AM872" s="34"/>
      <c r="AN872" s="34"/>
      <c r="AO872" s="34"/>
      <c r="AP872" s="34"/>
      <c r="AQ872" s="34"/>
      <c r="AR872" s="34"/>
      <c r="AS872" s="34"/>
      <c r="AT872" s="34"/>
      <c r="AU872" s="34"/>
      <c r="AV872" s="34"/>
      <c r="AW872" s="34"/>
      <c r="AX872" s="34"/>
      <c r="AY872" s="34"/>
      <c r="AZ872" s="34"/>
      <c r="BA872" s="34"/>
      <c r="BB872" s="34"/>
      <c r="BC872" s="34"/>
      <c r="BD872" s="34"/>
      <c r="BE872" s="34"/>
      <c r="BF872" s="34"/>
      <c r="BG872" s="34"/>
      <c r="BH872" s="34"/>
      <c r="BI872" s="34"/>
      <c r="BJ872" s="34"/>
      <c r="BK872" s="34"/>
      <c r="BL872" s="34"/>
      <c r="BM872" s="34"/>
      <c r="BN872" s="34"/>
      <c r="BO872" s="34"/>
      <c r="BP872" s="34"/>
      <c r="BQ872" s="34"/>
      <c r="BR872" s="34"/>
      <c r="BS872" s="34"/>
      <c r="BT872" s="34"/>
      <c r="BU872" s="34"/>
      <c r="BV872" s="34"/>
      <c r="BW872" s="34"/>
      <c r="BX872" s="34"/>
      <c r="BY872" s="34"/>
      <c r="BZ872" s="34"/>
      <c r="CA872" s="34"/>
      <c r="CB872" s="34"/>
      <c r="CC872" s="34"/>
      <c r="CD872" s="34"/>
      <c r="CE872" s="34"/>
      <c r="CF872" s="34"/>
      <c r="CG872" s="34"/>
      <c r="CH872" s="34"/>
      <c r="CI872" s="34"/>
      <c r="CJ872" s="34"/>
      <c r="CK872" s="34"/>
      <c r="CL872" s="34"/>
      <c r="CM872" s="34"/>
      <c r="CN872" s="34"/>
      <c r="CO872" s="34"/>
      <c r="CP872" s="34"/>
      <c r="CQ872" s="34"/>
      <c r="CR872" s="34"/>
      <c r="CS872" s="34"/>
      <c r="CT872" s="34"/>
      <c r="CU872" s="34"/>
      <c r="CV872" s="34"/>
      <c r="CW872" s="34"/>
      <c r="CX872" s="34"/>
      <c r="CY872" s="34"/>
      <c r="CZ872" s="34"/>
      <c r="DA872" s="34"/>
      <c r="DB872" s="34"/>
      <c r="DC872" s="34"/>
      <c r="DD872" s="34"/>
      <c r="DE872" s="34"/>
      <c r="DF872" s="34"/>
      <c r="DG872" s="34"/>
      <c r="DH872" s="34"/>
      <c r="DI872" s="34"/>
      <c r="DJ872" s="34"/>
      <c r="DK872" s="34"/>
      <c r="DL872" s="34"/>
      <c r="DM872" s="34"/>
      <c r="DN872" s="34"/>
      <c r="DO872" s="34"/>
      <c r="DP872" s="34"/>
      <c r="DQ872" s="34"/>
      <c r="DR872" s="34"/>
      <c r="DS872" s="34"/>
      <c r="DT872" s="34"/>
      <c r="DU872" s="34"/>
      <c r="DV872" s="34"/>
      <c r="DW872" s="34"/>
      <c r="DX872" s="34"/>
      <c r="DY872" s="34"/>
      <c r="DZ872" s="34"/>
      <c r="EA872" s="34"/>
    </row>
    <row r="873" spans="1:131" ht="11.25" hidden="1">
      <c r="A873" s="3" t="s">
        <v>3</v>
      </c>
      <c r="B873" s="4"/>
      <c r="C873" s="4"/>
      <c r="D873" s="136"/>
      <c r="E873" s="136"/>
      <c r="F873" s="136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1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F873" s="34"/>
      <c r="AG873" s="34"/>
      <c r="AH873" s="34"/>
      <c r="AI873" s="34"/>
      <c r="AJ873" s="34"/>
      <c r="AK873" s="34"/>
      <c r="AL873" s="34"/>
      <c r="AM873" s="34"/>
      <c r="AN873" s="34"/>
      <c r="AO873" s="34"/>
      <c r="AP873" s="34"/>
      <c r="AQ873" s="34"/>
      <c r="AR873" s="34"/>
      <c r="AS873" s="34"/>
      <c r="AT873" s="34"/>
      <c r="AU873" s="34"/>
      <c r="AV873" s="34"/>
      <c r="AW873" s="34"/>
      <c r="AX873" s="34"/>
      <c r="AY873" s="34"/>
      <c r="AZ873" s="34"/>
      <c r="BA873" s="34"/>
      <c r="BB873" s="34"/>
      <c r="BC873" s="34"/>
      <c r="BD873" s="34"/>
      <c r="BE873" s="34"/>
      <c r="BF873" s="34"/>
      <c r="BG873" s="34"/>
      <c r="BH873" s="34"/>
      <c r="BI873" s="34"/>
      <c r="BJ873" s="34"/>
      <c r="BK873" s="34"/>
      <c r="BL873" s="34"/>
      <c r="BM873" s="34"/>
      <c r="BN873" s="34"/>
      <c r="BO873" s="34"/>
      <c r="BP873" s="34"/>
      <c r="BQ873" s="34"/>
      <c r="BR873" s="34"/>
      <c r="BS873" s="34"/>
      <c r="BT873" s="34"/>
      <c r="BU873" s="34"/>
      <c r="BV873" s="34"/>
      <c r="BW873" s="34"/>
      <c r="BX873" s="34"/>
      <c r="BY873" s="34"/>
      <c r="BZ873" s="34"/>
      <c r="CA873" s="34"/>
      <c r="CB873" s="34"/>
      <c r="CC873" s="34"/>
      <c r="CD873" s="34"/>
      <c r="CE873" s="34"/>
      <c r="CF873" s="34"/>
      <c r="CG873" s="34"/>
      <c r="CH873" s="34"/>
      <c r="CI873" s="34"/>
      <c r="CJ873" s="34"/>
      <c r="CK873" s="34"/>
      <c r="CL873" s="34"/>
      <c r="CM873" s="34"/>
      <c r="CN873" s="34"/>
      <c r="CO873" s="34"/>
      <c r="CP873" s="34"/>
      <c r="CQ873" s="34"/>
      <c r="CR873" s="34"/>
      <c r="CS873" s="34"/>
      <c r="CT873" s="34"/>
      <c r="CU873" s="34"/>
      <c r="CV873" s="34"/>
      <c r="CW873" s="34"/>
      <c r="CX873" s="34"/>
      <c r="CY873" s="34"/>
      <c r="CZ873" s="34"/>
      <c r="DA873" s="34"/>
      <c r="DB873" s="34"/>
      <c r="DC873" s="34"/>
      <c r="DD873" s="34"/>
      <c r="DE873" s="34"/>
      <c r="DF873" s="34"/>
      <c r="DG873" s="34"/>
      <c r="DH873" s="34"/>
      <c r="DI873" s="34"/>
      <c r="DJ873" s="34"/>
      <c r="DK873" s="34"/>
      <c r="DL873" s="34"/>
      <c r="DM873" s="34"/>
      <c r="DN873" s="34"/>
      <c r="DO873" s="34"/>
      <c r="DP873" s="34"/>
      <c r="DQ873" s="34"/>
      <c r="DR873" s="34"/>
      <c r="DS873" s="34"/>
      <c r="DT873" s="34"/>
      <c r="DU873" s="34"/>
      <c r="DV873" s="34"/>
      <c r="DW873" s="34"/>
      <c r="DX873" s="34"/>
      <c r="DY873" s="34"/>
      <c r="DZ873" s="34"/>
      <c r="EA873" s="34"/>
    </row>
    <row r="874" spans="1:131" ht="32.25" customHeight="1" hidden="1">
      <c r="A874" s="6" t="s">
        <v>252</v>
      </c>
      <c r="B874" s="4"/>
      <c r="C874" s="4"/>
      <c r="D874" s="136">
        <v>30</v>
      </c>
      <c r="E874" s="136"/>
      <c r="F874" s="136">
        <f>D874</f>
        <v>30</v>
      </c>
      <c r="G874" s="74">
        <v>30</v>
      </c>
      <c r="H874" s="74"/>
      <c r="I874" s="74"/>
      <c r="J874" s="74">
        <f>G874+H874</f>
        <v>30</v>
      </c>
      <c r="K874" s="74"/>
      <c r="L874" s="74"/>
      <c r="M874" s="74"/>
      <c r="N874" s="74">
        <v>30</v>
      </c>
      <c r="O874" s="74"/>
      <c r="P874" s="74">
        <f>N874</f>
        <v>30</v>
      </c>
      <c r="Q874" s="1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  <c r="AF874" s="34"/>
      <c r="AG874" s="34"/>
      <c r="AH874" s="34"/>
      <c r="AI874" s="34"/>
      <c r="AJ874" s="34"/>
      <c r="AK874" s="34"/>
      <c r="AL874" s="34"/>
      <c r="AM874" s="34"/>
      <c r="AN874" s="34"/>
      <c r="AO874" s="34"/>
      <c r="AP874" s="34"/>
      <c r="AQ874" s="34"/>
      <c r="AR874" s="34"/>
      <c r="AS874" s="34"/>
      <c r="AT874" s="34"/>
      <c r="AU874" s="34"/>
      <c r="AV874" s="34"/>
      <c r="AW874" s="34"/>
      <c r="AX874" s="34"/>
      <c r="AY874" s="34"/>
      <c r="AZ874" s="34"/>
      <c r="BA874" s="34"/>
      <c r="BB874" s="34"/>
      <c r="BC874" s="34"/>
      <c r="BD874" s="34"/>
      <c r="BE874" s="34"/>
      <c r="BF874" s="34"/>
      <c r="BG874" s="34"/>
      <c r="BH874" s="34"/>
      <c r="BI874" s="34"/>
      <c r="BJ874" s="34"/>
      <c r="BK874" s="34"/>
      <c r="BL874" s="34"/>
      <c r="BM874" s="34"/>
      <c r="BN874" s="34"/>
      <c r="BO874" s="34"/>
      <c r="BP874" s="34"/>
      <c r="BQ874" s="34"/>
      <c r="BR874" s="34"/>
      <c r="BS874" s="34"/>
      <c r="BT874" s="34"/>
      <c r="BU874" s="34"/>
      <c r="BV874" s="34"/>
      <c r="BW874" s="34"/>
      <c r="BX874" s="34"/>
      <c r="BY874" s="34"/>
      <c r="BZ874" s="34"/>
      <c r="CA874" s="34"/>
      <c r="CB874" s="34"/>
      <c r="CC874" s="34"/>
      <c r="CD874" s="34"/>
      <c r="CE874" s="34"/>
      <c r="CF874" s="34"/>
      <c r="CG874" s="34"/>
      <c r="CH874" s="34"/>
      <c r="CI874" s="34"/>
      <c r="CJ874" s="34"/>
      <c r="CK874" s="34"/>
      <c r="CL874" s="34"/>
      <c r="CM874" s="34"/>
      <c r="CN874" s="34"/>
      <c r="CO874" s="34"/>
      <c r="CP874" s="34"/>
      <c r="CQ874" s="34"/>
      <c r="CR874" s="34"/>
      <c r="CS874" s="34"/>
      <c r="CT874" s="34"/>
      <c r="CU874" s="34"/>
      <c r="CV874" s="34"/>
      <c r="CW874" s="34"/>
      <c r="CX874" s="34"/>
      <c r="CY874" s="34"/>
      <c r="CZ874" s="34"/>
      <c r="DA874" s="34"/>
      <c r="DB874" s="34"/>
      <c r="DC874" s="34"/>
      <c r="DD874" s="34"/>
      <c r="DE874" s="34"/>
      <c r="DF874" s="34"/>
      <c r="DG874" s="34"/>
      <c r="DH874" s="34"/>
      <c r="DI874" s="34"/>
      <c r="DJ874" s="34"/>
      <c r="DK874" s="34"/>
      <c r="DL874" s="34"/>
      <c r="DM874" s="34"/>
      <c r="DN874" s="34"/>
      <c r="DO874" s="34"/>
      <c r="DP874" s="34"/>
      <c r="DQ874" s="34"/>
      <c r="DR874" s="34"/>
      <c r="DS874" s="34"/>
      <c r="DT874" s="34"/>
      <c r="DU874" s="34"/>
      <c r="DV874" s="34"/>
      <c r="DW874" s="34"/>
      <c r="DX874" s="34"/>
      <c r="DY874" s="34"/>
      <c r="DZ874" s="34"/>
      <c r="EA874" s="34"/>
    </row>
    <row r="875" spans="1:131" ht="11.25" hidden="1">
      <c r="A875" s="3" t="s">
        <v>5</v>
      </c>
      <c r="B875" s="4"/>
      <c r="C875" s="4"/>
      <c r="D875" s="136"/>
      <c r="E875" s="136"/>
      <c r="F875" s="136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1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F875" s="34"/>
      <c r="AG875" s="34"/>
      <c r="AH875" s="34"/>
      <c r="AI875" s="34"/>
      <c r="AJ875" s="34"/>
      <c r="AK875" s="34"/>
      <c r="AL875" s="34"/>
      <c r="AM875" s="34"/>
      <c r="AN875" s="34"/>
      <c r="AO875" s="34"/>
      <c r="AP875" s="34"/>
      <c r="AQ875" s="34"/>
      <c r="AR875" s="34"/>
      <c r="AS875" s="34"/>
      <c r="AT875" s="34"/>
      <c r="AU875" s="34"/>
      <c r="AV875" s="34"/>
      <c r="AW875" s="34"/>
      <c r="AX875" s="34"/>
      <c r="AY875" s="34"/>
      <c r="AZ875" s="34"/>
      <c r="BA875" s="34"/>
      <c r="BB875" s="34"/>
      <c r="BC875" s="34"/>
      <c r="BD875" s="34"/>
      <c r="BE875" s="34"/>
      <c r="BF875" s="34"/>
      <c r="BG875" s="34"/>
      <c r="BH875" s="34"/>
      <c r="BI875" s="34"/>
      <c r="BJ875" s="34"/>
      <c r="BK875" s="34"/>
      <c r="BL875" s="34"/>
      <c r="BM875" s="34"/>
      <c r="BN875" s="34"/>
      <c r="BO875" s="34"/>
      <c r="BP875" s="34"/>
      <c r="BQ875" s="34"/>
      <c r="BR875" s="34"/>
      <c r="BS875" s="34"/>
      <c r="BT875" s="34"/>
      <c r="BU875" s="34"/>
      <c r="BV875" s="34"/>
      <c r="BW875" s="34"/>
      <c r="BX875" s="34"/>
      <c r="BY875" s="34"/>
      <c r="BZ875" s="34"/>
      <c r="CA875" s="34"/>
      <c r="CB875" s="34"/>
      <c r="CC875" s="34"/>
      <c r="CD875" s="34"/>
      <c r="CE875" s="34"/>
      <c r="CF875" s="34"/>
      <c r="CG875" s="34"/>
      <c r="CH875" s="34"/>
      <c r="CI875" s="34"/>
      <c r="CJ875" s="34"/>
      <c r="CK875" s="34"/>
      <c r="CL875" s="34"/>
      <c r="CM875" s="34"/>
      <c r="CN875" s="34"/>
      <c r="CO875" s="34"/>
      <c r="CP875" s="34"/>
      <c r="CQ875" s="34"/>
      <c r="CR875" s="34"/>
      <c r="CS875" s="34"/>
      <c r="CT875" s="34"/>
      <c r="CU875" s="34"/>
      <c r="CV875" s="34"/>
      <c r="CW875" s="34"/>
      <c r="CX875" s="34"/>
      <c r="CY875" s="34"/>
      <c r="CZ875" s="34"/>
      <c r="DA875" s="34"/>
      <c r="DB875" s="34"/>
      <c r="DC875" s="34"/>
      <c r="DD875" s="34"/>
      <c r="DE875" s="34"/>
      <c r="DF875" s="34"/>
      <c r="DG875" s="34"/>
      <c r="DH875" s="34"/>
      <c r="DI875" s="34"/>
      <c r="DJ875" s="34"/>
      <c r="DK875" s="34"/>
      <c r="DL875" s="34"/>
      <c r="DM875" s="34"/>
      <c r="DN875" s="34"/>
      <c r="DO875" s="34"/>
      <c r="DP875" s="34"/>
      <c r="DQ875" s="34"/>
      <c r="DR875" s="34"/>
      <c r="DS875" s="34"/>
      <c r="DT875" s="34"/>
      <c r="DU875" s="34"/>
      <c r="DV875" s="34"/>
      <c r="DW875" s="34"/>
      <c r="DX875" s="34"/>
      <c r="DY875" s="34"/>
      <c r="DZ875" s="34"/>
      <c r="EA875" s="34"/>
    </row>
    <row r="876" spans="1:131" ht="22.5" hidden="1">
      <c r="A876" s="6" t="s">
        <v>88</v>
      </c>
      <c r="B876" s="4"/>
      <c r="C876" s="4"/>
      <c r="D876" s="136">
        <f>D870/D874</f>
        <v>39933.333333333336</v>
      </c>
      <c r="E876" s="136"/>
      <c r="F876" s="136">
        <f>D876</f>
        <v>39933.333333333336</v>
      </c>
      <c r="G876" s="74">
        <f>G870/G872</f>
        <v>80026.66666666667</v>
      </c>
      <c r="H876" s="74"/>
      <c r="I876" s="74"/>
      <c r="J876" s="74">
        <f>G876+H876</f>
        <v>80026.66666666667</v>
      </c>
      <c r="K876" s="74"/>
      <c r="L876" s="74"/>
      <c r="M876" s="74"/>
      <c r="N876" s="74">
        <f>N870/N872</f>
        <v>84826.66666666667</v>
      </c>
      <c r="O876" s="74"/>
      <c r="P876" s="74">
        <f>N876</f>
        <v>84826.66666666667</v>
      </c>
      <c r="Q876" s="1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F876" s="34"/>
      <c r="AG876" s="34"/>
      <c r="AH876" s="34"/>
      <c r="AI876" s="34"/>
      <c r="AJ876" s="34"/>
      <c r="AK876" s="34"/>
      <c r="AL876" s="34"/>
      <c r="AM876" s="34"/>
      <c r="AN876" s="34"/>
      <c r="AO876" s="34"/>
      <c r="AP876" s="34"/>
      <c r="AQ876" s="34"/>
      <c r="AR876" s="34"/>
      <c r="AS876" s="34"/>
      <c r="AT876" s="34"/>
      <c r="AU876" s="34"/>
      <c r="AV876" s="34"/>
      <c r="AW876" s="34"/>
      <c r="AX876" s="34"/>
      <c r="AY876" s="34"/>
      <c r="AZ876" s="34"/>
      <c r="BA876" s="34"/>
      <c r="BB876" s="34"/>
      <c r="BC876" s="34"/>
      <c r="BD876" s="34"/>
      <c r="BE876" s="34"/>
      <c r="BF876" s="34"/>
      <c r="BG876" s="34"/>
      <c r="BH876" s="34"/>
      <c r="BI876" s="34"/>
      <c r="BJ876" s="34"/>
      <c r="BK876" s="34"/>
      <c r="BL876" s="34"/>
      <c r="BM876" s="34"/>
      <c r="BN876" s="34"/>
      <c r="BO876" s="34"/>
      <c r="BP876" s="34"/>
      <c r="BQ876" s="34"/>
      <c r="BR876" s="34"/>
      <c r="BS876" s="34"/>
      <c r="BT876" s="34"/>
      <c r="BU876" s="34"/>
      <c r="BV876" s="34"/>
      <c r="BW876" s="34"/>
      <c r="BX876" s="34"/>
      <c r="BY876" s="34"/>
      <c r="BZ876" s="34"/>
      <c r="CA876" s="34"/>
      <c r="CB876" s="34"/>
      <c r="CC876" s="34"/>
      <c r="CD876" s="34"/>
      <c r="CE876" s="34"/>
      <c r="CF876" s="34"/>
      <c r="CG876" s="34"/>
      <c r="CH876" s="34"/>
      <c r="CI876" s="34"/>
      <c r="CJ876" s="34"/>
      <c r="CK876" s="34"/>
      <c r="CL876" s="34"/>
      <c r="CM876" s="34"/>
      <c r="CN876" s="34"/>
      <c r="CO876" s="34"/>
      <c r="CP876" s="34"/>
      <c r="CQ876" s="34"/>
      <c r="CR876" s="34"/>
      <c r="CS876" s="34"/>
      <c r="CT876" s="34"/>
      <c r="CU876" s="34"/>
      <c r="CV876" s="34"/>
      <c r="CW876" s="34"/>
      <c r="CX876" s="34"/>
      <c r="CY876" s="34"/>
      <c r="CZ876" s="34"/>
      <c r="DA876" s="34"/>
      <c r="DB876" s="34"/>
      <c r="DC876" s="34"/>
      <c r="DD876" s="34"/>
      <c r="DE876" s="34"/>
      <c r="DF876" s="34"/>
      <c r="DG876" s="34"/>
      <c r="DH876" s="34"/>
      <c r="DI876" s="34"/>
      <c r="DJ876" s="34"/>
      <c r="DK876" s="34"/>
      <c r="DL876" s="34"/>
      <c r="DM876" s="34"/>
      <c r="DN876" s="34"/>
      <c r="DO876" s="34"/>
      <c r="DP876" s="34"/>
      <c r="DQ876" s="34"/>
      <c r="DR876" s="34"/>
      <c r="DS876" s="34"/>
      <c r="DT876" s="34"/>
      <c r="DU876" s="34"/>
      <c r="DV876" s="34"/>
      <c r="DW876" s="34"/>
      <c r="DX876" s="34"/>
      <c r="DY876" s="34"/>
      <c r="DZ876" s="34"/>
      <c r="EA876" s="34"/>
    </row>
    <row r="877" spans="1:17" s="268" customFormat="1" ht="67.5" hidden="1">
      <c r="A877" s="263" t="s">
        <v>549</v>
      </c>
      <c r="B877" s="264"/>
      <c r="C877" s="264"/>
      <c r="D877" s="265">
        <f>D881*D883</f>
        <v>200000</v>
      </c>
      <c r="E877" s="265"/>
      <c r="F877" s="265">
        <f>D877</f>
        <v>200000</v>
      </c>
      <c r="G877" s="266"/>
      <c r="H877" s="266"/>
      <c r="I877" s="266"/>
      <c r="J877" s="266"/>
      <c r="K877" s="266"/>
      <c r="L877" s="266"/>
      <c r="M877" s="266"/>
      <c r="N877" s="266"/>
      <c r="O877" s="266"/>
      <c r="P877" s="266"/>
      <c r="Q877" s="267"/>
    </row>
    <row r="878" spans="1:131" ht="11.25" hidden="1">
      <c r="A878" s="3" t="s">
        <v>2</v>
      </c>
      <c r="B878" s="4"/>
      <c r="C878" s="4"/>
      <c r="D878" s="136"/>
      <c r="E878" s="136"/>
      <c r="F878" s="136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1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  <c r="AF878" s="34"/>
      <c r="AG878" s="34"/>
      <c r="AH878" s="34"/>
      <c r="AI878" s="34"/>
      <c r="AJ878" s="34"/>
      <c r="AK878" s="34"/>
      <c r="AL878" s="34"/>
      <c r="AM878" s="34"/>
      <c r="AN878" s="34"/>
      <c r="AO878" s="34"/>
      <c r="AP878" s="34"/>
      <c r="AQ878" s="34"/>
      <c r="AR878" s="34"/>
      <c r="AS878" s="34"/>
      <c r="AT878" s="34"/>
      <c r="AU878" s="34"/>
      <c r="AV878" s="34"/>
      <c r="AW878" s="34"/>
      <c r="AX878" s="34"/>
      <c r="AY878" s="34"/>
      <c r="AZ878" s="34"/>
      <c r="BA878" s="34"/>
      <c r="BB878" s="34"/>
      <c r="BC878" s="34"/>
      <c r="BD878" s="34"/>
      <c r="BE878" s="34"/>
      <c r="BF878" s="34"/>
      <c r="BG878" s="34"/>
      <c r="BH878" s="34"/>
      <c r="BI878" s="34"/>
      <c r="BJ878" s="34"/>
      <c r="BK878" s="34"/>
      <c r="BL878" s="34"/>
      <c r="BM878" s="34"/>
      <c r="BN878" s="34"/>
      <c r="BO878" s="34"/>
      <c r="BP878" s="34"/>
      <c r="BQ878" s="34"/>
      <c r="BR878" s="34"/>
      <c r="BS878" s="34"/>
      <c r="BT878" s="34"/>
      <c r="BU878" s="34"/>
      <c r="BV878" s="34"/>
      <c r="BW878" s="34"/>
      <c r="BX878" s="34"/>
      <c r="BY878" s="34"/>
      <c r="BZ878" s="34"/>
      <c r="CA878" s="34"/>
      <c r="CB878" s="34"/>
      <c r="CC878" s="34"/>
      <c r="CD878" s="34"/>
      <c r="CE878" s="34"/>
      <c r="CF878" s="34"/>
      <c r="CG878" s="34"/>
      <c r="CH878" s="34"/>
      <c r="CI878" s="34"/>
      <c r="CJ878" s="34"/>
      <c r="CK878" s="34"/>
      <c r="CL878" s="34"/>
      <c r="CM878" s="34"/>
      <c r="CN878" s="34"/>
      <c r="CO878" s="34"/>
      <c r="CP878" s="34"/>
      <c r="CQ878" s="34"/>
      <c r="CR878" s="34"/>
      <c r="CS878" s="34"/>
      <c r="CT878" s="34"/>
      <c r="CU878" s="34"/>
      <c r="CV878" s="34"/>
      <c r="CW878" s="34"/>
      <c r="CX878" s="34"/>
      <c r="CY878" s="34"/>
      <c r="CZ878" s="34"/>
      <c r="DA878" s="34"/>
      <c r="DB878" s="34"/>
      <c r="DC878" s="34"/>
      <c r="DD878" s="34"/>
      <c r="DE878" s="34"/>
      <c r="DF878" s="34"/>
      <c r="DG878" s="34"/>
      <c r="DH878" s="34"/>
      <c r="DI878" s="34"/>
      <c r="DJ878" s="34"/>
      <c r="DK878" s="34"/>
      <c r="DL878" s="34"/>
      <c r="DM878" s="34"/>
      <c r="DN878" s="34"/>
      <c r="DO878" s="34"/>
      <c r="DP878" s="34"/>
      <c r="DQ878" s="34"/>
      <c r="DR878" s="34"/>
      <c r="DS878" s="34"/>
      <c r="DT878" s="34"/>
      <c r="DU878" s="34"/>
      <c r="DV878" s="34"/>
      <c r="DW878" s="34"/>
      <c r="DX878" s="34"/>
      <c r="DY878" s="34"/>
      <c r="DZ878" s="34"/>
      <c r="EA878" s="34"/>
    </row>
    <row r="879" spans="1:131" ht="22.5" hidden="1">
      <c r="A879" s="72" t="s">
        <v>86</v>
      </c>
      <c r="B879" s="73"/>
      <c r="C879" s="73"/>
      <c r="D879" s="136">
        <v>2</v>
      </c>
      <c r="E879" s="136"/>
      <c r="F879" s="136">
        <f>D879</f>
        <v>2</v>
      </c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1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  <c r="AF879" s="34"/>
      <c r="AG879" s="34"/>
      <c r="AH879" s="34"/>
      <c r="AI879" s="34"/>
      <c r="AJ879" s="34"/>
      <c r="AK879" s="34"/>
      <c r="AL879" s="34"/>
      <c r="AM879" s="34"/>
      <c r="AN879" s="34"/>
      <c r="AO879" s="34"/>
      <c r="AP879" s="34"/>
      <c r="AQ879" s="34"/>
      <c r="AR879" s="34"/>
      <c r="AS879" s="34"/>
      <c r="AT879" s="34"/>
      <c r="AU879" s="34"/>
      <c r="AV879" s="34"/>
      <c r="AW879" s="34"/>
      <c r="AX879" s="34"/>
      <c r="AY879" s="34"/>
      <c r="AZ879" s="34"/>
      <c r="BA879" s="34"/>
      <c r="BB879" s="34"/>
      <c r="BC879" s="34"/>
      <c r="BD879" s="34"/>
      <c r="BE879" s="34"/>
      <c r="BF879" s="34"/>
      <c r="BG879" s="34"/>
      <c r="BH879" s="34"/>
      <c r="BI879" s="34"/>
      <c r="BJ879" s="34"/>
      <c r="BK879" s="34"/>
      <c r="BL879" s="34"/>
      <c r="BM879" s="34"/>
      <c r="BN879" s="34"/>
      <c r="BO879" s="34"/>
      <c r="BP879" s="34"/>
      <c r="BQ879" s="34"/>
      <c r="BR879" s="34"/>
      <c r="BS879" s="34"/>
      <c r="BT879" s="34"/>
      <c r="BU879" s="34"/>
      <c r="BV879" s="34"/>
      <c r="BW879" s="34"/>
      <c r="BX879" s="34"/>
      <c r="BY879" s="34"/>
      <c r="BZ879" s="34"/>
      <c r="CA879" s="34"/>
      <c r="CB879" s="34"/>
      <c r="CC879" s="34"/>
      <c r="CD879" s="34"/>
      <c r="CE879" s="34"/>
      <c r="CF879" s="34"/>
      <c r="CG879" s="34"/>
      <c r="CH879" s="34"/>
      <c r="CI879" s="34"/>
      <c r="CJ879" s="34"/>
      <c r="CK879" s="34"/>
      <c r="CL879" s="34"/>
      <c r="CM879" s="34"/>
      <c r="CN879" s="34"/>
      <c r="CO879" s="34"/>
      <c r="CP879" s="34"/>
      <c r="CQ879" s="34"/>
      <c r="CR879" s="34"/>
      <c r="CS879" s="34"/>
      <c r="CT879" s="34"/>
      <c r="CU879" s="34"/>
      <c r="CV879" s="34"/>
      <c r="CW879" s="34"/>
      <c r="CX879" s="34"/>
      <c r="CY879" s="34"/>
      <c r="CZ879" s="34"/>
      <c r="DA879" s="34"/>
      <c r="DB879" s="34"/>
      <c r="DC879" s="34"/>
      <c r="DD879" s="34"/>
      <c r="DE879" s="34"/>
      <c r="DF879" s="34"/>
      <c r="DG879" s="34"/>
      <c r="DH879" s="34"/>
      <c r="DI879" s="34"/>
      <c r="DJ879" s="34"/>
      <c r="DK879" s="34"/>
      <c r="DL879" s="34"/>
      <c r="DM879" s="34"/>
      <c r="DN879" s="34"/>
      <c r="DO879" s="34"/>
      <c r="DP879" s="34"/>
      <c r="DQ879" s="34"/>
      <c r="DR879" s="34"/>
      <c r="DS879" s="34"/>
      <c r="DT879" s="34"/>
      <c r="DU879" s="34"/>
      <c r="DV879" s="34"/>
      <c r="DW879" s="34"/>
      <c r="DX879" s="34"/>
      <c r="DY879" s="34"/>
      <c r="DZ879" s="34"/>
      <c r="EA879" s="34"/>
    </row>
    <row r="880" spans="1:131" ht="11.25" hidden="1">
      <c r="A880" s="165" t="s">
        <v>3</v>
      </c>
      <c r="B880" s="73"/>
      <c r="C880" s="73"/>
      <c r="D880" s="136"/>
      <c r="E880" s="136"/>
      <c r="F880" s="136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1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  <c r="AF880" s="34"/>
      <c r="AG880" s="34"/>
      <c r="AH880" s="34"/>
      <c r="AI880" s="34"/>
      <c r="AJ880" s="34"/>
      <c r="AK880" s="34"/>
      <c r="AL880" s="34"/>
      <c r="AM880" s="34"/>
      <c r="AN880" s="34"/>
      <c r="AO880" s="34"/>
      <c r="AP880" s="34"/>
      <c r="AQ880" s="34"/>
      <c r="AR880" s="34"/>
      <c r="AS880" s="34"/>
      <c r="AT880" s="34"/>
      <c r="AU880" s="34"/>
      <c r="AV880" s="34"/>
      <c r="AW880" s="34"/>
      <c r="AX880" s="34"/>
      <c r="AY880" s="34"/>
      <c r="AZ880" s="34"/>
      <c r="BA880" s="34"/>
      <c r="BB880" s="34"/>
      <c r="BC880" s="34"/>
      <c r="BD880" s="34"/>
      <c r="BE880" s="34"/>
      <c r="BF880" s="34"/>
      <c r="BG880" s="34"/>
      <c r="BH880" s="34"/>
      <c r="BI880" s="34"/>
      <c r="BJ880" s="34"/>
      <c r="BK880" s="34"/>
      <c r="BL880" s="34"/>
      <c r="BM880" s="34"/>
      <c r="BN880" s="34"/>
      <c r="BO880" s="34"/>
      <c r="BP880" s="34"/>
      <c r="BQ880" s="34"/>
      <c r="BR880" s="34"/>
      <c r="BS880" s="34"/>
      <c r="BT880" s="34"/>
      <c r="BU880" s="34"/>
      <c r="BV880" s="34"/>
      <c r="BW880" s="34"/>
      <c r="BX880" s="34"/>
      <c r="BY880" s="34"/>
      <c r="BZ880" s="34"/>
      <c r="CA880" s="34"/>
      <c r="CB880" s="34"/>
      <c r="CC880" s="34"/>
      <c r="CD880" s="34"/>
      <c r="CE880" s="34"/>
      <c r="CF880" s="34"/>
      <c r="CG880" s="34"/>
      <c r="CH880" s="34"/>
      <c r="CI880" s="34"/>
      <c r="CJ880" s="34"/>
      <c r="CK880" s="34"/>
      <c r="CL880" s="34"/>
      <c r="CM880" s="34"/>
      <c r="CN880" s="34"/>
      <c r="CO880" s="34"/>
      <c r="CP880" s="34"/>
      <c r="CQ880" s="34"/>
      <c r="CR880" s="34"/>
      <c r="CS880" s="34"/>
      <c r="CT880" s="34"/>
      <c r="CU880" s="34"/>
      <c r="CV880" s="34"/>
      <c r="CW880" s="34"/>
      <c r="CX880" s="34"/>
      <c r="CY880" s="34"/>
      <c r="CZ880" s="34"/>
      <c r="DA880" s="34"/>
      <c r="DB880" s="34"/>
      <c r="DC880" s="34"/>
      <c r="DD880" s="34"/>
      <c r="DE880" s="34"/>
      <c r="DF880" s="34"/>
      <c r="DG880" s="34"/>
      <c r="DH880" s="34"/>
      <c r="DI880" s="34"/>
      <c r="DJ880" s="34"/>
      <c r="DK880" s="34"/>
      <c r="DL880" s="34"/>
      <c r="DM880" s="34"/>
      <c r="DN880" s="34"/>
      <c r="DO880" s="34"/>
      <c r="DP880" s="34"/>
      <c r="DQ880" s="34"/>
      <c r="DR880" s="34"/>
      <c r="DS880" s="34"/>
      <c r="DT880" s="34"/>
      <c r="DU880" s="34"/>
      <c r="DV880" s="34"/>
      <c r="DW880" s="34"/>
      <c r="DX880" s="34"/>
      <c r="DY880" s="34"/>
      <c r="DZ880" s="34"/>
      <c r="EA880" s="34"/>
    </row>
    <row r="881" spans="1:131" ht="22.5" hidden="1">
      <c r="A881" s="72" t="s">
        <v>252</v>
      </c>
      <c r="B881" s="73"/>
      <c r="C881" s="73"/>
      <c r="D881" s="136">
        <v>2</v>
      </c>
      <c r="E881" s="136"/>
      <c r="F881" s="136">
        <f>D881</f>
        <v>2</v>
      </c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1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  <c r="AD881" s="34"/>
      <c r="AE881" s="34"/>
      <c r="AF881" s="34"/>
      <c r="AG881" s="34"/>
      <c r="AH881" s="34"/>
      <c r="AI881" s="34"/>
      <c r="AJ881" s="34"/>
      <c r="AK881" s="34"/>
      <c r="AL881" s="34"/>
      <c r="AM881" s="34"/>
      <c r="AN881" s="34"/>
      <c r="AO881" s="34"/>
      <c r="AP881" s="34"/>
      <c r="AQ881" s="34"/>
      <c r="AR881" s="34"/>
      <c r="AS881" s="34"/>
      <c r="AT881" s="34"/>
      <c r="AU881" s="34"/>
      <c r="AV881" s="34"/>
      <c r="AW881" s="34"/>
      <c r="AX881" s="34"/>
      <c r="AY881" s="34"/>
      <c r="AZ881" s="34"/>
      <c r="BA881" s="34"/>
      <c r="BB881" s="34"/>
      <c r="BC881" s="34"/>
      <c r="BD881" s="34"/>
      <c r="BE881" s="34"/>
      <c r="BF881" s="34"/>
      <c r="BG881" s="34"/>
      <c r="BH881" s="34"/>
      <c r="BI881" s="34"/>
      <c r="BJ881" s="34"/>
      <c r="BK881" s="34"/>
      <c r="BL881" s="34"/>
      <c r="BM881" s="34"/>
      <c r="BN881" s="34"/>
      <c r="BO881" s="34"/>
      <c r="BP881" s="34"/>
      <c r="BQ881" s="34"/>
      <c r="BR881" s="34"/>
      <c r="BS881" s="34"/>
      <c r="BT881" s="34"/>
      <c r="BU881" s="34"/>
      <c r="BV881" s="34"/>
      <c r="BW881" s="34"/>
      <c r="BX881" s="34"/>
      <c r="BY881" s="34"/>
      <c r="BZ881" s="34"/>
      <c r="CA881" s="34"/>
      <c r="CB881" s="34"/>
      <c r="CC881" s="34"/>
      <c r="CD881" s="34"/>
      <c r="CE881" s="34"/>
      <c r="CF881" s="34"/>
      <c r="CG881" s="34"/>
      <c r="CH881" s="34"/>
      <c r="CI881" s="34"/>
      <c r="CJ881" s="34"/>
      <c r="CK881" s="34"/>
      <c r="CL881" s="34"/>
      <c r="CM881" s="34"/>
      <c r="CN881" s="34"/>
      <c r="CO881" s="34"/>
      <c r="CP881" s="34"/>
      <c r="CQ881" s="34"/>
      <c r="CR881" s="34"/>
      <c r="CS881" s="34"/>
      <c r="CT881" s="34"/>
      <c r="CU881" s="34"/>
      <c r="CV881" s="34"/>
      <c r="CW881" s="34"/>
      <c r="CX881" s="34"/>
      <c r="CY881" s="34"/>
      <c r="CZ881" s="34"/>
      <c r="DA881" s="34"/>
      <c r="DB881" s="34"/>
      <c r="DC881" s="34"/>
      <c r="DD881" s="34"/>
      <c r="DE881" s="34"/>
      <c r="DF881" s="34"/>
      <c r="DG881" s="34"/>
      <c r="DH881" s="34"/>
      <c r="DI881" s="34"/>
      <c r="DJ881" s="34"/>
      <c r="DK881" s="34"/>
      <c r="DL881" s="34"/>
      <c r="DM881" s="34"/>
      <c r="DN881" s="34"/>
      <c r="DO881" s="34"/>
      <c r="DP881" s="34"/>
      <c r="DQ881" s="34"/>
      <c r="DR881" s="34"/>
      <c r="DS881" s="34"/>
      <c r="DT881" s="34"/>
      <c r="DU881" s="34"/>
      <c r="DV881" s="34"/>
      <c r="DW881" s="34"/>
      <c r="DX881" s="34"/>
      <c r="DY881" s="34"/>
      <c r="DZ881" s="34"/>
      <c r="EA881" s="34"/>
    </row>
    <row r="882" spans="1:131" ht="11.25" hidden="1">
      <c r="A882" s="165" t="s">
        <v>5</v>
      </c>
      <c r="B882" s="73"/>
      <c r="C882" s="73"/>
      <c r="D882" s="136"/>
      <c r="E882" s="136"/>
      <c r="F882" s="136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1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F882" s="34"/>
      <c r="AG882" s="34"/>
      <c r="AH882" s="34"/>
      <c r="AI882" s="34"/>
      <c r="AJ882" s="34"/>
      <c r="AK882" s="34"/>
      <c r="AL882" s="34"/>
      <c r="AM882" s="34"/>
      <c r="AN882" s="34"/>
      <c r="AO882" s="34"/>
      <c r="AP882" s="34"/>
      <c r="AQ882" s="34"/>
      <c r="AR882" s="34"/>
      <c r="AS882" s="34"/>
      <c r="AT882" s="34"/>
      <c r="AU882" s="34"/>
      <c r="AV882" s="34"/>
      <c r="AW882" s="34"/>
      <c r="AX882" s="34"/>
      <c r="AY882" s="34"/>
      <c r="AZ882" s="34"/>
      <c r="BA882" s="34"/>
      <c r="BB882" s="34"/>
      <c r="BC882" s="34"/>
      <c r="BD882" s="34"/>
      <c r="BE882" s="34"/>
      <c r="BF882" s="34"/>
      <c r="BG882" s="34"/>
      <c r="BH882" s="34"/>
      <c r="BI882" s="34"/>
      <c r="BJ882" s="34"/>
      <c r="BK882" s="34"/>
      <c r="BL882" s="34"/>
      <c r="BM882" s="34"/>
      <c r="BN882" s="34"/>
      <c r="BO882" s="34"/>
      <c r="BP882" s="34"/>
      <c r="BQ882" s="34"/>
      <c r="BR882" s="34"/>
      <c r="BS882" s="34"/>
      <c r="BT882" s="34"/>
      <c r="BU882" s="34"/>
      <c r="BV882" s="34"/>
      <c r="BW882" s="34"/>
      <c r="BX882" s="34"/>
      <c r="BY882" s="34"/>
      <c r="BZ882" s="34"/>
      <c r="CA882" s="34"/>
      <c r="CB882" s="34"/>
      <c r="CC882" s="34"/>
      <c r="CD882" s="34"/>
      <c r="CE882" s="34"/>
      <c r="CF882" s="34"/>
      <c r="CG882" s="34"/>
      <c r="CH882" s="34"/>
      <c r="CI882" s="34"/>
      <c r="CJ882" s="34"/>
      <c r="CK882" s="34"/>
      <c r="CL882" s="34"/>
      <c r="CM882" s="34"/>
      <c r="CN882" s="34"/>
      <c r="CO882" s="34"/>
      <c r="CP882" s="34"/>
      <c r="CQ882" s="34"/>
      <c r="CR882" s="34"/>
      <c r="CS882" s="34"/>
      <c r="CT882" s="34"/>
      <c r="CU882" s="34"/>
      <c r="CV882" s="34"/>
      <c r="CW882" s="34"/>
      <c r="CX882" s="34"/>
      <c r="CY882" s="34"/>
      <c r="CZ882" s="34"/>
      <c r="DA882" s="34"/>
      <c r="DB882" s="34"/>
      <c r="DC882" s="34"/>
      <c r="DD882" s="34"/>
      <c r="DE882" s="34"/>
      <c r="DF882" s="34"/>
      <c r="DG882" s="34"/>
      <c r="DH882" s="34"/>
      <c r="DI882" s="34"/>
      <c r="DJ882" s="34"/>
      <c r="DK882" s="34"/>
      <c r="DL882" s="34"/>
      <c r="DM882" s="34"/>
      <c r="DN882" s="34"/>
      <c r="DO882" s="34"/>
      <c r="DP882" s="34"/>
      <c r="DQ882" s="34"/>
      <c r="DR882" s="34"/>
      <c r="DS882" s="34"/>
      <c r="DT882" s="34"/>
      <c r="DU882" s="34"/>
      <c r="DV882" s="34"/>
      <c r="DW882" s="34"/>
      <c r="DX882" s="34"/>
      <c r="DY882" s="34"/>
      <c r="DZ882" s="34"/>
      <c r="EA882" s="34"/>
    </row>
    <row r="883" spans="1:131" ht="22.5" hidden="1">
      <c r="A883" s="72" t="s">
        <v>88</v>
      </c>
      <c r="B883" s="73"/>
      <c r="C883" s="73"/>
      <c r="D883" s="136">
        <v>100000</v>
      </c>
      <c r="E883" s="136"/>
      <c r="F883" s="136">
        <f>D883</f>
        <v>100000</v>
      </c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1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  <c r="AF883" s="34"/>
      <c r="AG883" s="34"/>
      <c r="AH883" s="34"/>
      <c r="AI883" s="34"/>
      <c r="AJ883" s="34"/>
      <c r="AK883" s="34"/>
      <c r="AL883" s="34"/>
      <c r="AM883" s="34"/>
      <c r="AN883" s="34"/>
      <c r="AO883" s="34"/>
      <c r="AP883" s="34"/>
      <c r="AQ883" s="34"/>
      <c r="AR883" s="34"/>
      <c r="AS883" s="34"/>
      <c r="AT883" s="34"/>
      <c r="AU883" s="34"/>
      <c r="AV883" s="34"/>
      <c r="AW883" s="34"/>
      <c r="AX883" s="34"/>
      <c r="AY883" s="34"/>
      <c r="AZ883" s="34"/>
      <c r="BA883" s="34"/>
      <c r="BB883" s="34"/>
      <c r="BC883" s="34"/>
      <c r="BD883" s="34"/>
      <c r="BE883" s="34"/>
      <c r="BF883" s="34"/>
      <c r="BG883" s="34"/>
      <c r="BH883" s="34"/>
      <c r="BI883" s="34"/>
      <c r="BJ883" s="34"/>
      <c r="BK883" s="34"/>
      <c r="BL883" s="34"/>
      <c r="BM883" s="34"/>
      <c r="BN883" s="34"/>
      <c r="BO883" s="34"/>
      <c r="BP883" s="34"/>
      <c r="BQ883" s="34"/>
      <c r="BR883" s="34"/>
      <c r="BS883" s="34"/>
      <c r="BT883" s="34"/>
      <c r="BU883" s="34"/>
      <c r="BV883" s="34"/>
      <c r="BW883" s="34"/>
      <c r="BX883" s="34"/>
      <c r="BY883" s="34"/>
      <c r="BZ883" s="34"/>
      <c r="CA883" s="34"/>
      <c r="CB883" s="34"/>
      <c r="CC883" s="34"/>
      <c r="CD883" s="34"/>
      <c r="CE883" s="34"/>
      <c r="CF883" s="34"/>
      <c r="CG883" s="34"/>
      <c r="CH883" s="34"/>
      <c r="CI883" s="34"/>
      <c r="CJ883" s="34"/>
      <c r="CK883" s="34"/>
      <c r="CL883" s="34"/>
      <c r="CM883" s="34"/>
      <c r="CN883" s="34"/>
      <c r="CO883" s="34"/>
      <c r="CP883" s="34"/>
      <c r="CQ883" s="34"/>
      <c r="CR883" s="34"/>
      <c r="CS883" s="34"/>
      <c r="CT883" s="34"/>
      <c r="CU883" s="34"/>
      <c r="CV883" s="34"/>
      <c r="CW883" s="34"/>
      <c r="CX883" s="34"/>
      <c r="CY883" s="34"/>
      <c r="CZ883" s="34"/>
      <c r="DA883" s="34"/>
      <c r="DB883" s="34"/>
      <c r="DC883" s="34"/>
      <c r="DD883" s="34"/>
      <c r="DE883" s="34"/>
      <c r="DF883" s="34"/>
      <c r="DG883" s="34"/>
      <c r="DH883" s="34"/>
      <c r="DI883" s="34"/>
      <c r="DJ883" s="34"/>
      <c r="DK883" s="34"/>
      <c r="DL883" s="34"/>
      <c r="DM883" s="34"/>
      <c r="DN883" s="34"/>
      <c r="DO883" s="34"/>
      <c r="DP883" s="34"/>
      <c r="DQ883" s="34"/>
      <c r="DR883" s="34"/>
      <c r="DS883" s="34"/>
      <c r="DT883" s="34"/>
      <c r="DU883" s="34"/>
      <c r="DV883" s="34"/>
      <c r="DW883" s="34"/>
      <c r="DX883" s="34"/>
      <c r="DY883" s="34"/>
      <c r="DZ883" s="34"/>
      <c r="EA883" s="34"/>
    </row>
    <row r="884" spans="1:131" ht="11.25" hidden="1">
      <c r="A884" s="72"/>
      <c r="B884" s="73"/>
      <c r="C884" s="73"/>
      <c r="D884" s="136"/>
      <c r="E884" s="136"/>
      <c r="F884" s="136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1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  <c r="AD884" s="34"/>
      <c r="AE884" s="34"/>
      <c r="AF884" s="34"/>
      <c r="AG884" s="34"/>
      <c r="AH884" s="34"/>
      <c r="AI884" s="34"/>
      <c r="AJ884" s="34"/>
      <c r="AK884" s="34"/>
      <c r="AL884" s="34"/>
      <c r="AM884" s="34"/>
      <c r="AN884" s="34"/>
      <c r="AO884" s="34"/>
      <c r="AP884" s="34"/>
      <c r="AQ884" s="34"/>
      <c r="AR884" s="34"/>
      <c r="AS884" s="34"/>
      <c r="AT884" s="34"/>
      <c r="AU884" s="34"/>
      <c r="AV884" s="34"/>
      <c r="AW884" s="34"/>
      <c r="AX884" s="34"/>
      <c r="AY884" s="34"/>
      <c r="AZ884" s="34"/>
      <c r="BA884" s="34"/>
      <c r="BB884" s="34"/>
      <c r="BC884" s="34"/>
      <c r="BD884" s="34"/>
      <c r="BE884" s="34"/>
      <c r="BF884" s="34"/>
      <c r="BG884" s="34"/>
      <c r="BH884" s="34"/>
      <c r="BI884" s="34"/>
      <c r="BJ884" s="34"/>
      <c r="BK884" s="34"/>
      <c r="BL884" s="34"/>
      <c r="BM884" s="34"/>
      <c r="BN884" s="34"/>
      <c r="BO884" s="34"/>
      <c r="BP884" s="34"/>
      <c r="BQ884" s="34"/>
      <c r="BR884" s="34"/>
      <c r="BS884" s="34"/>
      <c r="BT884" s="34"/>
      <c r="BU884" s="34"/>
      <c r="BV884" s="34"/>
      <c r="BW884" s="34"/>
      <c r="BX884" s="34"/>
      <c r="BY884" s="34"/>
      <c r="BZ884" s="34"/>
      <c r="CA884" s="34"/>
      <c r="CB884" s="34"/>
      <c r="CC884" s="34"/>
      <c r="CD884" s="34"/>
      <c r="CE884" s="34"/>
      <c r="CF884" s="34"/>
      <c r="CG884" s="34"/>
      <c r="CH884" s="34"/>
      <c r="CI884" s="34"/>
      <c r="CJ884" s="34"/>
      <c r="CK884" s="34"/>
      <c r="CL884" s="34"/>
      <c r="CM884" s="34"/>
      <c r="CN884" s="34"/>
      <c r="CO884" s="34"/>
      <c r="CP884" s="34"/>
      <c r="CQ884" s="34"/>
      <c r="CR884" s="34"/>
      <c r="CS884" s="34"/>
      <c r="CT884" s="34"/>
      <c r="CU884" s="34"/>
      <c r="CV884" s="34"/>
      <c r="CW884" s="34"/>
      <c r="CX884" s="34"/>
      <c r="CY884" s="34"/>
      <c r="CZ884" s="34"/>
      <c r="DA884" s="34"/>
      <c r="DB884" s="34"/>
      <c r="DC884" s="34"/>
      <c r="DD884" s="34"/>
      <c r="DE884" s="34"/>
      <c r="DF884" s="34"/>
      <c r="DG884" s="34"/>
      <c r="DH884" s="34"/>
      <c r="DI884" s="34"/>
      <c r="DJ884" s="34"/>
      <c r="DK884" s="34"/>
      <c r="DL884" s="34"/>
      <c r="DM884" s="34"/>
      <c r="DN884" s="34"/>
      <c r="DO884" s="34"/>
      <c r="DP884" s="34"/>
      <c r="DQ884" s="34"/>
      <c r="DR884" s="34"/>
      <c r="DS884" s="34"/>
      <c r="DT884" s="34"/>
      <c r="DU884" s="34"/>
      <c r="DV884" s="34"/>
      <c r="DW884" s="34"/>
      <c r="DX884" s="34"/>
      <c r="DY884" s="34"/>
      <c r="DZ884" s="34"/>
      <c r="EA884" s="34"/>
    </row>
    <row r="885" spans="1:17" s="203" customFormat="1" ht="33.75" customHeight="1" hidden="1">
      <c r="A885" s="200" t="s">
        <v>135</v>
      </c>
      <c r="B885" s="231"/>
      <c r="C885" s="231"/>
      <c r="D885" s="201">
        <f>D887</f>
        <v>0</v>
      </c>
      <c r="E885" s="201">
        <f>E887</f>
        <v>5619530</v>
      </c>
      <c r="F885" s="201">
        <f aca="true" t="shared" si="49" ref="F885:P885">F887</f>
        <v>5619530</v>
      </c>
      <c r="G885" s="201">
        <f t="shared" si="49"/>
        <v>0</v>
      </c>
      <c r="H885" s="201">
        <f t="shared" si="49"/>
        <v>0</v>
      </c>
      <c r="I885" s="201">
        <f t="shared" si="49"/>
        <v>0</v>
      </c>
      <c r="J885" s="201">
        <f t="shared" si="49"/>
        <v>0</v>
      </c>
      <c r="K885" s="201">
        <f t="shared" si="49"/>
        <v>0</v>
      </c>
      <c r="L885" s="201">
        <f t="shared" si="49"/>
        <v>0</v>
      </c>
      <c r="M885" s="201">
        <f t="shared" si="49"/>
        <v>0</v>
      </c>
      <c r="N885" s="201">
        <f t="shared" si="49"/>
        <v>0</v>
      </c>
      <c r="O885" s="201">
        <f t="shared" si="49"/>
        <v>0</v>
      </c>
      <c r="P885" s="201">
        <f t="shared" si="49"/>
        <v>0</v>
      </c>
      <c r="Q885" s="233"/>
    </row>
    <row r="886" spans="1:131" ht="22.5" hidden="1">
      <c r="A886" s="6" t="s">
        <v>90</v>
      </c>
      <c r="B886" s="4"/>
      <c r="C886" s="4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1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  <c r="AF886" s="34"/>
      <c r="AG886" s="34"/>
      <c r="AH886" s="34"/>
      <c r="AI886" s="34"/>
      <c r="AJ886" s="34"/>
      <c r="AK886" s="34"/>
      <c r="AL886" s="34"/>
      <c r="AM886" s="34"/>
      <c r="AN886" s="34"/>
      <c r="AO886" s="34"/>
      <c r="AP886" s="34"/>
      <c r="AQ886" s="34"/>
      <c r="AR886" s="34"/>
      <c r="AS886" s="34"/>
      <c r="AT886" s="34"/>
      <c r="AU886" s="34"/>
      <c r="AV886" s="34"/>
      <c r="AW886" s="34"/>
      <c r="AX886" s="34"/>
      <c r="AY886" s="34"/>
      <c r="AZ886" s="34"/>
      <c r="BA886" s="34"/>
      <c r="BB886" s="34"/>
      <c r="BC886" s="34"/>
      <c r="BD886" s="34"/>
      <c r="BE886" s="34"/>
      <c r="BF886" s="34"/>
      <c r="BG886" s="34"/>
      <c r="BH886" s="34"/>
      <c r="BI886" s="34"/>
      <c r="BJ886" s="34"/>
      <c r="BK886" s="34"/>
      <c r="BL886" s="34"/>
      <c r="BM886" s="34"/>
      <c r="BN886" s="34"/>
      <c r="BO886" s="34"/>
      <c r="BP886" s="34"/>
      <c r="BQ886" s="34"/>
      <c r="BR886" s="34"/>
      <c r="BS886" s="34"/>
      <c r="BT886" s="34"/>
      <c r="BU886" s="34"/>
      <c r="BV886" s="34"/>
      <c r="BW886" s="34"/>
      <c r="BX886" s="34"/>
      <c r="BY886" s="34"/>
      <c r="BZ886" s="34"/>
      <c r="CA886" s="34"/>
      <c r="CB886" s="34"/>
      <c r="CC886" s="34"/>
      <c r="CD886" s="34"/>
      <c r="CE886" s="34"/>
      <c r="CF886" s="34"/>
      <c r="CG886" s="34"/>
      <c r="CH886" s="34"/>
      <c r="CI886" s="34"/>
      <c r="CJ886" s="34"/>
      <c r="CK886" s="34"/>
      <c r="CL886" s="34"/>
      <c r="CM886" s="34"/>
      <c r="CN886" s="34"/>
      <c r="CO886" s="34"/>
      <c r="CP886" s="34"/>
      <c r="CQ886" s="34"/>
      <c r="CR886" s="34"/>
      <c r="CS886" s="34"/>
      <c r="CT886" s="34"/>
      <c r="CU886" s="34"/>
      <c r="CV886" s="34"/>
      <c r="CW886" s="34"/>
      <c r="CX886" s="34"/>
      <c r="CY886" s="34"/>
      <c r="CZ886" s="34"/>
      <c r="DA886" s="34"/>
      <c r="DB886" s="34"/>
      <c r="DC886" s="34"/>
      <c r="DD886" s="34"/>
      <c r="DE886" s="34"/>
      <c r="DF886" s="34"/>
      <c r="DG886" s="34"/>
      <c r="DH886" s="34"/>
      <c r="DI886" s="34"/>
      <c r="DJ886" s="34"/>
      <c r="DK886" s="34"/>
      <c r="DL886" s="34"/>
      <c r="DM886" s="34"/>
      <c r="DN886" s="34"/>
      <c r="DO886" s="34"/>
      <c r="DP886" s="34"/>
      <c r="DQ886" s="34"/>
      <c r="DR886" s="34"/>
      <c r="DS886" s="34"/>
      <c r="DT886" s="34"/>
      <c r="DU886" s="34"/>
      <c r="DV886" s="34"/>
      <c r="DW886" s="34"/>
      <c r="DX886" s="34"/>
      <c r="DY886" s="34"/>
      <c r="DZ886" s="34"/>
      <c r="EA886" s="34"/>
    </row>
    <row r="887" spans="1:17" s="197" customFormat="1" ht="38.25" hidden="1">
      <c r="A887" s="194" t="s">
        <v>495</v>
      </c>
      <c r="B887" s="195"/>
      <c r="C887" s="195"/>
      <c r="D887" s="193"/>
      <c r="E887" s="193">
        <f>E889</f>
        <v>5619530</v>
      </c>
      <c r="F887" s="193">
        <f>D887+E887</f>
        <v>5619530</v>
      </c>
      <c r="G887" s="193"/>
      <c r="H887" s="193">
        <f>H891*H893</f>
        <v>0</v>
      </c>
      <c r="I887" s="193">
        <f>I889</f>
        <v>0</v>
      </c>
      <c r="J887" s="193">
        <f>H887+I887</f>
        <v>0</v>
      </c>
      <c r="K887" s="193"/>
      <c r="L887" s="193"/>
      <c r="M887" s="193"/>
      <c r="N887" s="193"/>
      <c r="O887" s="193">
        <f>O891*O893</f>
        <v>0</v>
      </c>
      <c r="P887" s="193">
        <f>O887</f>
        <v>0</v>
      </c>
      <c r="Q887" s="234"/>
    </row>
    <row r="888" spans="1:131" ht="11.25" hidden="1">
      <c r="A888" s="3" t="s">
        <v>2</v>
      </c>
      <c r="B888" s="4"/>
      <c r="C888" s="4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1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F888" s="34"/>
      <c r="AG888" s="34"/>
      <c r="AH888" s="34"/>
      <c r="AI888" s="34"/>
      <c r="AJ888" s="34"/>
      <c r="AK888" s="34"/>
      <c r="AL888" s="34"/>
      <c r="AM888" s="34"/>
      <c r="AN888" s="34"/>
      <c r="AO888" s="34"/>
      <c r="AP888" s="34"/>
      <c r="AQ888" s="34"/>
      <c r="AR888" s="34"/>
      <c r="AS888" s="34"/>
      <c r="AT888" s="34"/>
      <c r="AU888" s="34"/>
      <c r="AV888" s="34"/>
      <c r="AW888" s="34"/>
      <c r="AX888" s="34"/>
      <c r="AY888" s="34"/>
      <c r="AZ888" s="34"/>
      <c r="BA888" s="34"/>
      <c r="BB888" s="34"/>
      <c r="BC888" s="34"/>
      <c r="BD888" s="34"/>
      <c r="BE888" s="34"/>
      <c r="BF888" s="34"/>
      <c r="BG888" s="34"/>
      <c r="BH888" s="34"/>
      <c r="BI888" s="34"/>
      <c r="BJ888" s="34"/>
      <c r="BK888" s="34"/>
      <c r="BL888" s="34"/>
      <c r="BM888" s="34"/>
      <c r="BN888" s="34"/>
      <c r="BO888" s="34"/>
      <c r="BP888" s="34"/>
      <c r="BQ888" s="34"/>
      <c r="BR888" s="34"/>
      <c r="BS888" s="34"/>
      <c r="BT888" s="34"/>
      <c r="BU888" s="34"/>
      <c r="BV888" s="34"/>
      <c r="BW888" s="34"/>
      <c r="BX888" s="34"/>
      <c r="BY888" s="34"/>
      <c r="BZ888" s="34"/>
      <c r="CA888" s="34"/>
      <c r="CB888" s="34"/>
      <c r="CC888" s="34"/>
      <c r="CD888" s="34"/>
      <c r="CE888" s="34"/>
      <c r="CF888" s="34"/>
      <c r="CG888" s="34"/>
      <c r="CH888" s="34"/>
      <c r="CI888" s="34"/>
      <c r="CJ888" s="34"/>
      <c r="CK888" s="34"/>
      <c r="CL888" s="34"/>
      <c r="CM888" s="34"/>
      <c r="CN888" s="34"/>
      <c r="CO888" s="34"/>
      <c r="CP888" s="34"/>
      <c r="CQ888" s="34"/>
      <c r="CR888" s="34"/>
      <c r="CS888" s="34"/>
      <c r="CT888" s="34"/>
      <c r="CU888" s="34"/>
      <c r="CV888" s="34"/>
      <c r="CW888" s="34"/>
      <c r="CX888" s="34"/>
      <c r="CY888" s="34"/>
      <c r="CZ888" s="34"/>
      <c r="DA888" s="34"/>
      <c r="DB888" s="34"/>
      <c r="DC888" s="34"/>
      <c r="DD888" s="34"/>
      <c r="DE888" s="34"/>
      <c r="DF888" s="34"/>
      <c r="DG888" s="34"/>
      <c r="DH888" s="34"/>
      <c r="DI888" s="34"/>
      <c r="DJ888" s="34"/>
      <c r="DK888" s="34"/>
      <c r="DL888" s="34"/>
      <c r="DM888" s="34"/>
      <c r="DN888" s="34"/>
      <c r="DO888" s="34"/>
      <c r="DP888" s="34"/>
      <c r="DQ888" s="34"/>
      <c r="DR888" s="34"/>
      <c r="DS888" s="34"/>
      <c r="DT888" s="34"/>
      <c r="DU888" s="34"/>
      <c r="DV888" s="34"/>
      <c r="DW888" s="34"/>
      <c r="DX888" s="34"/>
      <c r="DY888" s="34"/>
      <c r="DZ888" s="34"/>
      <c r="EA888" s="34"/>
    </row>
    <row r="889" spans="1:131" ht="11.25" hidden="1">
      <c r="A889" s="6" t="s">
        <v>23</v>
      </c>
      <c r="B889" s="4"/>
      <c r="C889" s="4"/>
      <c r="D889" s="5"/>
      <c r="E889" s="5">
        <f>20042050-14427520+5000</f>
        <v>5619530</v>
      </c>
      <c r="F889" s="5">
        <f>D889+E889</f>
        <v>5619530</v>
      </c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1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F889" s="34"/>
      <c r="AG889" s="34"/>
      <c r="AH889" s="34"/>
      <c r="AI889" s="34"/>
      <c r="AJ889" s="34"/>
      <c r="AK889" s="34"/>
      <c r="AL889" s="34"/>
      <c r="AM889" s="34"/>
      <c r="AN889" s="34"/>
      <c r="AO889" s="34"/>
      <c r="AP889" s="34"/>
      <c r="AQ889" s="34"/>
      <c r="AR889" s="34"/>
      <c r="AS889" s="34"/>
      <c r="AT889" s="34"/>
      <c r="AU889" s="34"/>
      <c r="AV889" s="34"/>
      <c r="AW889" s="34"/>
      <c r="AX889" s="34"/>
      <c r="AY889" s="34"/>
      <c r="AZ889" s="34"/>
      <c r="BA889" s="34"/>
      <c r="BB889" s="34"/>
      <c r="BC889" s="34"/>
      <c r="BD889" s="34"/>
      <c r="BE889" s="34"/>
      <c r="BF889" s="34"/>
      <c r="BG889" s="34"/>
      <c r="BH889" s="34"/>
      <c r="BI889" s="34"/>
      <c r="BJ889" s="34"/>
      <c r="BK889" s="34"/>
      <c r="BL889" s="34"/>
      <c r="BM889" s="34"/>
      <c r="BN889" s="34"/>
      <c r="BO889" s="34"/>
      <c r="BP889" s="34"/>
      <c r="BQ889" s="34"/>
      <c r="BR889" s="34"/>
      <c r="BS889" s="34"/>
      <c r="BT889" s="34"/>
      <c r="BU889" s="34"/>
      <c r="BV889" s="34"/>
      <c r="BW889" s="34"/>
      <c r="BX889" s="34"/>
      <c r="BY889" s="34"/>
      <c r="BZ889" s="34"/>
      <c r="CA889" s="34"/>
      <c r="CB889" s="34"/>
      <c r="CC889" s="34"/>
      <c r="CD889" s="34"/>
      <c r="CE889" s="34"/>
      <c r="CF889" s="34"/>
      <c r="CG889" s="34"/>
      <c r="CH889" s="34"/>
      <c r="CI889" s="34"/>
      <c r="CJ889" s="34"/>
      <c r="CK889" s="34"/>
      <c r="CL889" s="34"/>
      <c r="CM889" s="34"/>
      <c r="CN889" s="34"/>
      <c r="CO889" s="34"/>
      <c r="CP889" s="34"/>
      <c r="CQ889" s="34"/>
      <c r="CR889" s="34"/>
      <c r="CS889" s="34"/>
      <c r="CT889" s="34"/>
      <c r="CU889" s="34"/>
      <c r="CV889" s="34"/>
      <c r="CW889" s="34"/>
      <c r="CX889" s="34"/>
      <c r="CY889" s="34"/>
      <c r="CZ889" s="34"/>
      <c r="DA889" s="34"/>
      <c r="DB889" s="34"/>
      <c r="DC889" s="34"/>
      <c r="DD889" s="34"/>
      <c r="DE889" s="34"/>
      <c r="DF889" s="34"/>
      <c r="DG889" s="34"/>
      <c r="DH889" s="34"/>
      <c r="DI889" s="34"/>
      <c r="DJ889" s="34"/>
      <c r="DK889" s="34"/>
      <c r="DL889" s="34"/>
      <c r="DM889" s="34"/>
      <c r="DN889" s="34"/>
      <c r="DO889" s="34"/>
      <c r="DP889" s="34"/>
      <c r="DQ889" s="34"/>
      <c r="DR889" s="34"/>
      <c r="DS889" s="34"/>
      <c r="DT889" s="34"/>
      <c r="DU889" s="34"/>
      <c r="DV889" s="34"/>
      <c r="DW889" s="34"/>
      <c r="DX889" s="34"/>
      <c r="DY889" s="34"/>
      <c r="DZ889" s="34"/>
      <c r="EA889" s="34"/>
    </row>
    <row r="890" spans="1:131" ht="11.25" hidden="1">
      <c r="A890" s="3" t="s">
        <v>3</v>
      </c>
      <c r="B890" s="4"/>
      <c r="C890" s="4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1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  <c r="AF890" s="34"/>
      <c r="AG890" s="34"/>
      <c r="AH890" s="34"/>
      <c r="AI890" s="34"/>
      <c r="AJ890" s="34"/>
      <c r="AK890" s="34"/>
      <c r="AL890" s="34"/>
      <c r="AM890" s="34"/>
      <c r="AN890" s="34"/>
      <c r="AO890" s="34"/>
      <c r="AP890" s="34"/>
      <c r="AQ890" s="34"/>
      <c r="AR890" s="34"/>
      <c r="AS890" s="34"/>
      <c r="AT890" s="34"/>
      <c r="AU890" s="34"/>
      <c r="AV890" s="34"/>
      <c r="AW890" s="34"/>
      <c r="AX890" s="34"/>
      <c r="AY890" s="34"/>
      <c r="AZ890" s="34"/>
      <c r="BA890" s="34"/>
      <c r="BB890" s="34"/>
      <c r="BC890" s="34"/>
      <c r="BD890" s="34"/>
      <c r="BE890" s="34"/>
      <c r="BF890" s="34"/>
      <c r="BG890" s="34"/>
      <c r="BH890" s="34"/>
      <c r="BI890" s="34"/>
      <c r="BJ890" s="34"/>
      <c r="BK890" s="34"/>
      <c r="BL890" s="34"/>
      <c r="BM890" s="34"/>
      <c r="BN890" s="34"/>
      <c r="BO890" s="34"/>
      <c r="BP890" s="34"/>
      <c r="BQ890" s="34"/>
      <c r="BR890" s="34"/>
      <c r="BS890" s="34"/>
      <c r="BT890" s="34"/>
      <c r="BU890" s="34"/>
      <c r="BV890" s="34"/>
      <c r="BW890" s="34"/>
      <c r="BX890" s="34"/>
      <c r="BY890" s="34"/>
      <c r="BZ890" s="34"/>
      <c r="CA890" s="34"/>
      <c r="CB890" s="34"/>
      <c r="CC890" s="34"/>
      <c r="CD890" s="34"/>
      <c r="CE890" s="34"/>
      <c r="CF890" s="34"/>
      <c r="CG890" s="34"/>
      <c r="CH890" s="34"/>
      <c r="CI890" s="34"/>
      <c r="CJ890" s="34"/>
      <c r="CK890" s="34"/>
      <c r="CL890" s="34"/>
      <c r="CM890" s="34"/>
      <c r="CN890" s="34"/>
      <c r="CO890" s="34"/>
      <c r="CP890" s="34"/>
      <c r="CQ890" s="34"/>
      <c r="CR890" s="34"/>
      <c r="CS890" s="34"/>
      <c r="CT890" s="34"/>
      <c r="CU890" s="34"/>
      <c r="CV890" s="34"/>
      <c r="CW890" s="34"/>
      <c r="CX890" s="34"/>
      <c r="CY890" s="34"/>
      <c r="CZ890" s="34"/>
      <c r="DA890" s="34"/>
      <c r="DB890" s="34"/>
      <c r="DC890" s="34"/>
      <c r="DD890" s="34"/>
      <c r="DE890" s="34"/>
      <c r="DF890" s="34"/>
      <c r="DG890" s="34"/>
      <c r="DH890" s="34"/>
      <c r="DI890" s="34"/>
      <c r="DJ890" s="34"/>
      <c r="DK890" s="34"/>
      <c r="DL890" s="34"/>
      <c r="DM890" s="34"/>
      <c r="DN890" s="34"/>
      <c r="DO890" s="34"/>
      <c r="DP890" s="34"/>
      <c r="DQ890" s="34"/>
      <c r="DR890" s="34"/>
      <c r="DS890" s="34"/>
      <c r="DT890" s="34"/>
      <c r="DU890" s="34"/>
      <c r="DV890" s="34"/>
      <c r="DW890" s="34"/>
      <c r="DX890" s="34"/>
      <c r="DY890" s="34"/>
      <c r="DZ890" s="34"/>
      <c r="EA890" s="34"/>
    </row>
    <row r="891" spans="1:131" ht="33.75" hidden="1">
      <c r="A891" s="6" t="s">
        <v>91</v>
      </c>
      <c r="B891" s="4"/>
      <c r="C891" s="4"/>
      <c r="D891" s="5"/>
      <c r="E891" s="5">
        <v>2</v>
      </c>
      <c r="F891" s="5">
        <f>D891+E891</f>
        <v>2</v>
      </c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1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F891" s="34"/>
      <c r="AG891" s="34"/>
      <c r="AH891" s="34"/>
      <c r="AI891" s="34"/>
      <c r="AJ891" s="34"/>
      <c r="AK891" s="34"/>
      <c r="AL891" s="34"/>
      <c r="AM891" s="34"/>
      <c r="AN891" s="34"/>
      <c r="AO891" s="34"/>
      <c r="AP891" s="34"/>
      <c r="AQ891" s="34"/>
      <c r="AR891" s="34"/>
      <c r="AS891" s="34"/>
      <c r="AT891" s="34"/>
      <c r="AU891" s="34"/>
      <c r="AV891" s="34"/>
      <c r="AW891" s="34"/>
      <c r="AX891" s="34"/>
      <c r="AY891" s="34"/>
      <c r="AZ891" s="34"/>
      <c r="BA891" s="34"/>
      <c r="BB891" s="34"/>
      <c r="BC891" s="34"/>
      <c r="BD891" s="34"/>
      <c r="BE891" s="34"/>
      <c r="BF891" s="34"/>
      <c r="BG891" s="34"/>
      <c r="BH891" s="34"/>
      <c r="BI891" s="34"/>
      <c r="BJ891" s="34"/>
      <c r="BK891" s="34"/>
      <c r="BL891" s="34"/>
      <c r="BM891" s="34"/>
      <c r="BN891" s="34"/>
      <c r="BO891" s="34"/>
      <c r="BP891" s="34"/>
      <c r="BQ891" s="34"/>
      <c r="BR891" s="34"/>
      <c r="BS891" s="34"/>
      <c r="BT891" s="34"/>
      <c r="BU891" s="34"/>
      <c r="BV891" s="34"/>
      <c r="BW891" s="34"/>
      <c r="BX891" s="34"/>
      <c r="BY891" s="34"/>
      <c r="BZ891" s="34"/>
      <c r="CA891" s="34"/>
      <c r="CB891" s="34"/>
      <c r="CC891" s="34"/>
      <c r="CD891" s="34"/>
      <c r="CE891" s="34"/>
      <c r="CF891" s="34"/>
      <c r="CG891" s="34"/>
      <c r="CH891" s="34"/>
      <c r="CI891" s="34"/>
      <c r="CJ891" s="34"/>
      <c r="CK891" s="34"/>
      <c r="CL891" s="34"/>
      <c r="CM891" s="34"/>
      <c r="CN891" s="34"/>
      <c r="CO891" s="34"/>
      <c r="CP891" s="34"/>
      <c r="CQ891" s="34"/>
      <c r="CR891" s="34"/>
      <c r="CS891" s="34"/>
      <c r="CT891" s="34"/>
      <c r="CU891" s="34"/>
      <c r="CV891" s="34"/>
      <c r="CW891" s="34"/>
      <c r="CX891" s="34"/>
      <c r="CY891" s="34"/>
      <c r="CZ891" s="34"/>
      <c r="DA891" s="34"/>
      <c r="DB891" s="34"/>
      <c r="DC891" s="34"/>
      <c r="DD891" s="34"/>
      <c r="DE891" s="34"/>
      <c r="DF891" s="34"/>
      <c r="DG891" s="34"/>
      <c r="DH891" s="34"/>
      <c r="DI891" s="34"/>
      <c r="DJ891" s="34"/>
      <c r="DK891" s="34"/>
      <c r="DL891" s="34"/>
      <c r="DM891" s="34"/>
      <c r="DN891" s="34"/>
      <c r="DO891" s="34"/>
      <c r="DP891" s="34"/>
      <c r="DQ891" s="34"/>
      <c r="DR891" s="34"/>
      <c r="DS891" s="34"/>
      <c r="DT891" s="34"/>
      <c r="DU891" s="34"/>
      <c r="DV891" s="34"/>
      <c r="DW891" s="34"/>
      <c r="DX891" s="34"/>
      <c r="DY891" s="34"/>
      <c r="DZ891" s="34"/>
      <c r="EA891" s="34"/>
    </row>
    <row r="892" spans="1:131" ht="11.25" hidden="1">
      <c r="A892" s="3" t="s">
        <v>5</v>
      </c>
      <c r="B892" s="4"/>
      <c r="C892" s="4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1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  <c r="AF892" s="34"/>
      <c r="AG892" s="34"/>
      <c r="AH892" s="34"/>
      <c r="AI892" s="34"/>
      <c r="AJ892" s="34"/>
      <c r="AK892" s="34"/>
      <c r="AL892" s="34"/>
      <c r="AM892" s="34"/>
      <c r="AN892" s="34"/>
      <c r="AO892" s="34"/>
      <c r="AP892" s="34"/>
      <c r="AQ892" s="34"/>
      <c r="AR892" s="34"/>
      <c r="AS892" s="34"/>
      <c r="AT892" s="34"/>
      <c r="AU892" s="34"/>
      <c r="AV892" s="34"/>
      <c r="AW892" s="34"/>
      <c r="AX892" s="34"/>
      <c r="AY892" s="34"/>
      <c r="AZ892" s="34"/>
      <c r="BA892" s="34"/>
      <c r="BB892" s="34"/>
      <c r="BC892" s="34"/>
      <c r="BD892" s="34"/>
      <c r="BE892" s="34"/>
      <c r="BF892" s="34"/>
      <c r="BG892" s="34"/>
      <c r="BH892" s="34"/>
      <c r="BI892" s="34"/>
      <c r="BJ892" s="34"/>
      <c r="BK892" s="34"/>
      <c r="BL892" s="34"/>
      <c r="BM892" s="34"/>
      <c r="BN892" s="34"/>
      <c r="BO892" s="34"/>
      <c r="BP892" s="34"/>
      <c r="BQ892" s="34"/>
      <c r="BR892" s="34"/>
      <c r="BS892" s="34"/>
      <c r="BT892" s="34"/>
      <c r="BU892" s="34"/>
      <c r="BV892" s="34"/>
      <c r="BW892" s="34"/>
      <c r="BX892" s="34"/>
      <c r="BY892" s="34"/>
      <c r="BZ892" s="34"/>
      <c r="CA892" s="34"/>
      <c r="CB892" s="34"/>
      <c r="CC892" s="34"/>
      <c r="CD892" s="34"/>
      <c r="CE892" s="34"/>
      <c r="CF892" s="34"/>
      <c r="CG892" s="34"/>
      <c r="CH892" s="34"/>
      <c r="CI892" s="34"/>
      <c r="CJ892" s="34"/>
      <c r="CK892" s="34"/>
      <c r="CL892" s="34"/>
      <c r="CM892" s="34"/>
      <c r="CN892" s="34"/>
      <c r="CO892" s="34"/>
      <c r="CP892" s="34"/>
      <c r="CQ892" s="34"/>
      <c r="CR892" s="34"/>
      <c r="CS892" s="34"/>
      <c r="CT892" s="34"/>
      <c r="CU892" s="34"/>
      <c r="CV892" s="34"/>
      <c r="CW892" s="34"/>
      <c r="CX892" s="34"/>
      <c r="CY892" s="34"/>
      <c r="CZ892" s="34"/>
      <c r="DA892" s="34"/>
      <c r="DB892" s="34"/>
      <c r="DC892" s="34"/>
      <c r="DD892" s="34"/>
      <c r="DE892" s="34"/>
      <c r="DF892" s="34"/>
      <c r="DG892" s="34"/>
      <c r="DH892" s="34"/>
      <c r="DI892" s="34"/>
      <c r="DJ892" s="34"/>
      <c r="DK892" s="34"/>
      <c r="DL892" s="34"/>
      <c r="DM892" s="34"/>
      <c r="DN892" s="34"/>
      <c r="DO892" s="34"/>
      <c r="DP892" s="34"/>
      <c r="DQ892" s="34"/>
      <c r="DR892" s="34"/>
      <c r="DS892" s="34"/>
      <c r="DT892" s="34"/>
      <c r="DU892" s="34"/>
      <c r="DV892" s="34"/>
      <c r="DW892" s="34"/>
      <c r="DX892" s="34"/>
      <c r="DY892" s="34"/>
      <c r="DZ892" s="34"/>
      <c r="EA892" s="34"/>
    </row>
    <row r="893" spans="1:131" ht="24.75" customHeight="1" hidden="1">
      <c r="A893" s="6" t="s">
        <v>92</v>
      </c>
      <c r="B893" s="4"/>
      <c r="C893" s="4"/>
      <c r="D893" s="5"/>
      <c r="E893" s="5">
        <f>E889/E891</f>
        <v>2809765</v>
      </c>
      <c r="F893" s="5">
        <f>D893+E893</f>
        <v>2809765</v>
      </c>
      <c r="G893" s="5"/>
      <c r="H893" s="5"/>
      <c r="I893" s="5"/>
      <c r="J893" s="5"/>
      <c r="K893" s="5"/>
      <c r="L893" s="5"/>
      <c r="M893" s="5"/>
      <c r="N893" s="5"/>
      <c r="O893" s="5"/>
      <c r="P893" s="47"/>
      <c r="Q893" s="1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  <c r="AF893" s="34"/>
      <c r="AG893" s="34"/>
      <c r="AH893" s="34"/>
      <c r="AI893" s="34"/>
      <c r="AJ893" s="34"/>
      <c r="AK893" s="34"/>
      <c r="AL893" s="34"/>
      <c r="AM893" s="34"/>
      <c r="AN893" s="34"/>
      <c r="AO893" s="34"/>
      <c r="AP893" s="34"/>
      <c r="AQ893" s="34"/>
      <c r="AR893" s="34"/>
      <c r="AS893" s="34"/>
      <c r="AT893" s="34"/>
      <c r="AU893" s="34"/>
      <c r="AV893" s="34"/>
      <c r="AW893" s="34"/>
      <c r="AX893" s="34"/>
      <c r="AY893" s="34"/>
      <c r="AZ893" s="34"/>
      <c r="BA893" s="34"/>
      <c r="BB893" s="34"/>
      <c r="BC893" s="34"/>
      <c r="BD893" s="34"/>
      <c r="BE893" s="34"/>
      <c r="BF893" s="34"/>
      <c r="BG893" s="34"/>
      <c r="BH893" s="34"/>
      <c r="BI893" s="34"/>
      <c r="BJ893" s="34"/>
      <c r="BK893" s="34"/>
      <c r="BL893" s="34"/>
      <c r="BM893" s="34"/>
      <c r="BN893" s="34"/>
      <c r="BO893" s="34"/>
      <c r="BP893" s="34"/>
      <c r="BQ893" s="34"/>
      <c r="BR893" s="34"/>
      <c r="BS893" s="34"/>
      <c r="BT893" s="34"/>
      <c r="BU893" s="34"/>
      <c r="BV893" s="34"/>
      <c r="BW893" s="34"/>
      <c r="BX893" s="34"/>
      <c r="BY893" s="34"/>
      <c r="BZ893" s="34"/>
      <c r="CA893" s="34"/>
      <c r="CB893" s="34"/>
      <c r="CC893" s="34"/>
      <c r="CD893" s="34"/>
      <c r="CE893" s="34"/>
      <c r="CF893" s="34"/>
      <c r="CG893" s="34"/>
      <c r="CH893" s="34"/>
      <c r="CI893" s="34"/>
      <c r="CJ893" s="34"/>
      <c r="CK893" s="34"/>
      <c r="CL893" s="34"/>
      <c r="CM893" s="34"/>
      <c r="CN893" s="34"/>
      <c r="CO893" s="34"/>
      <c r="CP893" s="34"/>
      <c r="CQ893" s="34"/>
      <c r="CR893" s="34"/>
      <c r="CS893" s="34"/>
      <c r="CT893" s="34"/>
      <c r="CU893" s="34"/>
      <c r="CV893" s="34"/>
      <c r="CW893" s="34"/>
      <c r="CX893" s="34"/>
      <c r="CY893" s="34"/>
      <c r="CZ893" s="34"/>
      <c r="DA893" s="34"/>
      <c r="DB893" s="34"/>
      <c r="DC893" s="34"/>
      <c r="DD893" s="34"/>
      <c r="DE893" s="34"/>
      <c r="DF893" s="34"/>
      <c r="DG893" s="34"/>
      <c r="DH893" s="34"/>
      <c r="DI893" s="34"/>
      <c r="DJ893" s="34"/>
      <c r="DK893" s="34"/>
      <c r="DL893" s="34"/>
      <c r="DM893" s="34"/>
      <c r="DN893" s="34"/>
      <c r="DO893" s="34"/>
      <c r="DP893" s="34"/>
      <c r="DQ893" s="34"/>
      <c r="DR893" s="34"/>
      <c r="DS893" s="34"/>
      <c r="DT893" s="34"/>
      <c r="DU893" s="34"/>
      <c r="DV893" s="34"/>
      <c r="DW893" s="34"/>
      <c r="DX893" s="34"/>
      <c r="DY893" s="34"/>
      <c r="DZ893" s="34"/>
      <c r="EA893" s="34"/>
    </row>
    <row r="894" spans="1:17" s="203" customFormat="1" ht="22.5" customHeight="1" hidden="1">
      <c r="A894" s="200" t="s">
        <v>136</v>
      </c>
      <c r="B894" s="231"/>
      <c r="C894" s="231"/>
      <c r="D894" s="201">
        <f>D896</f>
        <v>8550000</v>
      </c>
      <c r="E894" s="201">
        <f aca="true" t="shared" si="50" ref="E894:P894">E896</f>
        <v>6450000</v>
      </c>
      <c r="F894" s="201">
        <f t="shared" si="50"/>
        <v>15000000</v>
      </c>
      <c r="G894" s="201">
        <f t="shared" si="50"/>
        <v>0</v>
      </c>
      <c r="H894" s="201">
        <f t="shared" si="50"/>
        <v>0</v>
      </c>
      <c r="I894" s="201">
        <f t="shared" si="50"/>
        <v>0</v>
      </c>
      <c r="J894" s="201">
        <f t="shared" si="50"/>
        <v>0</v>
      </c>
      <c r="K894" s="201">
        <f t="shared" si="50"/>
        <v>0</v>
      </c>
      <c r="L894" s="201">
        <f t="shared" si="50"/>
        <v>0</v>
      </c>
      <c r="M894" s="201">
        <f t="shared" si="50"/>
        <v>0</v>
      </c>
      <c r="N894" s="201">
        <f t="shared" si="50"/>
        <v>0</v>
      </c>
      <c r="O894" s="201">
        <f t="shared" si="50"/>
        <v>0</v>
      </c>
      <c r="P894" s="201">
        <f t="shared" si="50"/>
        <v>0</v>
      </c>
      <c r="Q894" s="233"/>
    </row>
    <row r="895" spans="1:131" ht="56.25" hidden="1">
      <c r="A895" s="6" t="s">
        <v>170</v>
      </c>
      <c r="B895" s="4"/>
      <c r="C895" s="4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1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  <c r="AC895" s="34"/>
      <c r="AD895" s="34"/>
      <c r="AE895" s="34"/>
      <c r="AF895" s="34"/>
      <c r="AG895" s="34"/>
      <c r="AH895" s="34"/>
      <c r="AI895" s="34"/>
      <c r="AJ895" s="34"/>
      <c r="AK895" s="34"/>
      <c r="AL895" s="34"/>
      <c r="AM895" s="34"/>
      <c r="AN895" s="34"/>
      <c r="AO895" s="34"/>
      <c r="AP895" s="34"/>
      <c r="AQ895" s="34"/>
      <c r="AR895" s="34"/>
      <c r="AS895" s="34"/>
      <c r="AT895" s="34"/>
      <c r="AU895" s="34"/>
      <c r="AV895" s="34"/>
      <c r="AW895" s="34"/>
      <c r="AX895" s="34"/>
      <c r="AY895" s="34"/>
      <c r="AZ895" s="34"/>
      <c r="BA895" s="34"/>
      <c r="BB895" s="34"/>
      <c r="BC895" s="34"/>
      <c r="BD895" s="34"/>
      <c r="BE895" s="34"/>
      <c r="BF895" s="34"/>
      <c r="BG895" s="34"/>
      <c r="BH895" s="34"/>
      <c r="BI895" s="34"/>
      <c r="BJ895" s="34"/>
      <c r="BK895" s="34"/>
      <c r="BL895" s="34"/>
      <c r="BM895" s="34"/>
      <c r="BN895" s="34"/>
      <c r="BO895" s="34"/>
      <c r="BP895" s="34"/>
      <c r="BQ895" s="34"/>
      <c r="BR895" s="34"/>
      <c r="BS895" s="34"/>
      <c r="BT895" s="34"/>
      <c r="BU895" s="34"/>
      <c r="BV895" s="34"/>
      <c r="BW895" s="34"/>
      <c r="BX895" s="34"/>
      <c r="BY895" s="34"/>
      <c r="BZ895" s="34"/>
      <c r="CA895" s="34"/>
      <c r="CB895" s="34"/>
      <c r="CC895" s="34"/>
      <c r="CD895" s="34"/>
      <c r="CE895" s="34"/>
      <c r="CF895" s="34"/>
      <c r="CG895" s="34"/>
      <c r="CH895" s="34"/>
      <c r="CI895" s="34"/>
      <c r="CJ895" s="34"/>
      <c r="CK895" s="34"/>
      <c r="CL895" s="34"/>
      <c r="CM895" s="34"/>
      <c r="CN895" s="34"/>
      <c r="CO895" s="34"/>
      <c r="CP895" s="34"/>
      <c r="CQ895" s="34"/>
      <c r="CR895" s="34"/>
      <c r="CS895" s="34"/>
      <c r="CT895" s="34"/>
      <c r="CU895" s="34"/>
      <c r="CV895" s="34"/>
      <c r="CW895" s="34"/>
      <c r="CX895" s="34"/>
      <c r="CY895" s="34"/>
      <c r="CZ895" s="34"/>
      <c r="DA895" s="34"/>
      <c r="DB895" s="34"/>
      <c r="DC895" s="34"/>
      <c r="DD895" s="34"/>
      <c r="DE895" s="34"/>
      <c r="DF895" s="34"/>
      <c r="DG895" s="34"/>
      <c r="DH895" s="34"/>
      <c r="DI895" s="34"/>
      <c r="DJ895" s="34"/>
      <c r="DK895" s="34"/>
      <c r="DL895" s="34"/>
      <c r="DM895" s="34"/>
      <c r="DN895" s="34"/>
      <c r="DO895" s="34"/>
      <c r="DP895" s="34"/>
      <c r="DQ895" s="34"/>
      <c r="DR895" s="34"/>
      <c r="DS895" s="34"/>
      <c r="DT895" s="34"/>
      <c r="DU895" s="34"/>
      <c r="DV895" s="34"/>
      <c r="DW895" s="34"/>
      <c r="DX895" s="34"/>
      <c r="DY895" s="34"/>
      <c r="DZ895" s="34"/>
      <c r="EA895" s="34"/>
    </row>
    <row r="896" spans="1:17" s="197" customFormat="1" ht="49.5" customHeight="1" hidden="1">
      <c r="A896" s="194" t="s">
        <v>496</v>
      </c>
      <c r="B896" s="195"/>
      <c r="C896" s="195"/>
      <c r="D896" s="193">
        <f>D898</f>
        <v>8550000</v>
      </c>
      <c r="E896" s="193">
        <f>E898</f>
        <v>6450000</v>
      </c>
      <c r="F896" s="193">
        <f>D896+E896</f>
        <v>15000000</v>
      </c>
      <c r="G896" s="193">
        <f>G898</f>
        <v>0</v>
      </c>
      <c r="H896" s="193">
        <f>H898</f>
        <v>0</v>
      </c>
      <c r="I896" s="193">
        <f>G896+H896</f>
        <v>0</v>
      </c>
      <c r="J896" s="193">
        <f>G896+H896</f>
        <v>0</v>
      </c>
      <c r="K896" s="193"/>
      <c r="L896" s="193"/>
      <c r="M896" s="193"/>
      <c r="N896" s="193">
        <f>N900*N902</f>
        <v>0</v>
      </c>
      <c r="O896" s="193">
        <f>O900*O902</f>
        <v>0</v>
      </c>
      <c r="P896" s="193">
        <f>N896+O896</f>
        <v>0</v>
      </c>
      <c r="Q896" s="234"/>
    </row>
    <row r="897" spans="1:131" ht="11.25" hidden="1">
      <c r="A897" s="3" t="s">
        <v>2</v>
      </c>
      <c r="B897" s="4"/>
      <c r="C897" s="4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1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F897" s="34"/>
      <c r="AG897" s="34"/>
      <c r="AH897" s="34"/>
      <c r="AI897" s="34"/>
      <c r="AJ897" s="34"/>
      <c r="AK897" s="34"/>
      <c r="AL897" s="34"/>
      <c r="AM897" s="34"/>
      <c r="AN897" s="34"/>
      <c r="AO897" s="34"/>
      <c r="AP897" s="34"/>
      <c r="AQ897" s="34"/>
      <c r="AR897" s="34"/>
      <c r="AS897" s="34"/>
      <c r="AT897" s="34"/>
      <c r="AU897" s="34"/>
      <c r="AV897" s="34"/>
      <c r="AW897" s="34"/>
      <c r="AX897" s="34"/>
      <c r="AY897" s="34"/>
      <c r="AZ897" s="34"/>
      <c r="BA897" s="34"/>
      <c r="BB897" s="34"/>
      <c r="BC897" s="34"/>
      <c r="BD897" s="34"/>
      <c r="BE897" s="34"/>
      <c r="BF897" s="34"/>
      <c r="BG897" s="34"/>
      <c r="BH897" s="34"/>
      <c r="BI897" s="34"/>
      <c r="BJ897" s="34"/>
      <c r="BK897" s="34"/>
      <c r="BL897" s="34"/>
      <c r="BM897" s="34"/>
      <c r="BN897" s="34"/>
      <c r="BO897" s="34"/>
      <c r="BP897" s="34"/>
      <c r="BQ897" s="34"/>
      <c r="BR897" s="34"/>
      <c r="BS897" s="34"/>
      <c r="BT897" s="34"/>
      <c r="BU897" s="34"/>
      <c r="BV897" s="34"/>
      <c r="BW897" s="34"/>
      <c r="BX897" s="34"/>
      <c r="BY897" s="34"/>
      <c r="BZ897" s="34"/>
      <c r="CA897" s="34"/>
      <c r="CB897" s="34"/>
      <c r="CC897" s="34"/>
      <c r="CD897" s="34"/>
      <c r="CE897" s="34"/>
      <c r="CF897" s="34"/>
      <c r="CG897" s="34"/>
      <c r="CH897" s="34"/>
      <c r="CI897" s="34"/>
      <c r="CJ897" s="34"/>
      <c r="CK897" s="34"/>
      <c r="CL897" s="34"/>
      <c r="CM897" s="34"/>
      <c r="CN897" s="34"/>
      <c r="CO897" s="34"/>
      <c r="CP897" s="34"/>
      <c r="CQ897" s="34"/>
      <c r="CR897" s="34"/>
      <c r="CS897" s="34"/>
      <c r="CT897" s="34"/>
      <c r="CU897" s="34"/>
      <c r="CV897" s="34"/>
      <c r="CW897" s="34"/>
      <c r="CX897" s="34"/>
      <c r="CY897" s="34"/>
      <c r="CZ897" s="34"/>
      <c r="DA897" s="34"/>
      <c r="DB897" s="34"/>
      <c r="DC897" s="34"/>
      <c r="DD897" s="34"/>
      <c r="DE897" s="34"/>
      <c r="DF897" s="34"/>
      <c r="DG897" s="34"/>
      <c r="DH897" s="34"/>
      <c r="DI897" s="34"/>
      <c r="DJ897" s="34"/>
      <c r="DK897" s="34"/>
      <c r="DL897" s="34"/>
      <c r="DM897" s="34"/>
      <c r="DN897" s="34"/>
      <c r="DO897" s="34"/>
      <c r="DP897" s="34"/>
      <c r="DQ897" s="34"/>
      <c r="DR897" s="34"/>
      <c r="DS897" s="34"/>
      <c r="DT897" s="34"/>
      <c r="DU897" s="34"/>
      <c r="DV897" s="34"/>
      <c r="DW897" s="34"/>
      <c r="DX897" s="34"/>
      <c r="DY897" s="34"/>
      <c r="DZ897" s="34"/>
      <c r="EA897" s="34"/>
    </row>
    <row r="898" spans="1:131" ht="11.25" hidden="1">
      <c r="A898" s="6" t="s">
        <v>23</v>
      </c>
      <c r="B898" s="4"/>
      <c r="C898" s="4"/>
      <c r="D898" s="5">
        <v>8550000</v>
      </c>
      <c r="E898" s="5">
        <v>6450000</v>
      </c>
      <c r="F898" s="5">
        <f>D898+E898</f>
        <v>15000000</v>
      </c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1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34"/>
      <c r="AF898" s="34"/>
      <c r="AG898" s="34"/>
      <c r="AH898" s="34"/>
      <c r="AI898" s="34"/>
      <c r="AJ898" s="34"/>
      <c r="AK898" s="34"/>
      <c r="AL898" s="34"/>
      <c r="AM898" s="34"/>
      <c r="AN898" s="34"/>
      <c r="AO898" s="34"/>
      <c r="AP898" s="34"/>
      <c r="AQ898" s="34"/>
      <c r="AR898" s="34"/>
      <c r="AS898" s="34"/>
      <c r="AT898" s="34"/>
      <c r="AU898" s="34"/>
      <c r="AV898" s="34"/>
      <c r="AW898" s="34"/>
      <c r="AX898" s="34"/>
      <c r="AY898" s="34"/>
      <c r="AZ898" s="34"/>
      <c r="BA898" s="34"/>
      <c r="BB898" s="34"/>
      <c r="BC898" s="34"/>
      <c r="BD898" s="34"/>
      <c r="BE898" s="34"/>
      <c r="BF898" s="34"/>
      <c r="BG898" s="34"/>
      <c r="BH898" s="34"/>
      <c r="BI898" s="34"/>
      <c r="BJ898" s="34"/>
      <c r="BK898" s="34"/>
      <c r="BL898" s="34"/>
      <c r="BM898" s="34"/>
      <c r="BN898" s="34"/>
      <c r="BO898" s="34"/>
      <c r="BP898" s="34"/>
      <c r="BQ898" s="34"/>
      <c r="BR898" s="34"/>
      <c r="BS898" s="34"/>
      <c r="BT898" s="34"/>
      <c r="BU898" s="34"/>
      <c r="BV898" s="34"/>
      <c r="BW898" s="34"/>
      <c r="BX898" s="34"/>
      <c r="BY898" s="34"/>
      <c r="BZ898" s="34"/>
      <c r="CA898" s="34"/>
      <c r="CB898" s="34"/>
      <c r="CC898" s="34"/>
      <c r="CD898" s="34"/>
      <c r="CE898" s="34"/>
      <c r="CF898" s="34"/>
      <c r="CG898" s="34"/>
      <c r="CH898" s="34"/>
      <c r="CI898" s="34"/>
      <c r="CJ898" s="34"/>
      <c r="CK898" s="34"/>
      <c r="CL898" s="34"/>
      <c r="CM898" s="34"/>
      <c r="CN898" s="34"/>
      <c r="CO898" s="34"/>
      <c r="CP898" s="34"/>
      <c r="CQ898" s="34"/>
      <c r="CR898" s="34"/>
      <c r="CS898" s="34"/>
      <c r="CT898" s="34"/>
      <c r="CU898" s="34"/>
      <c r="CV898" s="34"/>
      <c r="CW898" s="34"/>
      <c r="CX898" s="34"/>
      <c r="CY898" s="34"/>
      <c r="CZ898" s="34"/>
      <c r="DA898" s="34"/>
      <c r="DB898" s="34"/>
      <c r="DC898" s="34"/>
      <c r="DD898" s="34"/>
      <c r="DE898" s="34"/>
      <c r="DF898" s="34"/>
      <c r="DG898" s="34"/>
      <c r="DH898" s="34"/>
      <c r="DI898" s="34"/>
      <c r="DJ898" s="34"/>
      <c r="DK898" s="34"/>
      <c r="DL898" s="34"/>
      <c r="DM898" s="34"/>
      <c r="DN898" s="34"/>
      <c r="DO898" s="34"/>
      <c r="DP898" s="34"/>
      <c r="DQ898" s="34"/>
      <c r="DR898" s="34"/>
      <c r="DS898" s="34"/>
      <c r="DT898" s="34"/>
      <c r="DU898" s="34"/>
      <c r="DV898" s="34"/>
      <c r="DW898" s="34"/>
      <c r="DX898" s="34"/>
      <c r="DY898" s="34"/>
      <c r="DZ898" s="34"/>
      <c r="EA898" s="34"/>
    </row>
    <row r="899" spans="1:131" ht="11.25" hidden="1">
      <c r="A899" s="3" t="s">
        <v>3</v>
      </c>
      <c r="B899" s="4"/>
      <c r="C899" s="4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1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  <c r="AB899" s="34"/>
      <c r="AC899" s="34"/>
      <c r="AD899" s="34"/>
      <c r="AE899" s="34"/>
      <c r="AF899" s="34"/>
      <c r="AG899" s="34"/>
      <c r="AH899" s="34"/>
      <c r="AI899" s="34"/>
      <c r="AJ899" s="34"/>
      <c r="AK899" s="34"/>
      <c r="AL899" s="34"/>
      <c r="AM899" s="34"/>
      <c r="AN899" s="34"/>
      <c r="AO899" s="34"/>
      <c r="AP899" s="34"/>
      <c r="AQ899" s="34"/>
      <c r="AR899" s="34"/>
      <c r="AS899" s="34"/>
      <c r="AT899" s="34"/>
      <c r="AU899" s="34"/>
      <c r="AV899" s="34"/>
      <c r="AW899" s="34"/>
      <c r="AX899" s="34"/>
      <c r="AY899" s="34"/>
      <c r="AZ899" s="34"/>
      <c r="BA899" s="34"/>
      <c r="BB899" s="34"/>
      <c r="BC899" s="34"/>
      <c r="BD899" s="34"/>
      <c r="BE899" s="34"/>
      <c r="BF899" s="34"/>
      <c r="BG899" s="34"/>
      <c r="BH899" s="34"/>
      <c r="BI899" s="34"/>
      <c r="BJ899" s="34"/>
      <c r="BK899" s="34"/>
      <c r="BL899" s="34"/>
      <c r="BM899" s="34"/>
      <c r="BN899" s="34"/>
      <c r="BO899" s="34"/>
      <c r="BP899" s="34"/>
      <c r="BQ899" s="34"/>
      <c r="BR899" s="34"/>
      <c r="BS899" s="34"/>
      <c r="BT899" s="34"/>
      <c r="BU899" s="34"/>
      <c r="BV899" s="34"/>
      <c r="BW899" s="34"/>
      <c r="BX899" s="34"/>
      <c r="BY899" s="34"/>
      <c r="BZ899" s="34"/>
      <c r="CA899" s="34"/>
      <c r="CB899" s="34"/>
      <c r="CC899" s="34"/>
      <c r="CD899" s="34"/>
      <c r="CE899" s="34"/>
      <c r="CF899" s="34"/>
      <c r="CG899" s="34"/>
      <c r="CH899" s="34"/>
      <c r="CI899" s="34"/>
      <c r="CJ899" s="34"/>
      <c r="CK899" s="34"/>
      <c r="CL899" s="34"/>
      <c r="CM899" s="34"/>
      <c r="CN899" s="34"/>
      <c r="CO899" s="34"/>
      <c r="CP899" s="34"/>
      <c r="CQ899" s="34"/>
      <c r="CR899" s="34"/>
      <c r="CS899" s="34"/>
      <c r="CT899" s="34"/>
      <c r="CU899" s="34"/>
      <c r="CV899" s="34"/>
      <c r="CW899" s="34"/>
      <c r="CX899" s="34"/>
      <c r="CY899" s="34"/>
      <c r="CZ899" s="34"/>
      <c r="DA899" s="34"/>
      <c r="DB899" s="34"/>
      <c r="DC899" s="34"/>
      <c r="DD899" s="34"/>
      <c r="DE899" s="34"/>
      <c r="DF899" s="34"/>
      <c r="DG899" s="34"/>
      <c r="DH899" s="34"/>
      <c r="DI899" s="34"/>
      <c r="DJ899" s="34"/>
      <c r="DK899" s="34"/>
      <c r="DL899" s="34"/>
      <c r="DM899" s="34"/>
      <c r="DN899" s="34"/>
      <c r="DO899" s="34"/>
      <c r="DP899" s="34"/>
      <c r="DQ899" s="34"/>
      <c r="DR899" s="34"/>
      <c r="DS899" s="34"/>
      <c r="DT899" s="34"/>
      <c r="DU899" s="34"/>
      <c r="DV899" s="34"/>
      <c r="DW899" s="34"/>
      <c r="DX899" s="34"/>
      <c r="DY899" s="34"/>
      <c r="DZ899" s="34"/>
      <c r="EA899" s="34"/>
    </row>
    <row r="900" spans="1:131" ht="22.5" hidden="1">
      <c r="A900" s="6" t="s">
        <v>98</v>
      </c>
      <c r="B900" s="4"/>
      <c r="C900" s="4"/>
      <c r="D900" s="5">
        <v>2</v>
      </c>
      <c r="E900" s="5">
        <v>2</v>
      </c>
      <c r="F900" s="5">
        <f>D900+E900</f>
        <v>4</v>
      </c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1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  <c r="AB900" s="34"/>
      <c r="AC900" s="34"/>
      <c r="AD900" s="34"/>
      <c r="AE900" s="34"/>
      <c r="AF900" s="34"/>
      <c r="AG900" s="34"/>
      <c r="AH900" s="34"/>
      <c r="AI900" s="34"/>
      <c r="AJ900" s="34"/>
      <c r="AK900" s="34"/>
      <c r="AL900" s="34"/>
      <c r="AM900" s="34"/>
      <c r="AN900" s="34"/>
      <c r="AO900" s="34"/>
      <c r="AP900" s="34"/>
      <c r="AQ900" s="34"/>
      <c r="AR900" s="34"/>
      <c r="AS900" s="34"/>
      <c r="AT900" s="34"/>
      <c r="AU900" s="34"/>
      <c r="AV900" s="34"/>
      <c r="AW900" s="34"/>
      <c r="AX900" s="34"/>
      <c r="AY900" s="34"/>
      <c r="AZ900" s="34"/>
      <c r="BA900" s="34"/>
      <c r="BB900" s="34"/>
      <c r="BC900" s="34"/>
      <c r="BD900" s="34"/>
      <c r="BE900" s="34"/>
      <c r="BF900" s="34"/>
      <c r="BG900" s="34"/>
      <c r="BH900" s="34"/>
      <c r="BI900" s="34"/>
      <c r="BJ900" s="34"/>
      <c r="BK900" s="34"/>
      <c r="BL900" s="34"/>
      <c r="BM900" s="34"/>
      <c r="BN900" s="34"/>
      <c r="BO900" s="34"/>
      <c r="BP900" s="34"/>
      <c r="BQ900" s="34"/>
      <c r="BR900" s="34"/>
      <c r="BS900" s="34"/>
      <c r="BT900" s="34"/>
      <c r="BU900" s="34"/>
      <c r="BV900" s="34"/>
      <c r="BW900" s="34"/>
      <c r="BX900" s="34"/>
      <c r="BY900" s="34"/>
      <c r="BZ900" s="34"/>
      <c r="CA900" s="34"/>
      <c r="CB900" s="34"/>
      <c r="CC900" s="34"/>
      <c r="CD900" s="34"/>
      <c r="CE900" s="34"/>
      <c r="CF900" s="34"/>
      <c r="CG900" s="34"/>
      <c r="CH900" s="34"/>
      <c r="CI900" s="34"/>
      <c r="CJ900" s="34"/>
      <c r="CK900" s="34"/>
      <c r="CL900" s="34"/>
      <c r="CM900" s="34"/>
      <c r="CN900" s="34"/>
      <c r="CO900" s="34"/>
      <c r="CP900" s="34"/>
      <c r="CQ900" s="34"/>
      <c r="CR900" s="34"/>
      <c r="CS900" s="34"/>
      <c r="CT900" s="34"/>
      <c r="CU900" s="34"/>
      <c r="CV900" s="34"/>
      <c r="CW900" s="34"/>
      <c r="CX900" s="34"/>
      <c r="CY900" s="34"/>
      <c r="CZ900" s="34"/>
      <c r="DA900" s="34"/>
      <c r="DB900" s="34"/>
      <c r="DC900" s="34"/>
      <c r="DD900" s="34"/>
      <c r="DE900" s="34"/>
      <c r="DF900" s="34"/>
      <c r="DG900" s="34"/>
      <c r="DH900" s="34"/>
      <c r="DI900" s="34"/>
      <c r="DJ900" s="34"/>
      <c r="DK900" s="34"/>
      <c r="DL900" s="34"/>
      <c r="DM900" s="34"/>
      <c r="DN900" s="34"/>
      <c r="DO900" s="34"/>
      <c r="DP900" s="34"/>
      <c r="DQ900" s="34"/>
      <c r="DR900" s="34"/>
      <c r="DS900" s="34"/>
      <c r="DT900" s="34"/>
      <c r="DU900" s="34"/>
      <c r="DV900" s="34"/>
      <c r="DW900" s="34"/>
      <c r="DX900" s="34"/>
      <c r="DY900" s="34"/>
      <c r="DZ900" s="34"/>
      <c r="EA900" s="34"/>
    </row>
    <row r="901" spans="1:131" ht="11.25" hidden="1">
      <c r="A901" s="3" t="s">
        <v>5</v>
      </c>
      <c r="B901" s="4"/>
      <c r="C901" s="4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1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  <c r="AB901" s="34"/>
      <c r="AC901" s="34"/>
      <c r="AD901" s="34"/>
      <c r="AE901" s="34"/>
      <c r="AF901" s="34"/>
      <c r="AG901" s="34"/>
      <c r="AH901" s="34"/>
      <c r="AI901" s="34"/>
      <c r="AJ901" s="34"/>
      <c r="AK901" s="34"/>
      <c r="AL901" s="34"/>
      <c r="AM901" s="34"/>
      <c r="AN901" s="34"/>
      <c r="AO901" s="34"/>
      <c r="AP901" s="34"/>
      <c r="AQ901" s="34"/>
      <c r="AR901" s="34"/>
      <c r="AS901" s="34"/>
      <c r="AT901" s="34"/>
      <c r="AU901" s="34"/>
      <c r="AV901" s="34"/>
      <c r="AW901" s="34"/>
      <c r="AX901" s="34"/>
      <c r="AY901" s="34"/>
      <c r="AZ901" s="34"/>
      <c r="BA901" s="34"/>
      <c r="BB901" s="34"/>
      <c r="BC901" s="34"/>
      <c r="BD901" s="34"/>
      <c r="BE901" s="34"/>
      <c r="BF901" s="34"/>
      <c r="BG901" s="34"/>
      <c r="BH901" s="34"/>
      <c r="BI901" s="34"/>
      <c r="BJ901" s="34"/>
      <c r="BK901" s="34"/>
      <c r="BL901" s="34"/>
      <c r="BM901" s="34"/>
      <c r="BN901" s="34"/>
      <c r="BO901" s="34"/>
      <c r="BP901" s="34"/>
      <c r="BQ901" s="34"/>
      <c r="BR901" s="34"/>
      <c r="BS901" s="34"/>
      <c r="BT901" s="34"/>
      <c r="BU901" s="34"/>
      <c r="BV901" s="34"/>
      <c r="BW901" s="34"/>
      <c r="BX901" s="34"/>
      <c r="BY901" s="34"/>
      <c r="BZ901" s="34"/>
      <c r="CA901" s="34"/>
      <c r="CB901" s="34"/>
      <c r="CC901" s="34"/>
      <c r="CD901" s="34"/>
      <c r="CE901" s="34"/>
      <c r="CF901" s="34"/>
      <c r="CG901" s="34"/>
      <c r="CH901" s="34"/>
      <c r="CI901" s="34"/>
      <c r="CJ901" s="34"/>
      <c r="CK901" s="34"/>
      <c r="CL901" s="34"/>
      <c r="CM901" s="34"/>
      <c r="CN901" s="34"/>
      <c r="CO901" s="34"/>
      <c r="CP901" s="34"/>
      <c r="CQ901" s="34"/>
      <c r="CR901" s="34"/>
      <c r="CS901" s="34"/>
      <c r="CT901" s="34"/>
      <c r="CU901" s="34"/>
      <c r="CV901" s="34"/>
      <c r="CW901" s="34"/>
      <c r="CX901" s="34"/>
      <c r="CY901" s="34"/>
      <c r="CZ901" s="34"/>
      <c r="DA901" s="34"/>
      <c r="DB901" s="34"/>
      <c r="DC901" s="34"/>
      <c r="DD901" s="34"/>
      <c r="DE901" s="34"/>
      <c r="DF901" s="34"/>
      <c r="DG901" s="34"/>
      <c r="DH901" s="34"/>
      <c r="DI901" s="34"/>
      <c r="DJ901" s="34"/>
      <c r="DK901" s="34"/>
      <c r="DL901" s="34"/>
      <c r="DM901" s="34"/>
      <c r="DN901" s="34"/>
      <c r="DO901" s="34"/>
      <c r="DP901" s="34"/>
      <c r="DQ901" s="34"/>
      <c r="DR901" s="34"/>
      <c r="DS901" s="34"/>
      <c r="DT901" s="34"/>
      <c r="DU901" s="34"/>
      <c r="DV901" s="34"/>
      <c r="DW901" s="34"/>
      <c r="DX901" s="34"/>
      <c r="DY901" s="34"/>
      <c r="DZ901" s="34"/>
      <c r="EA901" s="34"/>
    </row>
    <row r="902" spans="1:131" ht="22.5" hidden="1">
      <c r="A902" s="6" t="s">
        <v>99</v>
      </c>
      <c r="B902" s="4"/>
      <c r="C902" s="4"/>
      <c r="D902" s="5">
        <f>D898/D900</f>
        <v>4275000</v>
      </c>
      <c r="E902" s="5">
        <f>E898/E900</f>
        <v>3225000</v>
      </c>
      <c r="F902" s="5">
        <f>D902+E902</f>
        <v>7500000</v>
      </c>
      <c r="G902" s="5"/>
      <c r="H902" s="5"/>
      <c r="I902" s="5"/>
      <c r="J902" s="13"/>
      <c r="K902" s="13"/>
      <c r="L902" s="13"/>
      <c r="M902" s="13"/>
      <c r="N902" s="13"/>
      <c r="O902" s="13"/>
      <c r="P902" s="5"/>
      <c r="Q902" s="14"/>
      <c r="R902" s="34"/>
      <c r="S902" s="34"/>
      <c r="T902" s="34"/>
      <c r="U902" s="34"/>
      <c r="V902" s="34"/>
      <c r="W902" s="34"/>
      <c r="X902" s="34"/>
      <c r="Y902" s="34"/>
      <c r="Z902" s="34"/>
      <c r="AA902" s="34"/>
      <c r="AB902" s="34"/>
      <c r="AC902" s="34"/>
      <c r="AD902" s="34"/>
      <c r="AE902" s="34"/>
      <c r="AF902" s="34"/>
      <c r="AG902" s="34"/>
      <c r="AH902" s="34"/>
      <c r="AI902" s="34"/>
      <c r="AJ902" s="34"/>
      <c r="AK902" s="34"/>
      <c r="AL902" s="34"/>
      <c r="AM902" s="34"/>
      <c r="AN902" s="34"/>
      <c r="AO902" s="34"/>
      <c r="AP902" s="34"/>
      <c r="AQ902" s="34"/>
      <c r="AR902" s="34"/>
      <c r="AS902" s="34"/>
      <c r="AT902" s="34"/>
      <c r="AU902" s="34"/>
      <c r="AV902" s="34"/>
      <c r="AW902" s="34"/>
      <c r="AX902" s="34"/>
      <c r="AY902" s="34"/>
      <c r="AZ902" s="34"/>
      <c r="BA902" s="34"/>
      <c r="BB902" s="34"/>
      <c r="BC902" s="34"/>
      <c r="BD902" s="34"/>
      <c r="BE902" s="34"/>
      <c r="BF902" s="34"/>
      <c r="BG902" s="34"/>
      <c r="BH902" s="34"/>
      <c r="BI902" s="34"/>
      <c r="BJ902" s="34"/>
      <c r="BK902" s="34"/>
      <c r="BL902" s="34"/>
      <c r="BM902" s="34"/>
      <c r="BN902" s="34"/>
      <c r="BO902" s="34"/>
      <c r="BP902" s="34"/>
      <c r="BQ902" s="34"/>
      <c r="BR902" s="34"/>
      <c r="BS902" s="34"/>
      <c r="BT902" s="34"/>
      <c r="BU902" s="34"/>
      <c r="BV902" s="34"/>
      <c r="BW902" s="34"/>
      <c r="BX902" s="34"/>
      <c r="BY902" s="34"/>
      <c r="BZ902" s="34"/>
      <c r="CA902" s="34"/>
      <c r="CB902" s="34"/>
      <c r="CC902" s="34"/>
      <c r="CD902" s="34"/>
      <c r="CE902" s="34"/>
      <c r="CF902" s="34"/>
      <c r="CG902" s="34"/>
      <c r="CH902" s="34"/>
      <c r="CI902" s="34"/>
      <c r="CJ902" s="34"/>
      <c r="CK902" s="34"/>
      <c r="CL902" s="34"/>
      <c r="CM902" s="34"/>
      <c r="CN902" s="34"/>
      <c r="CO902" s="34"/>
      <c r="CP902" s="34"/>
      <c r="CQ902" s="34"/>
      <c r="CR902" s="34"/>
      <c r="CS902" s="34"/>
      <c r="CT902" s="34"/>
      <c r="CU902" s="34"/>
      <c r="CV902" s="34"/>
      <c r="CW902" s="34"/>
      <c r="CX902" s="34"/>
      <c r="CY902" s="34"/>
      <c r="CZ902" s="34"/>
      <c r="DA902" s="34"/>
      <c r="DB902" s="34"/>
      <c r="DC902" s="34"/>
      <c r="DD902" s="34"/>
      <c r="DE902" s="34"/>
      <c r="DF902" s="34"/>
      <c r="DG902" s="34"/>
      <c r="DH902" s="34"/>
      <c r="DI902" s="34"/>
      <c r="DJ902" s="34"/>
      <c r="DK902" s="34"/>
      <c r="DL902" s="34"/>
      <c r="DM902" s="34"/>
      <c r="DN902" s="34"/>
      <c r="DO902" s="34"/>
      <c r="DP902" s="34"/>
      <c r="DQ902" s="34"/>
      <c r="DR902" s="34"/>
      <c r="DS902" s="34"/>
      <c r="DT902" s="34"/>
      <c r="DU902" s="34"/>
      <c r="DV902" s="34"/>
      <c r="DW902" s="34"/>
      <c r="DX902" s="34"/>
      <c r="DY902" s="34"/>
      <c r="DZ902" s="34"/>
      <c r="EA902" s="34"/>
    </row>
    <row r="903" spans="1:17" s="104" customFormat="1" ht="11.25" customHeight="1" hidden="1">
      <c r="A903" s="100" t="s">
        <v>160</v>
      </c>
      <c r="B903" s="100"/>
      <c r="C903" s="100"/>
      <c r="D903" s="101">
        <f>D907</f>
        <v>0</v>
      </c>
      <c r="E903" s="101">
        <f>E907</f>
        <v>2275980</v>
      </c>
      <c r="F903" s="101">
        <f>D903+E903</f>
        <v>2275980</v>
      </c>
      <c r="G903" s="101">
        <v>0</v>
      </c>
      <c r="H903" s="101">
        <f>H905</f>
        <v>1108600</v>
      </c>
      <c r="I903" s="101" t="e">
        <f>#REF!</f>
        <v>#REF!</v>
      </c>
      <c r="J903" s="102">
        <f>J905</f>
        <v>1108600</v>
      </c>
      <c r="K903" s="102" t="e">
        <f>#REF!</f>
        <v>#REF!</v>
      </c>
      <c r="L903" s="102" t="e">
        <f>#REF!</f>
        <v>#REF!</v>
      </c>
      <c r="M903" s="102" t="e">
        <f>#REF!</f>
        <v>#REF!</v>
      </c>
      <c r="N903" s="102">
        <v>0</v>
      </c>
      <c r="O903" s="102">
        <f>O905</f>
        <v>54066467</v>
      </c>
      <c r="P903" s="101">
        <f>N903+O903</f>
        <v>54066467</v>
      </c>
      <c r="Q903" s="103" t="e">
        <f>#REF!</f>
        <v>#REF!</v>
      </c>
    </row>
    <row r="904" spans="1:17" s="109" customFormat="1" ht="33.75" customHeight="1" hidden="1">
      <c r="A904" s="105" t="s">
        <v>161</v>
      </c>
      <c r="B904" s="106"/>
      <c r="C904" s="106"/>
      <c r="D904" s="94"/>
      <c r="E904" s="94"/>
      <c r="F904" s="94"/>
      <c r="G904" s="94"/>
      <c r="H904" s="94"/>
      <c r="I904" s="94"/>
      <c r="J904" s="107"/>
      <c r="K904" s="107"/>
      <c r="L904" s="107"/>
      <c r="M904" s="107"/>
      <c r="N904" s="107"/>
      <c r="O904" s="107"/>
      <c r="P904" s="101"/>
      <c r="Q904" s="108"/>
    </row>
    <row r="905" spans="1:17" s="104" customFormat="1" ht="22.5" customHeight="1" hidden="1">
      <c r="A905" s="110" t="s">
        <v>184</v>
      </c>
      <c r="B905" s="100"/>
      <c r="C905" s="100"/>
      <c r="D905" s="101"/>
      <c r="E905" s="101">
        <v>2275980</v>
      </c>
      <c r="F905" s="101">
        <v>2275980</v>
      </c>
      <c r="G905" s="101"/>
      <c r="H905" s="101">
        <f>H907</f>
        <v>1108600</v>
      </c>
      <c r="I905" s="101"/>
      <c r="J905" s="102">
        <f>H905</f>
        <v>1108600</v>
      </c>
      <c r="K905" s="102"/>
      <c r="L905" s="102"/>
      <c r="M905" s="102"/>
      <c r="N905" s="102"/>
      <c r="O905" s="102">
        <f>O907</f>
        <v>54066467</v>
      </c>
      <c r="P905" s="101">
        <f aca="true" t="shared" si="51" ref="P905:P911">N905+O905</f>
        <v>54066467</v>
      </c>
      <c r="Q905" s="103"/>
    </row>
    <row r="906" spans="1:17" s="109" customFormat="1" ht="11.25" customHeight="1" hidden="1">
      <c r="A906" s="111" t="s">
        <v>2</v>
      </c>
      <c r="B906" s="106"/>
      <c r="C906" s="106"/>
      <c r="D906" s="94"/>
      <c r="E906" s="94"/>
      <c r="F906" s="94"/>
      <c r="G906" s="94"/>
      <c r="H906" s="94"/>
      <c r="I906" s="94"/>
      <c r="J906" s="107"/>
      <c r="K906" s="107"/>
      <c r="L906" s="107"/>
      <c r="M906" s="107"/>
      <c r="N906" s="107"/>
      <c r="O906" s="107"/>
      <c r="P906" s="101"/>
      <c r="Q906" s="108"/>
    </row>
    <row r="907" spans="1:17" s="109" customFormat="1" ht="11.25" customHeight="1" hidden="1">
      <c r="A907" s="105" t="s">
        <v>23</v>
      </c>
      <c r="B907" s="106"/>
      <c r="C907" s="106"/>
      <c r="D907" s="94"/>
      <c r="E907" s="94">
        <f>2178000+97980</f>
        <v>2275980</v>
      </c>
      <c r="F907" s="94">
        <f>D907+E907</f>
        <v>2275980</v>
      </c>
      <c r="G907" s="94"/>
      <c r="H907" s="94">
        <v>1108600</v>
      </c>
      <c r="I907" s="94"/>
      <c r="J907" s="107">
        <f>H907</f>
        <v>1108600</v>
      </c>
      <c r="K907" s="107"/>
      <c r="L907" s="107"/>
      <c r="M907" s="107"/>
      <c r="N907" s="107"/>
      <c r="O907" s="107">
        <v>54066467</v>
      </c>
      <c r="P907" s="94">
        <f t="shared" si="51"/>
        <v>54066467</v>
      </c>
      <c r="Q907" s="108"/>
    </row>
    <row r="908" spans="1:17" s="109" customFormat="1" ht="11.25" customHeight="1" hidden="1">
      <c r="A908" s="111" t="s">
        <v>3</v>
      </c>
      <c r="B908" s="106"/>
      <c r="C908" s="106"/>
      <c r="D908" s="94"/>
      <c r="E908" s="94"/>
      <c r="F908" s="94"/>
      <c r="G908" s="94"/>
      <c r="H908" s="94"/>
      <c r="I908" s="94"/>
      <c r="J908" s="107"/>
      <c r="K908" s="107"/>
      <c r="L908" s="107"/>
      <c r="M908" s="107"/>
      <c r="N908" s="107"/>
      <c r="O908" s="107"/>
      <c r="P908" s="94"/>
      <c r="Q908" s="108"/>
    </row>
    <row r="909" spans="1:17" s="109" customFormat="1" ht="22.5" customHeight="1" hidden="1">
      <c r="A909" s="105" t="s">
        <v>162</v>
      </c>
      <c r="B909" s="106"/>
      <c r="C909" s="106"/>
      <c r="D909" s="94"/>
      <c r="E909" s="94">
        <v>63</v>
      </c>
      <c r="F909" s="94">
        <v>63</v>
      </c>
      <c r="G909" s="94"/>
      <c r="H909" s="94">
        <v>22</v>
      </c>
      <c r="I909" s="94"/>
      <c r="J909" s="107">
        <f>H909</f>
        <v>22</v>
      </c>
      <c r="K909" s="107"/>
      <c r="L909" s="107"/>
      <c r="M909" s="107"/>
      <c r="N909" s="107"/>
      <c r="O909" s="107">
        <v>1339</v>
      </c>
      <c r="P909" s="94">
        <f t="shared" si="51"/>
        <v>1339</v>
      </c>
      <c r="Q909" s="108"/>
    </row>
    <row r="910" spans="1:17" s="109" customFormat="1" ht="11.25" customHeight="1" hidden="1">
      <c r="A910" s="111" t="s">
        <v>5</v>
      </c>
      <c r="B910" s="106"/>
      <c r="C910" s="106"/>
      <c r="D910" s="94"/>
      <c r="E910" s="94"/>
      <c r="F910" s="94"/>
      <c r="G910" s="94"/>
      <c r="H910" s="94"/>
      <c r="I910" s="94"/>
      <c r="J910" s="107"/>
      <c r="K910" s="107"/>
      <c r="L910" s="107"/>
      <c r="M910" s="107"/>
      <c r="N910" s="107"/>
      <c r="O910" s="107"/>
      <c r="P910" s="94"/>
      <c r="Q910" s="108"/>
    </row>
    <row r="911" spans="1:17" s="109" customFormat="1" ht="22.5" customHeight="1" hidden="1">
      <c r="A911" s="105" t="s">
        <v>163</v>
      </c>
      <c r="B911" s="106"/>
      <c r="C911" s="106"/>
      <c r="D911" s="94"/>
      <c r="E911" s="94">
        <v>36300</v>
      </c>
      <c r="F911" s="94">
        <v>36300</v>
      </c>
      <c r="G911" s="94"/>
      <c r="H911" s="94">
        <v>50390.91</v>
      </c>
      <c r="I911" s="94"/>
      <c r="J911" s="107">
        <f>H911</f>
        <v>50390.91</v>
      </c>
      <c r="K911" s="107"/>
      <c r="L911" s="107"/>
      <c r="M911" s="107"/>
      <c r="N911" s="107"/>
      <c r="O911" s="107">
        <v>40378.24</v>
      </c>
      <c r="P911" s="94">
        <f t="shared" si="51"/>
        <v>40378.24</v>
      </c>
      <c r="Q911" s="108"/>
    </row>
    <row r="912" spans="1:17" s="203" customFormat="1" ht="31.5" customHeight="1" hidden="1">
      <c r="A912" s="200" t="s">
        <v>154</v>
      </c>
      <c r="B912" s="231"/>
      <c r="C912" s="231"/>
      <c r="D912" s="201">
        <f>D914</f>
        <v>100000</v>
      </c>
      <c r="E912" s="201"/>
      <c r="F912" s="201">
        <f aca="true" t="shared" si="52" ref="F912:Q912">F914</f>
        <v>100000</v>
      </c>
      <c r="G912" s="201">
        <f t="shared" si="52"/>
        <v>320000</v>
      </c>
      <c r="H912" s="201"/>
      <c r="I912" s="201">
        <f t="shared" si="52"/>
        <v>0</v>
      </c>
      <c r="J912" s="201">
        <f t="shared" si="52"/>
        <v>320000</v>
      </c>
      <c r="K912" s="201">
        <f t="shared" si="52"/>
        <v>0</v>
      </c>
      <c r="L912" s="201">
        <f t="shared" si="52"/>
        <v>0</v>
      </c>
      <c r="M912" s="201">
        <f t="shared" si="52"/>
        <v>0</v>
      </c>
      <c r="N912" s="201">
        <f>N914</f>
        <v>340000</v>
      </c>
      <c r="O912" s="201"/>
      <c r="P912" s="201">
        <f t="shared" si="52"/>
        <v>340000</v>
      </c>
      <c r="Q912" s="201">
        <f t="shared" si="52"/>
        <v>0</v>
      </c>
    </row>
    <row r="913" spans="1:131" ht="22.5" customHeight="1" hidden="1">
      <c r="A913" s="6" t="s">
        <v>138</v>
      </c>
      <c r="B913" s="4"/>
      <c r="C913" s="4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1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F913" s="34"/>
      <c r="AG913" s="34"/>
      <c r="AH913" s="34"/>
      <c r="AI913" s="34"/>
      <c r="AJ913" s="34"/>
      <c r="AK913" s="34"/>
      <c r="AL913" s="34"/>
      <c r="AM913" s="34"/>
      <c r="AN913" s="34"/>
      <c r="AO913" s="34"/>
      <c r="AP913" s="34"/>
      <c r="AQ913" s="34"/>
      <c r="AR913" s="34"/>
      <c r="AS913" s="34"/>
      <c r="AT913" s="34"/>
      <c r="AU913" s="34"/>
      <c r="AV913" s="34"/>
      <c r="AW913" s="34"/>
      <c r="AX913" s="34"/>
      <c r="AY913" s="34"/>
      <c r="AZ913" s="34"/>
      <c r="BA913" s="34"/>
      <c r="BB913" s="34"/>
      <c r="BC913" s="34"/>
      <c r="BD913" s="34"/>
      <c r="BE913" s="34"/>
      <c r="BF913" s="34"/>
      <c r="BG913" s="34"/>
      <c r="BH913" s="34"/>
      <c r="BI913" s="34"/>
      <c r="BJ913" s="34"/>
      <c r="BK913" s="34"/>
      <c r="BL913" s="34"/>
      <c r="BM913" s="34"/>
      <c r="BN913" s="34"/>
      <c r="BO913" s="34"/>
      <c r="BP913" s="34"/>
      <c r="BQ913" s="34"/>
      <c r="BR913" s="34"/>
      <c r="BS913" s="34"/>
      <c r="BT913" s="34"/>
      <c r="BU913" s="34"/>
      <c r="BV913" s="34"/>
      <c r="BW913" s="34"/>
      <c r="BX913" s="34"/>
      <c r="BY913" s="34"/>
      <c r="BZ913" s="34"/>
      <c r="CA913" s="34"/>
      <c r="CB913" s="34"/>
      <c r="CC913" s="34"/>
      <c r="CD913" s="34"/>
      <c r="CE913" s="34"/>
      <c r="CF913" s="34"/>
      <c r="CG913" s="34"/>
      <c r="CH913" s="34"/>
      <c r="CI913" s="34"/>
      <c r="CJ913" s="34"/>
      <c r="CK913" s="34"/>
      <c r="CL913" s="34"/>
      <c r="CM913" s="34"/>
      <c r="CN913" s="34"/>
      <c r="CO913" s="34"/>
      <c r="CP913" s="34"/>
      <c r="CQ913" s="34"/>
      <c r="CR913" s="34"/>
      <c r="CS913" s="34"/>
      <c r="CT913" s="34"/>
      <c r="CU913" s="34"/>
      <c r="CV913" s="34"/>
      <c r="CW913" s="34"/>
      <c r="CX913" s="34"/>
      <c r="CY913" s="34"/>
      <c r="CZ913" s="34"/>
      <c r="DA913" s="34"/>
      <c r="DB913" s="34"/>
      <c r="DC913" s="34"/>
      <c r="DD913" s="34"/>
      <c r="DE913" s="34"/>
      <c r="DF913" s="34"/>
      <c r="DG913" s="34"/>
      <c r="DH913" s="34"/>
      <c r="DI913" s="34"/>
      <c r="DJ913" s="34"/>
      <c r="DK913" s="34"/>
      <c r="DL913" s="34"/>
      <c r="DM913" s="34"/>
      <c r="DN913" s="34"/>
      <c r="DO913" s="34"/>
      <c r="DP913" s="34"/>
      <c r="DQ913" s="34"/>
      <c r="DR913" s="34"/>
      <c r="DS913" s="34"/>
      <c r="DT913" s="34"/>
      <c r="DU913" s="34"/>
      <c r="DV913" s="34"/>
      <c r="DW913" s="34"/>
      <c r="DX913" s="34"/>
      <c r="DY913" s="34"/>
      <c r="DZ913" s="34"/>
      <c r="EA913" s="34"/>
    </row>
    <row r="914" spans="1:17" s="197" customFormat="1" ht="43.5" customHeight="1" hidden="1">
      <c r="A914" s="194" t="s">
        <v>497</v>
      </c>
      <c r="B914" s="195"/>
      <c r="C914" s="195"/>
      <c r="D914" s="223">
        <f>D916</f>
        <v>100000</v>
      </c>
      <c r="E914" s="223"/>
      <c r="F914" s="223">
        <f>D914+E914</f>
        <v>100000</v>
      </c>
      <c r="G914" s="193">
        <f>G916</f>
        <v>320000</v>
      </c>
      <c r="H914" s="193"/>
      <c r="I914" s="193"/>
      <c r="J914" s="193">
        <f>J916</f>
        <v>320000</v>
      </c>
      <c r="K914" s="193"/>
      <c r="L914" s="193"/>
      <c r="M914" s="193"/>
      <c r="N914" s="193">
        <f>N916</f>
        <v>340000</v>
      </c>
      <c r="O914" s="193"/>
      <c r="P914" s="193">
        <f>N914</f>
        <v>340000</v>
      </c>
      <c r="Q914" s="234"/>
    </row>
    <row r="915" spans="1:131" ht="11.25" customHeight="1" hidden="1">
      <c r="A915" s="3" t="s">
        <v>2</v>
      </c>
      <c r="B915" s="4"/>
      <c r="C915" s="4"/>
      <c r="D915" s="46"/>
      <c r="E915" s="46"/>
      <c r="F915" s="46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1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  <c r="AF915" s="34"/>
      <c r="AG915" s="34"/>
      <c r="AH915" s="34"/>
      <c r="AI915" s="34"/>
      <c r="AJ915" s="34"/>
      <c r="AK915" s="34"/>
      <c r="AL915" s="34"/>
      <c r="AM915" s="34"/>
      <c r="AN915" s="34"/>
      <c r="AO915" s="34"/>
      <c r="AP915" s="34"/>
      <c r="AQ915" s="34"/>
      <c r="AR915" s="34"/>
      <c r="AS915" s="34"/>
      <c r="AT915" s="34"/>
      <c r="AU915" s="34"/>
      <c r="AV915" s="34"/>
      <c r="AW915" s="34"/>
      <c r="AX915" s="34"/>
      <c r="AY915" s="34"/>
      <c r="AZ915" s="34"/>
      <c r="BA915" s="34"/>
      <c r="BB915" s="34"/>
      <c r="BC915" s="34"/>
      <c r="BD915" s="34"/>
      <c r="BE915" s="34"/>
      <c r="BF915" s="34"/>
      <c r="BG915" s="34"/>
      <c r="BH915" s="34"/>
      <c r="BI915" s="34"/>
      <c r="BJ915" s="34"/>
      <c r="BK915" s="34"/>
      <c r="BL915" s="34"/>
      <c r="BM915" s="34"/>
      <c r="BN915" s="34"/>
      <c r="BO915" s="34"/>
      <c r="BP915" s="34"/>
      <c r="BQ915" s="34"/>
      <c r="BR915" s="34"/>
      <c r="BS915" s="34"/>
      <c r="BT915" s="34"/>
      <c r="BU915" s="34"/>
      <c r="BV915" s="34"/>
      <c r="BW915" s="34"/>
      <c r="BX915" s="34"/>
      <c r="BY915" s="34"/>
      <c r="BZ915" s="34"/>
      <c r="CA915" s="34"/>
      <c r="CB915" s="34"/>
      <c r="CC915" s="34"/>
      <c r="CD915" s="34"/>
      <c r="CE915" s="34"/>
      <c r="CF915" s="34"/>
      <c r="CG915" s="34"/>
      <c r="CH915" s="34"/>
      <c r="CI915" s="34"/>
      <c r="CJ915" s="34"/>
      <c r="CK915" s="34"/>
      <c r="CL915" s="34"/>
      <c r="CM915" s="34"/>
      <c r="CN915" s="34"/>
      <c r="CO915" s="34"/>
      <c r="CP915" s="34"/>
      <c r="CQ915" s="34"/>
      <c r="CR915" s="34"/>
      <c r="CS915" s="34"/>
      <c r="CT915" s="34"/>
      <c r="CU915" s="34"/>
      <c r="CV915" s="34"/>
      <c r="CW915" s="34"/>
      <c r="CX915" s="34"/>
      <c r="CY915" s="34"/>
      <c r="CZ915" s="34"/>
      <c r="DA915" s="34"/>
      <c r="DB915" s="34"/>
      <c r="DC915" s="34"/>
      <c r="DD915" s="34"/>
      <c r="DE915" s="34"/>
      <c r="DF915" s="34"/>
      <c r="DG915" s="34"/>
      <c r="DH915" s="34"/>
      <c r="DI915" s="34"/>
      <c r="DJ915" s="34"/>
      <c r="DK915" s="34"/>
      <c r="DL915" s="34"/>
      <c r="DM915" s="34"/>
      <c r="DN915" s="34"/>
      <c r="DO915" s="34"/>
      <c r="DP915" s="34"/>
      <c r="DQ915" s="34"/>
      <c r="DR915" s="34"/>
      <c r="DS915" s="34"/>
      <c r="DT915" s="34"/>
      <c r="DU915" s="34"/>
      <c r="DV915" s="34"/>
      <c r="DW915" s="34"/>
      <c r="DX915" s="34"/>
      <c r="DY915" s="34"/>
      <c r="DZ915" s="34"/>
      <c r="EA915" s="34"/>
    </row>
    <row r="916" spans="1:131" ht="10.5" customHeight="1" hidden="1">
      <c r="A916" s="6" t="s">
        <v>23</v>
      </c>
      <c r="B916" s="4"/>
      <c r="C916" s="4"/>
      <c r="D916" s="46">
        <f>300000-200000</f>
        <v>100000</v>
      </c>
      <c r="E916" s="46"/>
      <c r="F916" s="46">
        <f>D916+E916</f>
        <v>100000</v>
      </c>
      <c r="G916" s="5">
        <v>320000</v>
      </c>
      <c r="H916" s="5"/>
      <c r="I916" s="5"/>
      <c r="J916" s="5">
        <f>G916+H916</f>
        <v>320000</v>
      </c>
      <c r="K916" s="5"/>
      <c r="L916" s="5"/>
      <c r="M916" s="5"/>
      <c r="N916" s="5">
        <v>340000</v>
      </c>
      <c r="O916" s="5"/>
      <c r="P916" s="5">
        <f>P919*P921</f>
        <v>340000</v>
      </c>
      <c r="Q916" s="1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F916" s="34"/>
      <c r="AG916" s="34"/>
      <c r="AH916" s="34"/>
      <c r="AI916" s="34"/>
      <c r="AJ916" s="34"/>
      <c r="AK916" s="34"/>
      <c r="AL916" s="34"/>
      <c r="AM916" s="34"/>
      <c r="AN916" s="34"/>
      <c r="AO916" s="34"/>
      <c r="AP916" s="34"/>
      <c r="AQ916" s="34"/>
      <c r="AR916" s="34"/>
      <c r="AS916" s="34"/>
      <c r="AT916" s="34"/>
      <c r="AU916" s="34"/>
      <c r="AV916" s="34"/>
      <c r="AW916" s="34"/>
      <c r="AX916" s="34"/>
      <c r="AY916" s="34"/>
      <c r="AZ916" s="34"/>
      <c r="BA916" s="34"/>
      <c r="BB916" s="34"/>
      <c r="BC916" s="34"/>
      <c r="BD916" s="34"/>
      <c r="BE916" s="34"/>
      <c r="BF916" s="34"/>
      <c r="BG916" s="34"/>
      <c r="BH916" s="34"/>
      <c r="BI916" s="34"/>
      <c r="BJ916" s="34"/>
      <c r="BK916" s="34"/>
      <c r="BL916" s="34"/>
      <c r="BM916" s="34"/>
      <c r="BN916" s="34"/>
      <c r="BO916" s="34"/>
      <c r="BP916" s="34"/>
      <c r="BQ916" s="34"/>
      <c r="BR916" s="34"/>
      <c r="BS916" s="34"/>
      <c r="BT916" s="34"/>
      <c r="BU916" s="34"/>
      <c r="BV916" s="34"/>
      <c r="BW916" s="34"/>
      <c r="BX916" s="34"/>
      <c r="BY916" s="34"/>
      <c r="BZ916" s="34"/>
      <c r="CA916" s="34"/>
      <c r="CB916" s="34"/>
      <c r="CC916" s="34"/>
      <c r="CD916" s="34"/>
      <c r="CE916" s="34"/>
      <c r="CF916" s="34"/>
      <c r="CG916" s="34"/>
      <c r="CH916" s="34"/>
      <c r="CI916" s="34"/>
      <c r="CJ916" s="34"/>
      <c r="CK916" s="34"/>
      <c r="CL916" s="34"/>
      <c r="CM916" s="34"/>
      <c r="CN916" s="34"/>
      <c r="CO916" s="34"/>
      <c r="CP916" s="34"/>
      <c r="CQ916" s="34"/>
      <c r="CR916" s="34"/>
      <c r="CS916" s="34"/>
      <c r="CT916" s="34"/>
      <c r="CU916" s="34"/>
      <c r="CV916" s="34"/>
      <c r="CW916" s="34"/>
      <c r="CX916" s="34"/>
      <c r="CY916" s="34"/>
      <c r="CZ916" s="34"/>
      <c r="DA916" s="34"/>
      <c r="DB916" s="34"/>
      <c r="DC916" s="34"/>
      <c r="DD916" s="34"/>
      <c r="DE916" s="34"/>
      <c r="DF916" s="34"/>
      <c r="DG916" s="34"/>
      <c r="DH916" s="34"/>
      <c r="DI916" s="34"/>
      <c r="DJ916" s="34"/>
      <c r="DK916" s="34"/>
      <c r="DL916" s="34"/>
      <c r="DM916" s="34"/>
      <c r="DN916" s="34"/>
      <c r="DO916" s="34"/>
      <c r="DP916" s="34"/>
      <c r="DQ916" s="34"/>
      <c r="DR916" s="34"/>
      <c r="DS916" s="34"/>
      <c r="DT916" s="34"/>
      <c r="DU916" s="34"/>
      <c r="DV916" s="34"/>
      <c r="DW916" s="34"/>
      <c r="DX916" s="34"/>
      <c r="DY916" s="34"/>
      <c r="DZ916" s="34"/>
      <c r="EA916" s="34"/>
    </row>
    <row r="917" spans="1:131" ht="13.5" customHeight="1" hidden="1">
      <c r="A917" s="3" t="s">
        <v>3</v>
      </c>
      <c r="B917" s="4"/>
      <c r="C917" s="4"/>
      <c r="D917" s="46"/>
      <c r="E917" s="46"/>
      <c r="F917" s="46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1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4"/>
      <c r="AD917" s="34"/>
      <c r="AE917" s="34"/>
      <c r="AF917" s="34"/>
      <c r="AG917" s="34"/>
      <c r="AH917" s="34"/>
      <c r="AI917" s="34"/>
      <c r="AJ917" s="34"/>
      <c r="AK917" s="34"/>
      <c r="AL917" s="34"/>
      <c r="AM917" s="34"/>
      <c r="AN917" s="34"/>
      <c r="AO917" s="34"/>
      <c r="AP917" s="34"/>
      <c r="AQ917" s="34"/>
      <c r="AR917" s="34"/>
      <c r="AS917" s="34"/>
      <c r="AT917" s="34"/>
      <c r="AU917" s="34"/>
      <c r="AV917" s="34"/>
      <c r="AW917" s="34"/>
      <c r="AX917" s="34"/>
      <c r="AY917" s="34"/>
      <c r="AZ917" s="34"/>
      <c r="BA917" s="34"/>
      <c r="BB917" s="34"/>
      <c r="BC917" s="34"/>
      <c r="BD917" s="34"/>
      <c r="BE917" s="34"/>
      <c r="BF917" s="34"/>
      <c r="BG917" s="34"/>
      <c r="BH917" s="34"/>
      <c r="BI917" s="34"/>
      <c r="BJ917" s="34"/>
      <c r="BK917" s="34"/>
      <c r="BL917" s="34"/>
      <c r="BM917" s="34"/>
      <c r="BN917" s="34"/>
      <c r="BO917" s="34"/>
      <c r="BP917" s="34"/>
      <c r="BQ917" s="34"/>
      <c r="BR917" s="34"/>
      <c r="BS917" s="34"/>
      <c r="BT917" s="34"/>
      <c r="BU917" s="34"/>
      <c r="BV917" s="34"/>
      <c r="BW917" s="34"/>
      <c r="BX917" s="34"/>
      <c r="BY917" s="34"/>
      <c r="BZ917" s="34"/>
      <c r="CA917" s="34"/>
      <c r="CB917" s="34"/>
      <c r="CC917" s="34"/>
      <c r="CD917" s="34"/>
      <c r="CE917" s="34"/>
      <c r="CF917" s="34"/>
      <c r="CG917" s="34"/>
      <c r="CH917" s="34"/>
      <c r="CI917" s="34"/>
      <c r="CJ917" s="34"/>
      <c r="CK917" s="34"/>
      <c r="CL917" s="34"/>
      <c r="CM917" s="34"/>
      <c r="CN917" s="34"/>
      <c r="CO917" s="34"/>
      <c r="CP917" s="34"/>
      <c r="CQ917" s="34"/>
      <c r="CR917" s="34"/>
      <c r="CS917" s="34"/>
      <c r="CT917" s="34"/>
      <c r="CU917" s="34"/>
      <c r="CV917" s="34"/>
      <c r="CW917" s="34"/>
      <c r="CX917" s="34"/>
      <c r="CY917" s="34"/>
      <c r="CZ917" s="34"/>
      <c r="DA917" s="34"/>
      <c r="DB917" s="34"/>
      <c r="DC917" s="34"/>
      <c r="DD917" s="34"/>
      <c r="DE917" s="34"/>
      <c r="DF917" s="34"/>
      <c r="DG917" s="34"/>
      <c r="DH917" s="34"/>
      <c r="DI917" s="34"/>
      <c r="DJ917" s="34"/>
      <c r="DK917" s="34"/>
      <c r="DL917" s="34"/>
      <c r="DM917" s="34"/>
      <c r="DN917" s="34"/>
      <c r="DO917" s="34"/>
      <c r="DP917" s="34"/>
      <c r="DQ917" s="34"/>
      <c r="DR917" s="34"/>
      <c r="DS917" s="34"/>
      <c r="DT917" s="34"/>
      <c r="DU917" s="34"/>
      <c r="DV917" s="34"/>
      <c r="DW917" s="34"/>
      <c r="DX917" s="34"/>
      <c r="DY917" s="34"/>
      <c r="DZ917" s="34"/>
      <c r="EA917" s="34"/>
    </row>
    <row r="918" spans="1:131" ht="1.5" customHeight="1" hidden="1">
      <c r="A918" s="6" t="s">
        <v>89</v>
      </c>
      <c r="B918" s="4"/>
      <c r="C918" s="4"/>
      <c r="D918" s="46"/>
      <c r="E918" s="46"/>
      <c r="F918" s="46">
        <f>D918+E918</f>
        <v>0</v>
      </c>
      <c r="G918" s="46"/>
      <c r="H918" s="46"/>
      <c r="I918" s="46"/>
      <c r="J918" s="46"/>
      <c r="K918" s="5"/>
      <c r="L918" s="5"/>
      <c r="M918" s="5"/>
      <c r="N918" s="5"/>
      <c r="O918" s="5"/>
      <c r="P918" s="5"/>
      <c r="Q918" s="1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  <c r="AC918" s="34"/>
      <c r="AD918" s="34"/>
      <c r="AE918" s="34"/>
      <c r="AF918" s="34"/>
      <c r="AG918" s="34"/>
      <c r="AH918" s="34"/>
      <c r="AI918" s="34"/>
      <c r="AJ918" s="34"/>
      <c r="AK918" s="34"/>
      <c r="AL918" s="34"/>
      <c r="AM918" s="34"/>
      <c r="AN918" s="34"/>
      <c r="AO918" s="34"/>
      <c r="AP918" s="34"/>
      <c r="AQ918" s="34"/>
      <c r="AR918" s="34"/>
      <c r="AS918" s="34"/>
      <c r="AT918" s="34"/>
      <c r="AU918" s="34"/>
      <c r="AV918" s="34"/>
      <c r="AW918" s="34"/>
      <c r="AX918" s="34"/>
      <c r="AY918" s="34"/>
      <c r="AZ918" s="34"/>
      <c r="BA918" s="34"/>
      <c r="BB918" s="34"/>
      <c r="BC918" s="34"/>
      <c r="BD918" s="34"/>
      <c r="BE918" s="34"/>
      <c r="BF918" s="34"/>
      <c r="BG918" s="34"/>
      <c r="BH918" s="34"/>
      <c r="BI918" s="34"/>
      <c r="BJ918" s="34"/>
      <c r="BK918" s="34"/>
      <c r="BL918" s="34"/>
      <c r="BM918" s="34"/>
      <c r="BN918" s="34"/>
      <c r="BO918" s="34"/>
      <c r="BP918" s="34"/>
      <c r="BQ918" s="34"/>
      <c r="BR918" s="34"/>
      <c r="BS918" s="34"/>
      <c r="BT918" s="34"/>
      <c r="BU918" s="34"/>
      <c r="BV918" s="34"/>
      <c r="BW918" s="34"/>
      <c r="BX918" s="34"/>
      <c r="BY918" s="34"/>
      <c r="BZ918" s="34"/>
      <c r="CA918" s="34"/>
      <c r="CB918" s="34"/>
      <c r="CC918" s="34"/>
      <c r="CD918" s="34"/>
      <c r="CE918" s="34"/>
      <c r="CF918" s="34"/>
      <c r="CG918" s="34"/>
      <c r="CH918" s="34"/>
      <c r="CI918" s="34"/>
      <c r="CJ918" s="34"/>
      <c r="CK918" s="34"/>
      <c r="CL918" s="34"/>
      <c r="CM918" s="34"/>
      <c r="CN918" s="34"/>
      <c r="CO918" s="34"/>
      <c r="CP918" s="34"/>
      <c r="CQ918" s="34"/>
      <c r="CR918" s="34"/>
      <c r="CS918" s="34"/>
      <c r="CT918" s="34"/>
      <c r="CU918" s="34"/>
      <c r="CV918" s="34"/>
      <c r="CW918" s="34"/>
      <c r="CX918" s="34"/>
      <c r="CY918" s="34"/>
      <c r="CZ918" s="34"/>
      <c r="DA918" s="34"/>
      <c r="DB918" s="34"/>
      <c r="DC918" s="34"/>
      <c r="DD918" s="34"/>
      <c r="DE918" s="34"/>
      <c r="DF918" s="34"/>
      <c r="DG918" s="34"/>
      <c r="DH918" s="34"/>
      <c r="DI918" s="34"/>
      <c r="DJ918" s="34"/>
      <c r="DK918" s="34"/>
      <c r="DL918" s="34"/>
      <c r="DM918" s="34"/>
      <c r="DN918" s="34"/>
      <c r="DO918" s="34"/>
      <c r="DP918" s="34"/>
      <c r="DQ918" s="34"/>
      <c r="DR918" s="34"/>
      <c r="DS918" s="34"/>
      <c r="DT918" s="34"/>
      <c r="DU918" s="34"/>
      <c r="DV918" s="34"/>
      <c r="DW918" s="34"/>
      <c r="DX918" s="34"/>
      <c r="DY918" s="34"/>
      <c r="DZ918" s="34"/>
      <c r="EA918" s="34"/>
    </row>
    <row r="919" spans="1:131" ht="15" customHeight="1" hidden="1">
      <c r="A919" s="6" t="s">
        <v>93</v>
      </c>
      <c r="B919" s="4"/>
      <c r="C919" s="4"/>
      <c r="D919" s="276">
        <v>5</v>
      </c>
      <c r="E919" s="276"/>
      <c r="F919" s="276">
        <f>D919+E919</f>
        <v>5</v>
      </c>
      <c r="G919" s="276">
        <v>20</v>
      </c>
      <c r="H919" s="276"/>
      <c r="I919" s="276"/>
      <c r="J919" s="276">
        <f>G919+H919</f>
        <v>20</v>
      </c>
      <c r="K919" s="5"/>
      <c r="L919" s="5"/>
      <c r="M919" s="5"/>
      <c r="N919" s="89">
        <v>20</v>
      </c>
      <c r="O919" s="5"/>
      <c r="P919" s="89">
        <f>N919</f>
        <v>20</v>
      </c>
      <c r="Q919" s="1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  <c r="AC919" s="34"/>
      <c r="AD919" s="34"/>
      <c r="AE919" s="34"/>
      <c r="AF919" s="34"/>
      <c r="AG919" s="34"/>
      <c r="AH919" s="34"/>
      <c r="AI919" s="34"/>
      <c r="AJ919" s="34"/>
      <c r="AK919" s="34"/>
      <c r="AL919" s="34"/>
      <c r="AM919" s="34"/>
      <c r="AN919" s="34"/>
      <c r="AO919" s="34"/>
      <c r="AP919" s="34"/>
      <c r="AQ919" s="34"/>
      <c r="AR919" s="34"/>
      <c r="AS919" s="34"/>
      <c r="AT919" s="34"/>
      <c r="AU919" s="34"/>
      <c r="AV919" s="34"/>
      <c r="AW919" s="34"/>
      <c r="AX919" s="34"/>
      <c r="AY919" s="34"/>
      <c r="AZ919" s="34"/>
      <c r="BA919" s="34"/>
      <c r="BB919" s="34"/>
      <c r="BC919" s="34"/>
      <c r="BD919" s="34"/>
      <c r="BE919" s="34"/>
      <c r="BF919" s="34"/>
      <c r="BG919" s="34"/>
      <c r="BH919" s="34"/>
      <c r="BI919" s="34"/>
      <c r="BJ919" s="34"/>
      <c r="BK919" s="34"/>
      <c r="BL919" s="34"/>
      <c r="BM919" s="34"/>
      <c r="BN919" s="34"/>
      <c r="BO919" s="34"/>
      <c r="BP919" s="34"/>
      <c r="BQ919" s="34"/>
      <c r="BR919" s="34"/>
      <c r="BS919" s="34"/>
      <c r="BT919" s="34"/>
      <c r="BU919" s="34"/>
      <c r="BV919" s="34"/>
      <c r="BW919" s="34"/>
      <c r="BX919" s="34"/>
      <c r="BY919" s="34"/>
      <c r="BZ919" s="34"/>
      <c r="CA919" s="34"/>
      <c r="CB919" s="34"/>
      <c r="CC919" s="34"/>
      <c r="CD919" s="34"/>
      <c r="CE919" s="34"/>
      <c r="CF919" s="34"/>
      <c r="CG919" s="34"/>
      <c r="CH919" s="34"/>
      <c r="CI919" s="34"/>
      <c r="CJ919" s="34"/>
      <c r="CK919" s="34"/>
      <c r="CL919" s="34"/>
      <c r="CM919" s="34"/>
      <c r="CN919" s="34"/>
      <c r="CO919" s="34"/>
      <c r="CP919" s="34"/>
      <c r="CQ919" s="34"/>
      <c r="CR919" s="34"/>
      <c r="CS919" s="34"/>
      <c r="CT919" s="34"/>
      <c r="CU919" s="34"/>
      <c r="CV919" s="34"/>
      <c r="CW919" s="34"/>
      <c r="CX919" s="34"/>
      <c r="CY919" s="34"/>
      <c r="CZ919" s="34"/>
      <c r="DA919" s="34"/>
      <c r="DB919" s="34"/>
      <c r="DC919" s="34"/>
      <c r="DD919" s="34"/>
      <c r="DE919" s="34"/>
      <c r="DF919" s="34"/>
      <c r="DG919" s="34"/>
      <c r="DH919" s="34"/>
      <c r="DI919" s="34"/>
      <c r="DJ919" s="34"/>
      <c r="DK919" s="34"/>
      <c r="DL919" s="34"/>
      <c r="DM919" s="34"/>
      <c r="DN919" s="34"/>
      <c r="DO919" s="34"/>
      <c r="DP919" s="34"/>
      <c r="DQ919" s="34"/>
      <c r="DR919" s="34"/>
      <c r="DS919" s="34"/>
      <c r="DT919" s="34"/>
      <c r="DU919" s="34"/>
      <c r="DV919" s="34"/>
      <c r="DW919" s="34"/>
      <c r="DX919" s="34"/>
      <c r="DY919" s="34"/>
      <c r="DZ919" s="34"/>
      <c r="EA919" s="34"/>
    </row>
    <row r="920" spans="1:131" ht="10.5" customHeight="1" hidden="1">
      <c r="A920" s="3" t="s">
        <v>5</v>
      </c>
      <c r="B920" s="4"/>
      <c r="C920" s="4"/>
      <c r="D920" s="46"/>
      <c r="E920" s="46"/>
      <c r="F920" s="46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1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  <c r="AC920" s="34"/>
      <c r="AD920" s="34"/>
      <c r="AE920" s="34"/>
      <c r="AF920" s="34"/>
      <c r="AG920" s="34"/>
      <c r="AH920" s="34"/>
      <c r="AI920" s="34"/>
      <c r="AJ920" s="34"/>
      <c r="AK920" s="34"/>
      <c r="AL920" s="34"/>
      <c r="AM920" s="34"/>
      <c r="AN920" s="34"/>
      <c r="AO920" s="34"/>
      <c r="AP920" s="34"/>
      <c r="AQ920" s="34"/>
      <c r="AR920" s="34"/>
      <c r="AS920" s="34"/>
      <c r="AT920" s="34"/>
      <c r="AU920" s="34"/>
      <c r="AV920" s="34"/>
      <c r="AW920" s="34"/>
      <c r="AX920" s="34"/>
      <c r="AY920" s="34"/>
      <c r="AZ920" s="34"/>
      <c r="BA920" s="34"/>
      <c r="BB920" s="34"/>
      <c r="BC920" s="34"/>
      <c r="BD920" s="34"/>
      <c r="BE920" s="34"/>
      <c r="BF920" s="34"/>
      <c r="BG920" s="34"/>
      <c r="BH920" s="34"/>
      <c r="BI920" s="34"/>
      <c r="BJ920" s="34"/>
      <c r="BK920" s="34"/>
      <c r="BL920" s="34"/>
      <c r="BM920" s="34"/>
      <c r="BN920" s="34"/>
      <c r="BO920" s="34"/>
      <c r="BP920" s="34"/>
      <c r="BQ920" s="34"/>
      <c r="BR920" s="34"/>
      <c r="BS920" s="34"/>
      <c r="BT920" s="34"/>
      <c r="BU920" s="34"/>
      <c r="BV920" s="34"/>
      <c r="BW920" s="34"/>
      <c r="BX920" s="34"/>
      <c r="BY920" s="34"/>
      <c r="BZ920" s="34"/>
      <c r="CA920" s="34"/>
      <c r="CB920" s="34"/>
      <c r="CC920" s="34"/>
      <c r="CD920" s="34"/>
      <c r="CE920" s="34"/>
      <c r="CF920" s="34"/>
      <c r="CG920" s="34"/>
      <c r="CH920" s="34"/>
      <c r="CI920" s="34"/>
      <c r="CJ920" s="34"/>
      <c r="CK920" s="34"/>
      <c r="CL920" s="34"/>
      <c r="CM920" s="34"/>
      <c r="CN920" s="34"/>
      <c r="CO920" s="34"/>
      <c r="CP920" s="34"/>
      <c r="CQ920" s="34"/>
      <c r="CR920" s="34"/>
      <c r="CS920" s="34"/>
      <c r="CT920" s="34"/>
      <c r="CU920" s="34"/>
      <c r="CV920" s="34"/>
      <c r="CW920" s="34"/>
      <c r="CX920" s="34"/>
      <c r="CY920" s="34"/>
      <c r="CZ920" s="34"/>
      <c r="DA920" s="34"/>
      <c r="DB920" s="34"/>
      <c r="DC920" s="34"/>
      <c r="DD920" s="34"/>
      <c r="DE920" s="34"/>
      <c r="DF920" s="34"/>
      <c r="DG920" s="34"/>
      <c r="DH920" s="34"/>
      <c r="DI920" s="34"/>
      <c r="DJ920" s="34"/>
      <c r="DK920" s="34"/>
      <c r="DL920" s="34"/>
      <c r="DM920" s="34"/>
      <c r="DN920" s="34"/>
      <c r="DO920" s="34"/>
      <c r="DP920" s="34"/>
      <c r="DQ920" s="34"/>
      <c r="DR920" s="34"/>
      <c r="DS920" s="34"/>
      <c r="DT920" s="34"/>
      <c r="DU920" s="34"/>
      <c r="DV920" s="34"/>
      <c r="DW920" s="34"/>
      <c r="DX920" s="34"/>
      <c r="DY920" s="34"/>
      <c r="DZ920" s="34"/>
      <c r="EA920" s="34"/>
    </row>
    <row r="921" spans="1:131" ht="22.5" customHeight="1" hidden="1">
      <c r="A921" s="6" t="s">
        <v>94</v>
      </c>
      <c r="B921" s="4"/>
      <c r="C921" s="4"/>
      <c r="D921" s="5">
        <f>D916/D919</f>
        <v>20000</v>
      </c>
      <c r="E921" s="5"/>
      <c r="F921" s="46">
        <f>D921+E921</f>
        <v>20000</v>
      </c>
      <c r="G921" s="5">
        <f>G916/G919</f>
        <v>16000</v>
      </c>
      <c r="H921" s="5"/>
      <c r="I921" s="5"/>
      <c r="J921" s="5">
        <f>G921+H921</f>
        <v>16000</v>
      </c>
      <c r="K921" s="5"/>
      <c r="L921" s="5"/>
      <c r="M921" s="5"/>
      <c r="N921" s="5">
        <f>N916/N919</f>
        <v>17000</v>
      </c>
      <c r="O921" s="5"/>
      <c r="P921" s="5">
        <f>N921</f>
        <v>17000</v>
      </c>
      <c r="Q921" s="1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34"/>
      <c r="AF921" s="34"/>
      <c r="AG921" s="34"/>
      <c r="AH921" s="34"/>
      <c r="AI921" s="34"/>
      <c r="AJ921" s="34"/>
      <c r="AK921" s="34"/>
      <c r="AL921" s="34"/>
      <c r="AM921" s="34"/>
      <c r="AN921" s="34"/>
      <c r="AO921" s="34"/>
      <c r="AP921" s="34"/>
      <c r="AQ921" s="34"/>
      <c r="AR921" s="34"/>
      <c r="AS921" s="34"/>
      <c r="AT921" s="34"/>
      <c r="AU921" s="34"/>
      <c r="AV921" s="34"/>
      <c r="AW921" s="34"/>
      <c r="AX921" s="34"/>
      <c r="AY921" s="34"/>
      <c r="AZ921" s="34"/>
      <c r="BA921" s="34"/>
      <c r="BB921" s="34"/>
      <c r="BC921" s="34"/>
      <c r="BD921" s="34"/>
      <c r="BE921" s="34"/>
      <c r="BF921" s="34"/>
      <c r="BG921" s="34"/>
      <c r="BH921" s="34"/>
      <c r="BI921" s="34"/>
      <c r="BJ921" s="34"/>
      <c r="BK921" s="34"/>
      <c r="BL921" s="34"/>
      <c r="BM921" s="34"/>
      <c r="BN921" s="34"/>
      <c r="BO921" s="34"/>
      <c r="BP921" s="34"/>
      <c r="BQ921" s="34"/>
      <c r="BR921" s="34"/>
      <c r="BS921" s="34"/>
      <c r="BT921" s="34"/>
      <c r="BU921" s="34"/>
      <c r="BV921" s="34"/>
      <c r="BW921" s="34"/>
      <c r="BX921" s="34"/>
      <c r="BY921" s="34"/>
      <c r="BZ921" s="34"/>
      <c r="CA921" s="34"/>
      <c r="CB921" s="34"/>
      <c r="CC921" s="34"/>
      <c r="CD921" s="34"/>
      <c r="CE921" s="34"/>
      <c r="CF921" s="34"/>
      <c r="CG921" s="34"/>
      <c r="CH921" s="34"/>
      <c r="CI921" s="34"/>
      <c r="CJ921" s="34"/>
      <c r="CK921" s="34"/>
      <c r="CL921" s="34"/>
      <c r="CM921" s="34"/>
      <c r="CN921" s="34"/>
      <c r="CO921" s="34"/>
      <c r="CP921" s="34"/>
      <c r="CQ921" s="34"/>
      <c r="CR921" s="34"/>
      <c r="CS921" s="34"/>
      <c r="CT921" s="34"/>
      <c r="CU921" s="34"/>
      <c r="CV921" s="34"/>
      <c r="CW921" s="34"/>
      <c r="CX921" s="34"/>
      <c r="CY921" s="34"/>
      <c r="CZ921" s="34"/>
      <c r="DA921" s="34"/>
      <c r="DB921" s="34"/>
      <c r="DC921" s="34"/>
      <c r="DD921" s="34"/>
      <c r="DE921" s="34"/>
      <c r="DF921" s="34"/>
      <c r="DG921" s="34"/>
      <c r="DH921" s="34"/>
      <c r="DI921" s="34"/>
      <c r="DJ921" s="34"/>
      <c r="DK921" s="34"/>
      <c r="DL921" s="34"/>
      <c r="DM921" s="34"/>
      <c r="DN921" s="34"/>
      <c r="DO921" s="34"/>
      <c r="DP921" s="34"/>
      <c r="DQ921" s="34"/>
      <c r="DR921" s="34"/>
      <c r="DS921" s="34"/>
      <c r="DT921" s="34"/>
      <c r="DU921" s="34"/>
      <c r="DV921" s="34"/>
      <c r="DW921" s="34"/>
      <c r="DX921" s="34"/>
      <c r="DY921" s="34"/>
      <c r="DZ921" s="34"/>
      <c r="EA921" s="34"/>
    </row>
    <row r="922" spans="1:17" s="203" customFormat="1" ht="29.25" customHeight="1" hidden="1">
      <c r="A922" s="236" t="s">
        <v>155</v>
      </c>
      <c r="B922" s="231"/>
      <c r="C922" s="231"/>
      <c r="D922" s="201">
        <f>D923</f>
        <v>210000</v>
      </c>
      <c r="E922" s="201"/>
      <c r="F922" s="201">
        <f>F923</f>
        <v>210000</v>
      </c>
      <c r="G922" s="201">
        <f>G923</f>
        <v>831732</v>
      </c>
      <c r="H922" s="201"/>
      <c r="I922" s="201">
        <f>I923</f>
        <v>0</v>
      </c>
      <c r="J922" s="201">
        <f>G922</f>
        <v>831732</v>
      </c>
      <c r="K922" s="237"/>
      <c r="L922" s="237"/>
      <c r="M922" s="237"/>
      <c r="N922" s="201">
        <f>N923</f>
        <v>828635</v>
      </c>
      <c r="O922" s="201"/>
      <c r="P922" s="201">
        <f>N922</f>
        <v>828635</v>
      </c>
      <c r="Q922" s="233"/>
    </row>
    <row r="923" spans="1:17" s="197" customFormat="1" ht="30.75" customHeight="1" hidden="1">
      <c r="A923" s="194" t="s">
        <v>498</v>
      </c>
      <c r="B923" s="195"/>
      <c r="C923" s="195"/>
      <c r="D923" s="193">
        <f>D925</f>
        <v>210000</v>
      </c>
      <c r="E923" s="193"/>
      <c r="F923" s="238">
        <f>D923</f>
        <v>210000</v>
      </c>
      <c r="G923" s="193">
        <f>G927*G929</f>
        <v>831732</v>
      </c>
      <c r="H923" s="193"/>
      <c r="I923" s="193"/>
      <c r="J923" s="193">
        <f>G923</f>
        <v>831732</v>
      </c>
      <c r="K923" s="193"/>
      <c r="L923" s="193"/>
      <c r="M923" s="193"/>
      <c r="N923" s="193">
        <f>N927*N929</f>
        <v>828635</v>
      </c>
      <c r="O923" s="193"/>
      <c r="P923" s="193">
        <f>N923</f>
        <v>828635</v>
      </c>
      <c r="Q923" s="234"/>
    </row>
    <row r="924" spans="1:131" ht="11.25" customHeight="1" hidden="1">
      <c r="A924" s="3" t="s">
        <v>2</v>
      </c>
      <c r="B924" s="4"/>
      <c r="C924" s="4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1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  <c r="AB924" s="34"/>
      <c r="AC924" s="34"/>
      <c r="AD924" s="34"/>
      <c r="AE924" s="34"/>
      <c r="AF924" s="34"/>
      <c r="AG924" s="34"/>
      <c r="AH924" s="34"/>
      <c r="AI924" s="34"/>
      <c r="AJ924" s="34"/>
      <c r="AK924" s="34"/>
      <c r="AL924" s="34"/>
      <c r="AM924" s="34"/>
      <c r="AN924" s="34"/>
      <c r="AO924" s="34"/>
      <c r="AP924" s="34"/>
      <c r="AQ924" s="34"/>
      <c r="AR924" s="34"/>
      <c r="AS924" s="34"/>
      <c r="AT924" s="34"/>
      <c r="AU924" s="34"/>
      <c r="AV924" s="34"/>
      <c r="AW924" s="34"/>
      <c r="AX924" s="34"/>
      <c r="AY924" s="34"/>
      <c r="AZ924" s="34"/>
      <c r="BA924" s="34"/>
      <c r="BB924" s="34"/>
      <c r="BC924" s="34"/>
      <c r="BD924" s="34"/>
      <c r="BE924" s="34"/>
      <c r="BF924" s="34"/>
      <c r="BG924" s="34"/>
      <c r="BH924" s="34"/>
      <c r="BI924" s="34"/>
      <c r="BJ924" s="34"/>
      <c r="BK924" s="34"/>
      <c r="BL924" s="34"/>
      <c r="BM924" s="34"/>
      <c r="BN924" s="34"/>
      <c r="BO924" s="34"/>
      <c r="BP924" s="34"/>
      <c r="BQ924" s="34"/>
      <c r="BR924" s="34"/>
      <c r="BS924" s="34"/>
      <c r="BT924" s="34"/>
      <c r="BU924" s="34"/>
      <c r="BV924" s="34"/>
      <c r="BW924" s="34"/>
      <c r="BX924" s="34"/>
      <c r="BY924" s="34"/>
      <c r="BZ924" s="34"/>
      <c r="CA924" s="34"/>
      <c r="CB924" s="34"/>
      <c r="CC924" s="34"/>
      <c r="CD924" s="34"/>
      <c r="CE924" s="34"/>
      <c r="CF924" s="34"/>
      <c r="CG924" s="34"/>
      <c r="CH924" s="34"/>
      <c r="CI924" s="34"/>
      <c r="CJ924" s="34"/>
      <c r="CK924" s="34"/>
      <c r="CL924" s="34"/>
      <c r="CM924" s="34"/>
      <c r="CN924" s="34"/>
      <c r="CO924" s="34"/>
      <c r="CP924" s="34"/>
      <c r="CQ924" s="34"/>
      <c r="CR924" s="34"/>
      <c r="CS924" s="34"/>
      <c r="CT924" s="34"/>
      <c r="CU924" s="34"/>
      <c r="CV924" s="34"/>
      <c r="CW924" s="34"/>
      <c r="CX924" s="34"/>
      <c r="CY924" s="34"/>
      <c r="CZ924" s="34"/>
      <c r="DA924" s="34"/>
      <c r="DB924" s="34"/>
      <c r="DC924" s="34"/>
      <c r="DD924" s="34"/>
      <c r="DE924" s="34"/>
      <c r="DF924" s="34"/>
      <c r="DG924" s="34"/>
      <c r="DH924" s="34"/>
      <c r="DI924" s="34"/>
      <c r="DJ924" s="34"/>
      <c r="DK924" s="34"/>
      <c r="DL924" s="34"/>
      <c r="DM924" s="34"/>
      <c r="DN924" s="34"/>
      <c r="DO924" s="34"/>
      <c r="DP924" s="34"/>
      <c r="DQ924" s="34"/>
      <c r="DR924" s="34"/>
      <c r="DS924" s="34"/>
      <c r="DT924" s="34"/>
      <c r="DU924" s="34"/>
      <c r="DV924" s="34"/>
      <c r="DW924" s="34"/>
      <c r="DX924" s="34"/>
      <c r="DY924" s="34"/>
      <c r="DZ924" s="34"/>
      <c r="EA924" s="34"/>
    </row>
    <row r="925" spans="1:131" ht="22.5" customHeight="1" hidden="1">
      <c r="A925" s="6" t="s">
        <v>26</v>
      </c>
      <c r="B925" s="4"/>
      <c r="C925" s="4"/>
      <c r="D925" s="74">
        <f>782645-572600-50045+50000</f>
        <v>210000</v>
      </c>
      <c r="E925" s="74"/>
      <c r="F925" s="74">
        <f>D925</f>
        <v>210000</v>
      </c>
      <c r="G925" s="74">
        <v>831732</v>
      </c>
      <c r="H925" s="74"/>
      <c r="I925" s="74"/>
      <c r="J925" s="74">
        <f>G925</f>
        <v>831732</v>
      </c>
      <c r="K925" s="74"/>
      <c r="L925" s="74"/>
      <c r="M925" s="74"/>
      <c r="N925" s="74">
        <v>828635</v>
      </c>
      <c r="O925" s="74"/>
      <c r="P925" s="74">
        <f>N925</f>
        <v>828635</v>
      </c>
      <c r="Q925" s="14"/>
      <c r="R925" s="34"/>
      <c r="S925" s="34"/>
      <c r="T925" s="34"/>
      <c r="U925" s="34"/>
      <c r="V925" s="34"/>
      <c r="W925" s="34"/>
      <c r="X925" s="34"/>
      <c r="Y925" s="34"/>
      <c r="Z925" s="34"/>
      <c r="AA925" s="34"/>
      <c r="AB925" s="34"/>
      <c r="AC925" s="34"/>
      <c r="AD925" s="34"/>
      <c r="AE925" s="34"/>
      <c r="AF925" s="34"/>
      <c r="AG925" s="34"/>
      <c r="AH925" s="34"/>
      <c r="AI925" s="34"/>
      <c r="AJ925" s="34"/>
      <c r="AK925" s="34"/>
      <c r="AL925" s="34"/>
      <c r="AM925" s="34"/>
      <c r="AN925" s="34"/>
      <c r="AO925" s="34"/>
      <c r="AP925" s="34"/>
      <c r="AQ925" s="34"/>
      <c r="AR925" s="34"/>
      <c r="AS925" s="34"/>
      <c r="AT925" s="34"/>
      <c r="AU925" s="34"/>
      <c r="AV925" s="34"/>
      <c r="AW925" s="34"/>
      <c r="AX925" s="34"/>
      <c r="AY925" s="34"/>
      <c r="AZ925" s="34"/>
      <c r="BA925" s="34"/>
      <c r="BB925" s="34"/>
      <c r="BC925" s="34"/>
      <c r="BD925" s="34"/>
      <c r="BE925" s="34"/>
      <c r="BF925" s="34"/>
      <c r="BG925" s="34"/>
      <c r="BH925" s="34"/>
      <c r="BI925" s="34"/>
      <c r="BJ925" s="34"/>
      <c r="BK925" s="34"/>
      <c r="BL925" s="34"/>
      <c r="BM925" s="34"/>
      <c r="BN925" s="34"/>
      <c r="BO925" s="34"/>
      <c r="BP925" s="34"/>
      <c r="BQ925" s="34"/>
      <c r="BR925" s="34"/>
      <c r="BS925" s="34"/>
      <c r="BT925" s="34"/>
      <c r="BU925" s="34"/>
      <c r="BV925" s="34"/>
      <c r="BW925" s="34"/>
      <c r="BX925" s="34"/>
      <c r="BY925" s="34"/>
      <c r="BZ925" s="34"/>
      <c r="CA925" s="34"/>
      <c r="CB925" s="34"/>
      <c r="CC925" s="34"/>
      <c r="CD925" s="34"/>
      <c r="CE925" s="34"/>
      <c r="CF925" s="34"/>
      <c r="CG925" s="34"/>
      <c r="CH925" s="34"/>
      <c r="CI925" s="34"/>
      <c r="CJ925" s="34"/>
      <c r="CK925" s="34"/>
      <c r="CL925" s="34"/>
      <c r="CM925" s="34"/>
      <c r="CN925" s="34"/>
      <c r="CO925" s="34"/>
      <c r="CP925" s="34"/>
      <c r="CQ925" s="34"/>
      <c r="CR925" s="34"/>
      <c r="CS925" s="34"/>
      <c r="CT925" s="34"/>
      <c r="CU925" s="34"/>
      <c r="CV925" s="34"/>
      <c r="CW925" s="34"/>
      <c r="CX925" s="34"/>
      <c r="CY925" s="34"/>
      <c r="CZ925" s="34"/>
      <c r="DA925" s="34"/>
      <c r="DB925" s="34"/>
      <c r="DC925" s="34"/>
      <c r="DD925" s="34"/>
      <c r="DE925" s="34"/>
      <c r="DF925" s="34"/>
      <c r="DG925" s="34"/>
      <c r="DH925" s="34"/>
      <c r="DI925" s="34"/>
      <c r="DJ925" s="34"/>
      <c r="DK925" s="34"/>
      <c r="DL925" s="34"/>
      <c r="DM925" s="34"/>
      <c r="DN925" s="34"/>
      <c r="DO925" s="34"/>
      <c r="DP925" s="34"/>
      <c r="DQ925" s="34"/>
      <c r="DR925" s="34"/>
      <c r="DS925" s="34"/>
      <c r="DT925" s="34"/>
      <c r="DU925" s="34"/>
      <c r="DV925" s="34"/>
      <c r="DW925" s="34"/>
      <c r="DX925" s="34"/>
      <c r="DY925" s="34"/>
      <c r="DZ925" s="34"/>
      <c r="EA925" s="34"/>
    </row>
    <row r="926" spans="1:131" ht="11.25" customHeight="1" hidden="1">
      <c r="A926" s="3" t="s">
        <v>3</v>
      </c>
      <c r="B926" s="4"/>
      <c r="C926" s="4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14"/>
      <c r="R926" s="34"/>
      <c r="S926" s="34"/>
      <c r="T926" s="34"/>
      <c r="U926" s="34"/>
      <c r="V926" s="34"/>
      <c r="W926" s="34"/>
      <c r="X926" s="34"/>
      <c r="Y926" s="34"/>
      <c r="Z926" s="34"/>
      <c r="AA926" s="34"/>
      <c r="AB926" s="34"/>
      <c r="AC926" s="34"/>
      <c r="AD926" s="34"/>
      <c r="AE926" s="34"/>
      <c r="AF926" s="34"/>
      <c r="AG926" s="34"/>
      <c r="AH926" s="34"/>
      <c r="AI926" s="34"/>
      <c r="AJ926" s="34"/>
      <c r="AK926" s="34"/>
      <c r="AL926" s="34"/>
      <c r="AM926" s="34"/>
      <c r="AN926" s="34"/>
      <c r="AO926" s="34"/>
      <c r="AP926" s="34"/>
      <c r="AQ926" s="34"/>
      <c r="AR926" s="34"/>
      <c r="AS926" s="34"/>
      <c r="AT926" s="34"/>
      <c r="AU926" s="34"/>
      <c r="AV926" s="34"/>
      <c r="AW926" s="34"/>
      <c r="AX926" s="34"/>
      <c r="AY926" s="34"/>
      <c r="AZ926" s="34"/>
      <c r="BA926" s="34"/>
      <c r="BB926" s="34"/>
      <c r="BC926" s="34"/>
      <c r="BD926" s="34"/>
      <c r="BE926" s="34"/>
      <c r="BF926" s="34"/>
      <c r="BG926" s="34"/>
      <c r="BH926" s="34"/>
      <c r="BI926" s="34"/>
      <c r="BJ926" s="34"/>
      <c r="BK926" s="34"/>
      <c r="BL926" s="34"/>
      <c r="BM926" s="34"/>
      <c r="BN926" s="34"/>
      <c r="BO926" s="34"/>
      <c r="BP926" s="34"/>
      <c r="BQ926" s="34"/>
      <c r="BR926" s="34"/>
      <c r="BS926" s="34"/>
      <c r="BT926" s="34"/>
      <c r="BU926" s="34"/>
      <c r="BV926" s="34"/>
      <c r="BW926" s="34"/>
      <c r="BX926" s="34"/>
      <c r="BY926" s="34"/>
      <c r="BZ926" s="34"/>
      <c r="CA926" s="34"/>
      <c r="CB926" s="34"/>
      <c r="CC926" s="34"/>
      <c r="CD926" s="34"/>
      <c r="CE926" s="34"/>
      <c r="CF926" s="34"/>
      <c r="CG926" s="34"/>
      <c r="CH926" s="34"/>
      <c r="CI926" s="34"/>
      <c r="CJ926" s="34"/>
      <c r="CK926" s="34"/>
      <c r="CL926" s="34"/>
      <c r="CM926" s="34"/>
      <c r="CN926" s="34"/>
      <c r="CO926" s="34"/>
      <c r="CP926" s="34"/>
      <c r="CQ926" s="34"/>
      <c r="CR926" s="34"/>
      <c r="CS926" s="34"/>
      <c r="CT926" s="34"/>
      <c r="CU926" s="34"/>
      <c r="CV926" s="34"/>
      <c r="CW926" s="34"/>
      <c r="CX926" s="34"/>
      <c r="CY926" s="34"/>
      <c r="CZ926" s="34"/>
      <c r="DA926" s="34"/>
      <c r="DB926" s="34"/>
      <c r="DC926" s="34"/>
      <c r="DD926" s="34"/>
      <c r="DE926" s="34"/>
      <c r="DF926" s="34"/>
      <c r="DG926" s="34"/>
      <c r="DH926" s="34"/>
      <c r="DI926" s="34"/>
      <c r="DJ926" s="34"/>
      <c r="DK926" s="34"/>
      <c r="DL926" s="34"/>
      <c r="DM926" s="34"/>
      <c r="DN926" s="34"/>
      <c r="DO926" s="34"/>
      <c r="DP926" s="34"/>
      <c r="DQ926" s="34"/>
      <c r="DR926" s="34"/>
      <c r="DS926" s="34"/>
      <c r="DT926" s="34"/>
      <c r="DU926" s="34"/>
      <c r="DV926" s="34"/>
      <c r="DW926" s="34"/>
      <c r="DX926" s="34"/>
      <c r="DY926" s="34"/>
      <c r="DZ926" s="34"/>
      <c r="EA926" s="34"/>
    </row>
    <row r="927" spans="1:131" ht="27.75" customHeight="1" hidden="1">
      <c r="A927" s="6" t="s">
        <v>25</v>
      </c>
      <c r="B927" s="4"/>
      <c r="C927" s="4"/>
      <c r="D927" s="74">
        <v>16</v>
      </c>
      <c r="E927" s="74"/>
      <c r="F927" s="74">
        <f>D927</f>
        <v>16</v>
      </c>
      <c r="G927" s="74">
        <v>16</v>
      </c>
      <c r="H927" s="74"/>
      <c r="I927" s="74"/>
      <c r="J927" s="74">
        <f>G927</f>
        <v>16</v>
      </c>
      <c r="K927" s="74"/>
      <c r="L927" s="74"/>
      <c r="M927" s="74"/>
      <c r="N927" s="74">
        <v>16</v>
      </c>
      <c r="O927" s="74"/>
      <c r="P927" s="74">
        <f>N927</f>
        <v>16</v>
      </c>
      <c r="Q927" s="1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  <c r="AB927" s="34"/>
      <c r="AC927" s="34"/>
      <c r="AD927" s="34"/>
      <c r="AE927" s="34"/>
      <c r="AF927" s="34"/>
      <c r="AG927" s="34"/>
      <c r="AH927" s="34"/>
      <c r="AI927" s="34"/>
      <c r="AJ927" s="34"/>
      <c r="AK927" s="34"/>
      <c r="AL927" s="34"/>
      <c r="AM927" s="34"/>
      <c r="AN927" s="34"/>
      <c r="AO927" s="34"/>
      <c r="AP927" s="34"/>
      <c r="AQ927" s="34"/>
      <c r="AR927" s="34"/>
      <c r="AS927" s="34"/>
      <c r="AT927" s="34"/>
      <c r="AU927" s="34"/>
      <c r="AV927" s="34"/>
      <c r="AW927" s="34"/>
      <c r="AX927" s="34"/>
      <c r="AY927" s="34"/>
      <c r="AZ927" s="34"/>
      <c r="BA927" s="34"/>
      <c r="BB927" s="34"/>
      <c r="BC927" s="34"/>
      <c r="BD927" s="34"/>
      <c r="BE927" s="34"/>
      <c r="BF927" s="34"/>
      <c r="BG927" s="34"/>
      <c r="BH927" s="34"/>
      <c r="BI927" s="34"/>
      <c r="BJ927" s="34"/>
      <c r="BK927" s="34"/>
      <c r="BL927" s="34"/>
      <c r="BM927" s="34"/>
      <c r="BN927" s="34"/>
      <c r="BO927" s="34"/>
      <c r="BP927" s="34"/>
      <c r="BQ927" s="34"/>
      <c r="BR927" s="34"/>
      <c r="BS927" s="34"/>
      <c r="BT927" s="34"/>
      <c r="BU927" s="34"/>
      <c r="BV927" s="34"/>
      <c r="BW927" s="34"/>
      <c r="BX927" s="34"/>
      <c r="BY927" s="34"/>
      <c r="BZ927" s="34"/>
      <c r="CA927" s="34"/>
      <c r="CB927" s="34"/>
      <c r="CC927" s="34"/>
      <c r="CD927" s="34"/>
      <c r="CE927" s="34"/>
      <c r="CF927" s="34"/>
      <c r="CG927" s="34"/>
      <c r="CH927" s="34"/>
      <c r="CI927" s="34"/>
      <c r="CJ927" s="34"/>
      <c r="CK927" s="34"/>
      <c r="CL927" s="34"/>
      <c r="CM927" s="34"/>
      <c r="CN927" s="34"/>
      <c r="CO927" s="34"/>
      <c r="CP927" s="34"/>
      <c r="CQ927" s="34"/>
      <c r="CR927" s="34"/>
      <c r="CS927" s="34"/>
      <c r="CT927" s="34"/>
      <c r="CU927" s="34"/>
      <c r="CV927" s="34"/>
      <c r="CW927" s="34"/>
      <c r="CX927" s="34"/>
      <c r="CY927" s="34"/>
      <c r="CZ927" s="34"/>
      <c r="DA927" s="34"/>
      <c r="DB927" s="34"/>
      <c r="DC927" s="34"/>
      <c r="DD927" s="34"/>
      <c r="DE927" s="34"/>
      <c r="DF927" s="34"/>
      <c r="DG927" s="34"/>
      <c r="DH927" s="34"/>
      <c r="DI927" s="34"/>
      <c r="DJ927" s="34"/>
      <c r="DK927" s="34"/>
      <c r="DL927" s="34"/>
      <c r="DM927" s="34"/>
      <c r="DN927" s="34"/>
      <c r="DO927" s="34"/>
      <c r="DP927" s="34"/>
      <c r="DQ927" s="34"/>
      <c r="DR927" s="34"/>
      <c r="DS927" s="34"/>
      <c r="DT927" s="34"/>
      <c r="DU927" s="34"/>
      <c r="DV927" s="34"/>
      <c r="DW927" s="34"/>
      <c r="DX927" s="34"/>
      <c r="DY927" s="34"/>
      <c r="DZ927" s="34"/>
      <c r="EA927" s="34"/>
    </row>
    <row r="928" spans="1:131" ht="11.25" customHeight="1" hidden="1">
      <c r="A928" s="3" t="s">
        <v>5</v>
      </c>
      <c r="B928" s="4"/>
      <c r="C928" s="4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1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  <c r="AB928" s="34"/>
      <c r="AC928" s="34"/>
      <c r="AD928" s="34"/>
      <c r="AE928" s="34"/>
      <c r="AF928" s="34"/>
      <c r="AG928" s="34"/>
      <c r="AH928" s="34"/>
      <c r="AI928" s="34"/>
      <c r="AJ928" s="34"/>
      <c r="AK928" s="34"/>
      <c r="AL928" s="34"/>
      <c r="AM928" s="34"/>
      <c r="AN928" s="34"/>
      <c r="AO928" s="34"/>
      <c r="AP928" s="34"/>
      <c r="AQ928" s="34"/>
      <c r="AR928" s="34"/>
      <c r="AS928" s="34"/>
      <c r="AT928" s="34"/>
      <c r="AU928" s="34"/>
      <c r="AV928" s="34"/>
      <c r="AW928" s="34"/>
      <c r="AX928" s="34"/>
      <c r="AY928" s="34"/>
      <c r="AZ928" s="34"/>
      <c r="BA928" s="34"/>
      <c r="BB928" s="34"/>
      <c r="BC928" s="34"/>
      <c r="BD928" s="34"/>
      <c r="BE928" s="34"/>
      <c r="BF928" s="34"/>
      <c r="BG928" s="34"/>
      <c r="BH928" s="34"/>
      <c r="BI928" s="34"/>
      <c r="BJ928" s="34"/>
      <c r="BK928" s="34"/>
      <c r="BL928" s="34"/>
      <c r="BM928" s="34"/>
      <c r="BN928" s="34"/>
      <c r="BO928" s="34"/>
      <c r="BP928" s="34"/>
      <c r="BQ928" s="34"/>
      <c r="BR928" s="34"/>
      <c r="BS928" s="34"/>
      <c r="BT928" s="34"/>
      <c r="BU928" s="34"/>
      <c r="BV928" s="34"/>
      <c r="BW928" s="34"/>
      <c r="BX928" s="34"/>
      <c r="BY928" s="34"/>
      <c r="BZ928" s="34"/>
      <c r="CA928" s="34"/>
      <c r="CB928" s="34"/>
      <c r="CC928" s="34"/>
      <c r="CD928" s="34"/>
      <c r="CE928" s="34"/>
      <c r="CF928" s="34"/>
      <c r="CG928" s="34"/>
      <c r="CH928" s="34"/>
      <c r="CI928" s="34"/>
      <c r="CJ928" s="34"/>
      <c r="CK928" s="34"/>
      <c r="CL928" s="34"/>
      <c r="CM928" s="34"/>
      <c r="CN928" s="34"/>
      <c r="CO928" s="34"/>
      <c r="CP928" s="34"/>
      <c r="CQ928" s="34"/>
      <c r="CR928" s="34"/>
      <c r="CS928" s="34"/>
      <c r="CT928" s="34"/>
      <c r="CU928" s="34"/>
      <c r="CV928" s="34"/>
      <c r="CW928" s="34"/>
      <c r="CX928" s="34"/>
      <c r="CY928" s="34"/>
      <c r="CZ928" s="34"/>
      <c r="DA928" s="34"/>
      <c r="DB928" s="34"/>
      <c r="DC928" s="34"/>
      <c r="DD928" s="34"/>
      <c r="DE928" s="34"/>
      <c r="DF928" s="34"/>
      <c r="DG928" s="34"/>
      <c r="DH928" s="34"/>
      <c r="DI928" s="34"/>
      <c r="DJ928" s="34"/>
      <c r="DK928" s="34"/>
      <c r="DL928" s="34"/>
      <c r="DM928" s="34"/>
      <c r="DN928" s="34"/>
      <c r="DO928" s="34"/>
      <c r="DP928" s="34"/>
      <c r="DQ928" s="34"/>
      <c r="DR928" s="34"/>
      <c r="DS928" s="34"/>
      <c r="DT928" s="34"/>
      <c r="DU928" s="34"/>
      <c r="DV928" s="34"/>
      <c r="DW928" s="34"/>
      <c r="DX928" s="34"/>
      <c r="DY928" s="34"/>
      <c r="DZ928" s="34"/>
      <c r="EA928" s="34"/>
    </row>
    <row r="929" spans="1:131" ht="33.75" customHeight="1" hidden="1">
      <c r="A929" s="6" t="s">
        <v>27</v>
      </c>
      <c r="B929" s="4"/>
      <c r="C929" s="4"/>
      <c r="D929" s="74">
        <f>D925/D927</f>
        <v>13125</v>
      </c>
      <c r="E929" s="74"/>
      <c r="F929" s="74">
        <f>D929</f>
        <v>13125</v>
      </c>
      <c r="G929" s="74">
        <f>G925/G927</f>
        <v>51983.25</v>
      </c>
      <c r="H929" s="74"/>
      <c r="I929" s="74"/>
      <c r="J929" s="74">
        <f>G929</f>
        <v>51983.25</v>
      </c>
      <c r="K929" s="74"/>
      <c r="L929" s="74"/>
      <c r="M929" s="74"/>
      <c r="N929" s="74">
        <f>N925/N927</f>
        <v>51789.6875</v>
      </c>
      <c r="O929" s="74"/>
      <c r="P929" s="74">
        <f>N929</f>
        <v>51789.6875</v>
      </c>
      <c r="Q929" s="14"/>
      <c r="R929" s="34"/>
      <c r="S929" s="34"/>
      <c r="T929" s="34"/>
      <c r="U929" s="34"/>
      <c r="V929" s="34"/>
      <c r="W929" s="34"/>
      <c r="X929" s="34"/>
      <c r="Y929" s="34"/>
      <c r="Z929" s="34"/>
      <c r="AA929" s="34"/>
      <c r="AB929" s="34"/>
      <c r="AC929" s="34"/>
      <c r="AD929" s="34"/>
      <c r="AE929" s="34"/>
      <c r="AF929" s="34"/>
      <c r="AG929" s="34"/>
      <c r="AH929" s="34"/>
      <c r="AI929" s="34"/>
      <c r="AJ929" s="34"/>
      <c r="AK929" s="34"/>
      <c r="AL929" s="34"/>
      <c r="AM929" s="34"/>
      <c r="AN929" s="34"/>
      <c r="AO929" s="34"/>
      <c r="AP929" s="34"/>
      <c r="AQ929" s="34"/>
      <c r="AR929" s="34"/>
      <c r="AS929" s="34"/>
      <c r="AT929" s="34"/>
      <c r="AU929" s="34"/>
      <c r="AV929" s="34"/>
      <c r="AW929" s="34"/>
      <c r="AX929" s="34"/>
      <c r="AY929" s="34"/>
      <c r="AZ929" s="34"/>
      <c r="BA929" s="34"/>
      <c r="BB929" s="34"/>
      <c r="BC929" s="34"/>
      <c r="BD929" s="34"/>
      <c r="BE929" s="34"/>
      <c r="BF929" s="34"/>
      <c r="BG929" s="34"/>
      <c r="BH929" s="34"/>
      <c r="BI929" s="34"/>
      <c r="BJ929" s="34"/>
      <c r="BK929" s="34"/>
      <c r="BL929" s="34"/>
      <c r="BM929" s="34"/>
      <c r="BN929" s="34"/>
      <c r="BO929" s="34"/>
      <c r="BP929" s="34"/>
      <c r="BQ929" s="34"/>
      <c r="BR929" s="34"/>
      <c r="BS929" s="34"/>
      <c r="BT929" s="34"/>
      <c r="BU929" s="34"/>
      <c r="BV929" s="34"/>
      <c r="BW929" s="34"/>
      <c r="BX929" s="34"/>
      <c r="BY929" s="34"/>
      <c r="BZ929" s="34"/>
      <c r="CA929" s="34"/>
      <c r="CB929" s="34"/>
      <c r="CC929" s="34"/>
      <c r="CD929" s="34"/>
      <c r="CE929" s="34"/>
      <c r="CF929" s="34"/>
      <c r="CG929" s="34"/>
      <c r="CH929" s="34"/>
      <c r="CI929" s="34"/>
      <c r="CJ929" s="34"/>
      <c r="CK929" s="34"/>
      <c r="CL929" s="34"/>
      <c r="CM929" s="34"/>
      <c r="CN929" s="34"/>
      <c r="CO929" s="34"/>
      <c r="CP929" s="34"/>
      <c r="CQ929" s="34"/>
      <c r="CR929" s="34"/>
      <c r="CS929" s="34"/>
      <c r="CT929" s="34"/>
      <c r="CU929" s="34"/>
      <c r="CV929" s="34"/>
      <c r="CW929" s="34"/>
      <c r="CX929" s="34"/>
      <c r="CY929" s="34"/>
      <c r="CZ929" s="34"/>
      <c r="DA929" s="34"/>
      <c r="DB929" s="34"/>
      <c r="DC929" s="34"/>
      <c r="DD929" s="34"/>
      <c r="DE929" s="34"/>
      <c r="DF929" s="34"/>
      <c r="DG929" s="34"/>
      <c r="DH929" s="34"/>
      <c r="DI929" s="34"/>
      <c r="DJ929" s="34"/>
      <c r="DK929" s="34"/>
      <c r="DL929" s="34"/>
      <c r="DM929" s="34"/>
      <c r="DN929" s="34"/>
      <c r="DO929" s="34"/>
      <c r="DP929" s="34"/>
      <c r="DQ929" s="34"/>
      <c r="DR929" s="34"/>
      <c r="DS929" s="34"/>
      <c r="DT929" s="34"/>
      <c r="DU929" s="34"/>
      <c r="DV929" s="34"/>
      <c r="DW929" s="34"/>
      <c r="DX929" s="34"/>
      <c r="DY929" s="34"/>
      <c r="DZ929" s="34"/>
      <c r="EA929" s="34"/>
    </row>
    <row r="930" spans="1:17" s="203" customFormat="1" ht="12.75" customHeight="1" hidden="1">
      <c r="A930" s="200" t="s">
        <v>253</v>
      </c>
      <c r="B930" s="231"/>
      <c r="C930" s="231"/>
      <c r="D930" s="201"/>
      <c r="E930" s="201">
        <f>E932</f>
        <v>7900000</v>
      </c>
      <c r="F930" s="201">
        <f>D930+E930</f>
        <v>7900000</v>
      </c>
      <c r="G930" s="201"/>
      <c r="H930" s="201">
        <f>H932</f>
        <v>32733800</v>
      </c>
      <c r="I930" s="201" t="e">
        <f>I932+#REF!</f>
        <v>#REF!</v>
      </c>
      <c r="J930" s="201">
        <f>J932</f>
        <v>32733800</v>
      </c>
      <c r="K930" s="201" t="e">
        <f>K932+#REF!</f>
        <v>#REF!</v>
      </c>
      <c r="L930" s="201" t="e">
        <f>L932+#REF!</f>
        <v>#REF!</v>
      </c>
      <c r="M930" s="201" t="e">
        <f>M932+#REF!</f>
        <v>#REF!</v>
      </c>
      <c r="N930" s="201"/>
      <c r="O930" s="201">
        <f>O932</f>
        <v>34613800</v>
      </c>
      <c r="P930" s="201">
        <f>P932</f>
        <v>34613800</v>
      </c>
      <c r="Q930" s="233"/>
    </row>
    <row r="931" spans="1:131" ht="22.5" customHeight="1" hidden="1">
      <c r="A931" s="72" t="s">
        <v>114</v>
      </c>
      <c r="B931" s="73"/>
      <c r="C931" s="73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14"/>
      <c r="R931" s="34"/>
      <c r="S931" s="34"/>
      <c r="T931" s="34"/>
      <c r="U931" s="34"/>
      <c r="V931" s="34"/>
      <c r="W931" s="34"/>
      <c r="X931" s="34"/>
      <c r="Y931" s="34"/>
      <c r="Z931" s="34"/>
      <c r="AA931" s="34"/>
      <c r="AB931" s="34"/>
      <c r="AC931" s="34"/>
      <c r="AD931" s="34"/>
      <c r="AE931" s="34"/>
      <c r="AF931" s="34"/>
      <c r="AG931" s="34"/>
      <c r="AH931" s="34"/>
      <c r="AI931" s="34"/>
      <c r="AJ931" s="34"/>
      <c r="AK931" s="34"/>
      <c r="AL931" s="34"/>
      <c r="AM931" s="34"/>
      <c r="AN931" s="34"/>
      <c r="AO931" s="34"/>
      <c r="AP931" s="34"/>
      <c r="AQ931" s="34"/>
      <c r="AR931" s="34"/>
      <c r="AS931" s="34"/>
      <c r="AT931" s="34"/>
      <c r="AU931" s="34"/>
      <c r="AV931" s="34"/>
      <c r="AW931" s="34"/>
      <c r="AX931" s="34"/>
      <c r="AY931" s="34"/>
      <c r="AZ931" s="34"/>
      <c r="BA931" s="34"/>
      <c r="BB931" s="34"/>
      <c r="BC931" s="34"/>
      <c r="BD931" s="34"/>
      <c r="BE931" s="34"/>
      <c r="BF931" s="34"/>
      <c r="BG931" s="34"/>
      <c r="BH931" s="34"/>
      <c r="BI931" s="34"/>
      <c r="BJ931" s="34"/>
      <c r="BK931" s="34"/>
      <c r="BL931" s="34"/>
      <c r="BM931" s="34"/>
      <c r="BN931" s="34"/>
      <c r="BO931" s="34"/>
      <c r="BP931" s="34"/>
      <c r="BQ931" s="34"/>
      <c r="BR931" s="34"/>
      <c r="BS931" s="34"/>
      <c r="BT931" s="34"/>
      <c r="BU931" s="34"/>
      <c r="BV931" s="34"/>
      <c r="BW931" s="34"/>
      <c r="BX931" s="34"/>
      <c r="BY931" s="34"/>
      <c r="BZ931" s="34"/>
      <c r="CA931" s="34"/>
      <c r="CB931" s="34"/>
      <c r="CC931" s="34"/>
      <c r="CD931" s="34"/>
      <c r="CE931" s="34"/>
      <c r="CF931" s="34"/>
      <c r="CG931" s="34"/>
      <c r="CH931" s="34"/>
      <c r="CI931" s="34"/>
      <c r="CJ931" s="34"/>
      <c r="CK931" s="34"/>
      <c r="CL931" s="34"/>
      <c r="CM931" s="34"/>
      <c r="CN931" s="34"/>
      <c r="CO931" s="34"/>
      <c r="CP931" s="34"/>
      <c r="CQ931" s="34"/>
      <c r="CR931" s="34"/>
      <c r="CS931" s="34"/>
      <c r="CT931" s="34"/>
      <c r="CU931" s="34"/>
      <c r="CV931" s="34"/>
      <c r="CW931" s="34"/>
      <c r="CX931" s="34"/>
      <c r="CY931" s="34"/>
      <c r="CZ931" s="34"/>
      <c r="DA931" s="34"/>
      <c r="DB931" s="34"/>
      <c r="DC931" s="34"/>
      <c r="DD931" s="34"/>
      <c r="DE931" s="34"/>
      <c r="DF931" s="34"/>
      <c r="DG931" s="34"/>
      <c r="DH931" s="34"/>
      <c r="DI931" s="34"/>
      <c r="DJ931" s="34"/>
      <c r="DK931" s="34"/>
      <c r="DL931" s="34"/>
      <c r="DM931" s="34"/>
      <c r="DN931" s="34"/>
      <c r="DO931" s="34"/>
      <c r="DP931" s="34"/>
      <c r="DQ931" s="34"/>
      <c r="DR931" s="34"/>
      <c r="DS931" s="34"/>
      <c r="DT931" s="34"/>
      <c r="DU931" s="34"/>
      <c r="DV931" s="34"/>
      <c r="DW931" s="34"/>
      <c r="DX931" s="34"/>
      <c r="DY931" s="34"/>
      <c r="DZ931" s="34"/>
      <c r="EA931" s="34"/>
    </row>
    <row r="932" spans="1:17" s="197" customFormat="1" ht="30.75" customHeight="1" hidden="1">
      <c r="A932" s="194" t="s">
        <v>499</v>
      </c>
      <c r="B932" s="195"/>
      <c r="C932" s="195"/>
      <c r="D932" s="239"/>
      <c r="E932" s="239">
        <f>E934</f>
        <v>7900000</v>
      </c>
      <c r="F932" s="239">
        <f>D932+E932</f>
        <v>7900000</v>
      </c>
      <c r="G932" s="193"/>
      <c r="H932" s="193">
        <f>SUM(H934)</f>
        <v>32733800</v>
      </c>
      <c r="I932" s="193"/>
      <c r="J932" s="193">
        <f>G932+H932+I932</f>
        <v>32733800</v>
      </c>
      <c r="K932" s="193"/>
      <c r="L932" s="193"/>
      <c r="M932" s="193"/>
      <c r="N932" s="193"/>
      <c r="O932" s="193">
        <f>O934</f>
        <v>34613800</v>
      </c>
      <c r="P932" s="193">
        <f>N932+O932</f>
        <v>34613800</v>
      </c>
      <c r="Q932" s="234"/>
    </row>
    <row r="933" spans="1:17" s="27" customFormat="1" ht="11.25" customHeight="1" hidden="1">
      <c r="A933" s="85" t="s">
        <v>2</v>
      </c>
      <c r="B933" s="77"/>
      <c r="C933" s="77"/>
      <c r="D933" s="95"/>
      <c r="E933" s="95"/>
      <c r="F933" s="95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42"/>
    </row>
    <row r="934" spans="1:17" s="27" customFormat="1" ht="11.25" customHeight="1" hidden="1">
      <c r="A934" s="96" t="s">
        <v>23</v>
      </c>
      <c r="B934" s="97"/>
      <c r="C934" s="97"/>
      <c r="D934" s="98"/>
      <c r="E934" s="98">
        <f>40850000-32950000</f>
        <v>7900000</v>
      </c>
      <c r="F934" s="98">
        <f>E934</f>
        <v>7900000</v>
      </c>
      <c r="G934" s="99"/>
      <c r="H934" s="99">
        <v>32733800</v>
      </c>
      <c r="I934" s="99"/>
      <c r="J934" s="99">
        <f>H934</f>
        <v>32733800</v>
      </c>
      <c r="K934" s="99"/>
      <c r="L934" s="99"/>
      <c r="M934" s="99"/>
      <c r="N934" s="99"/>
      <c r="O934" s="99">
        <v>34613800</v>
      </c>
      <c r="P934" s="99">
        <f>O934</f>
        <v>34613800</v>
      </c>
      <c r="Q934" s="42"/>
    </row>
    <row r="935" spans="1:17" s="27" customFormat="1" ht="11.25" customHeight="1" hidden="1">
      <c r="A935" s="85" t="s">
        <v>3</v>
      </c>
      <c r="B935" s="77"/>
      <c r="C935" s="77"/>
      <c r="D935" s="95"/>
      <c r="E935" s="95"/>
      <c r="F935" s="95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42"/>
    </row>
    <row r="936" spans="1:17" s="27" customFormat="1" ht="11.25" customHeight="1" hidden="1">
      <c r="A936" s="96" t="s">
        <v>104</v>
      </c>
      <c r="B936" s="97"/>
      <c r="C936" s="97"/>
      <c r="D936" s="98"/>
      <c r="E936" s="277">
        <v>15</v>
      </c>
      <c r="F936" s="277">
        <f>E936</f>
        <v>15</v>
      </c>
      <c r="G936" s="278"/>
      <c r="H936" s="278">
        <v>17</v>
      </c>
      <c r="I936" s="278"/>
      <c r="J936" s="278">
        <f>H936</f>
        <v>17</v>
      </c>
      <c r="K936" s="278">
        <f>H936</f>
        <v>17</v>
      </c>
      <c r="L936" s="278">
        <f>J936</f>
        <v>17</v>
      </c>
      <c r="M936" s="278">
        <f>K936</f>
        <v>17</v>
      </c>
      <c r="N936" s="278"/>
      <c r="O936" s="278">
        <v>17</v>
      </c>
      <c r="P936" s="278">
        <f>O936</f>
        <v>17</v>
      </c>
      <c r="Q936" s="42"/>
    </row>
    <row r="937" spans="1:17" s="27" customFormat="1" ht="11.25" customHeight="1" hidden="1">
      <c r="A937" s="96" t="s">
        <v>5</v>
      </c>
      <c r="B937" s="97"/>
      <c r="C937" s="97"/>
      <c r="D937" s="98"/>
      <c r="E937" s="98"/>
      <c r="F937" s="98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42"/>
    </row>
    <row r="938" spans="1:17" s="27" customFormat="1" ht="22.5" customHeight="1" hidden="1">
      <c r="A938" s="96" t="s">
        <v>187</v>
      </c>
      <c r="B938" s="97"/>
      <c r="C938" s="97"/>
      <c r="D938" s="98"/>
      <c r="E938" s="99">
        <f>E934/E936</f>
        <v>526666.6666666666</v>
      </c>
      <c r="F938" s="99">
        <f>E938</f>
        <v>526666.6666666666</v>
      </c>
      <c r="G938" s="99"/>
      <c r="H938" s="99">
        <f>SUM(H934)/H936</f>
        <v>1925517.6470588236</v>
      </c>
      <c r="I938" s="99"/>
      <c r="J938" s="99">
        <f>SUM(J934)/J936</f>
        <v>1925517.6470588236</v>
      </c>
      <c r="K938" s="99"/>
      <c r="L938" s="99"/>
      <c r="M938" s="99"/>
      <c r="N938" s="99"/>
      <c r="O938" s="99">
        <f>SUM(O934)/O936</f>
        <v>2036105.8823529412</v>
      </c>
      <c r="P938" s="99">
        <f>SUM(P934)/P936</f>
        <v>2036105.8823529412</v>
      </c>
      <c r="Q938" s="42"/>
    </row>
    <row r="939" spans="1:17" s="218" customFormat="1" ht="27" customHeight="1" hidden="1">
      <c r="A939" s="200" t="s">
        <v>254</v>
      </c>
      <c r="B939" s="231"/>
      <c r="C939" s="231"/>
      <c r="D939" s="240"/>
      <c r="E939" s="201">
        <f>E941</f>
        <v>24125000</v>
      </c>
      <c r="F939" s="201">
        <f>E939</f>
        <v>24125000</v>
      </c>
      <c r="G939" s="201"/>
      <c r="H939" s="201">
        <f>H941</f>
        <v>64000000</v>
      </c>
      <c r="I939" s="201"/>
      <c r="J939" s="201">
        <f>H939</f>
        <v>64000000</v>
      </c>
      <c r="K939" s="201"/>
      <c r="L939" s="201"/>
      <c r="M939" s="201"/>
      <c r="N939" s="201"/>
      <c r="O939" s="201">
        <f>O941</f>
        <v>95000000</v>
      </c>
      <c r="P939" s="201">
        <f>O939</f>
        <v>95000000</v>
      </c>
      <c r="Q939" s="241"/>
    </row>
    <row r="940" spans="1:17" s="27" customFormat="1" ht="22.5" customHeight="1" hidden="1">
      <c r="A940" s="72" t="s">
        <v>257</v>
      </c>
      <c r="B940" s="97"/>
      <c r="C940" s="97"/>
      <c r="D940" s="98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42"/>
    </row>
    <row r="941" spans="1:17" s="197" customFormat="1" ht="38.25" customHeight="1" hidden="1">
      <c r="A941" s="194" t="s">
        <v>500</v>
      </c>
      <c r="B941" s="195"/>
      <c r="C941" s="195"/>
      <c r="D941" s="239"/>
      <c r="E941" s="193">
        <f>E943</f>
        <v>24125000</v>
      </c>
      <c r="F941" s="193">
        <f>E941</f>
        <v>24125000</v>
      </c>
      <c r="G941" s="193"/>
      <c r="H941" s="193">
        <f>H943</f>
        <v>64000000</v>
      </c>
      <c r="I941" s="193"/>
      <c r="J941" s="193">
        <f>H941</f>
        <v>64000000</v>
      </c>
      <c r="K941" s="193"/>
      <c r="L941" s="193"/>
      <c r="M941" s="193"/>
      <c r="N941" s="193"/>
      <c r="O941" s="193">
        <f>O943</f>
        <v>95000000</v>
      </c>
      <c r="P941" s="193">
        <f>O941</f>
        <v>95000000</v>
      </c>
      <c r="Q941" s="234"/>
    </row>
    <row r="942" spans="1:17" s="27" customFormat="1" ht="11.25" customHeight="1" hidden="1">
      <c r="A942" s="85" t="s">
        <v>2</v>
      </c>
      <c r="B942" s="97"/>
      <c r="C942" s="97"/>
      <c r="D942" s="98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42"/>
    </row>
    <row r="943" spans="1:17" s="27" customFormat="1" ht="11.25" customHeight="1" hidden="1">
      <c r="A943" s="96" t="s">
        <v>23</v>
      </c>
      <c r="B943" s="97"/>
      <c r="C943" s="97"/>
      <c r="D943" s="98"/>
      <c r="E943" s="99">
        <f>37500000+5000000-200000-18175000</f>
        <v>24125000</v>
      </c>
      <c r="F943" s="99">
        <f>E943</f>
        <v>24125000</v>
      </c>
      <c r="G943" s="99"/>
      <c r="H943" s="99">
        <f>39000000+25000000</f>
        <v>64000000</v>
      </c>
      <c r="I943" s="99"/>
      <c r="J943" s="99">
        <f>H943</f>
        <v>64000000</v>
      </c>
      <c r="K943" s="99"/>
      <c r="L943" s="99"/>
      <c r="M943" s="99"/>
      <c r="N943" s="99"/>
      <c r="O943" s="99">
        <f>41500000+53500000</f>
        <v>95000000</v>
      </c>
      <c r="P943" s="99">
        <f>O943</f>
        <v>95000000</v>
      </c>
      <c r="Q943" s="42"/>
    </row>
    <row r="944" spans="1:17" s="27" customFormat="1" ht="11.25" customHeight="1" hidden="1">
      <c r="A944" s="85" t="s">
        <v>3</v>
      </c>
      <c r="B944" s="97"/>
      <c r="C944" s="97"/>
      <c r="D944" s="98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42"/>
    </row>
    <row r="945" spans="1:17" s="27" customFormat="1" ht="11.25" customHeight="1" hidden="1">
      <c r="A945" s="96" t="s">
        <v>104</v>
      </c>
      <c r="B945" s="97"/>
      <c r="C945" s="97"/>
      <c r="D945" s="98"/>
      <c r="E945" s="99">
        <v>18</v>
      </c>
      <c r="F945" s="99">
        <f>E945</f>
        <v>18</v>
      </c>
      <c r="G945" s="99"/>
      <c r="H945" s="99">
        <f>14+1</f>
        <v>15</v>
      </c>
      <c r="I945" s="99"/>
      <c r="J945" s="99">
        <f>H945</f>
        <v>15</v>
      </c>
      <c r="K945" s="99"/>
      <c r="L945" s="99"/>
      <c r="M945" s="99"/>
      <c r="N945" s="99"/>
      <c r="O945" s="99">
        <f>14+1</f>
        <v>15</v>
      </c>
      <c r="P945" s="99">
        <f>O945</f>
        <v>15</v>
      </c>
      <c r="Q945" s="42"/>
    </row>
    <row r="946" spans="1:17" s="27" customFormat="1" ht="11.25" customHeight="1" hidden="1">
      <c r="A946" s="85" t="s">
        <v>5</v>
      </c>
      <c r="B946" s="97"/>
      <c r="C946" s="97"/>
      <c r="D946" s="98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42"/>
    </row>
    <row r="947" spans="1:17" s="27" customFormat="1" ht="22.5" customHeight="1" hidden="1">
      <c r="A947" s="96" t="s">
        <v>187</v>
      </c>
      <c r="B947" s="97"/>
      <c r="C947" s="97"/>
      <c r="D947" s="98"/>
      <c r="E947" s="99">
        <f>E943/E945</f>
        <v>1340277.7777777778</v>
      </c>
      <c r="F947" s="99">
        <f>E947</f>
        <v>1340277.7777777778</v>
      </c>
      <c r="G947" s="99"/>
      <c r="H947" s="99">
        <f>H943/H945</f>
        <v>4266666.666666667</v>
      </c>
      <c r="I947" s="99"/>
      <c r="J947" s="99">
        <f>H947</f>
        <v>4266666.666666667</v>
      </c>
      <c r="K947" s="99"/>
      <c r="L947" s="99"/>
      <c r="M947" s="99"/>
      <c r="N947" s="99"/>
      <c r="O947" s="99">
        <f>O943/O945</f>
        <v>6333333.333333333</v>
      </c>
      <c r="P947" s="99">
        <f>O947</f>
        <v>6333333.333333333</v>
      </c>
      <c r="Q947" s="42"/>
    </row>
    <row r="948" spans="1:17" s="218" customFormat="1" ht="23.25" customHeight="1" hidden="1">
      <c r="A948" s="200" t="s">
        <v>255</v>
      </c>
      <c r="B948" s="200"/>
      <c r="C948" s="200"/>
      <c r="D948" s="243"/>
      <c r="E948" s="201">
        <f>E950</f>
        <v>3550000</v>
      </c>
      <c r="F948" s="201">
        <f>E948</f>
        <v>3550000</v>
      </c>
      <c r="G948" s="201"/>
      <c r="H948" s="201">
        <f>H950</f>
        <v>5000000</v>
      </c>
      <c r="I948" s="201"/>
      <c r="J948" s="201">
        <f>H948</f>
        <v>5000000</v>
      </c>
      <c r="K948" s="201"/>
      <c r="L948" s="201"/>
      <c r="M948" s="201"/>
      <c r="N948" s="201"/>
      <c r="O948" s="201"/>
      <c r="P948" s="201"/>
      <c r="Q948" s="241"/>
    </row>
    <row r="949" spans="1:17" s="27" customFormat="1" ht="22.5" hidden="1">
      <c r="A949" s="72" t="s">
        <v>256</v>
      </c>
      <c r="B949" s="97"/>
      <c r="C949" s="97"/>
      <c r="D949" s="98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42"/>
    </row>
    <row r="950" spans="1:17" s="197" customFormat="1" ht="36.75" customHeight="1" hidden="1">
      <c r="A950" s="194" t="s">
        <v>501</v>
      </c>
      <c r="B950" s="195"/>
      <c r="C950" s="195"/>
      <c r="D950" s="239"/>
      <c r="E950" s="193">
        <f>E952</f>
        <v>3550000</v>
      </c>
      <c r="F950" s="193">
        <f>E950</f>
        <v>3550000</v>
      </c>
      <c r="G950" s="193"/>
      <c r="H950" s="193">
        <f>H952</f>
        <v>5000000</v>
      </c>
      <c r="I950" s="193"/>
      <c r="J950" s="193">
        <f>H950</f>
        <v>5000000</v>
      </c>
      <c r="K950" s="193"/>
      <c r="L950" s="193"/>
      <c r="M950" s="193"/>
      <c r="N950" s="193"/>
      <c r="O950" s="193"/>
      <c r="P950" s="193"/>
      <c r="Q950" s="234"/>
    </row>
    <row r="951" spans="1:17" s="87" customFormat="1" ht="11.25" hidden="1">
      <c r="A951" s="85" t="s">
        <v>2</v>
      </c>
      <c r="B951" s="97"/>
      <c r="C951" s="97"/>
      <c r="D951" s="98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86"/>
    </row>
    <row r="952" spans="1:17" s="87" customFormat="1" ht="11.25" hidden="1">
      <c r="A952" s="96" t="s">
        <v>23</v>
      </c>
      <c r="B952" s="97"/>
      <c r="C952" s="97"/>
      <c r="D952" s="98"/>
      <c r="E952" s="99">
        <f>14000000-5400000-5050000</f>
        <v>3550000</v>
      </c>
      <c r="F952" s="99">
        <f>E952</f>
        <v>3550000</v>
      </c>
      <c r="G952" s="99"/>
      <c r="H952" s="99">
        <v>5000000</v>
      </c>
      <c r="I952" s="99"/>
      <c r="J952" s="99">
        <f>H952</f>
        <v>5000000</v>
      </c>
      <c r="K952" s="99"/>
      <c r="L952" s="99"/>
      <c r="M952" s="99"/>
      <c r="N952" s="99"/>
      <c r="O952" s="99"/>
      <c r="P952" s="99"/>
      <c r="Q952" s="86"/>
    </row>
    <row r="953" spans="1:17" s="87" customFormat="1" ht="11.25" hidden="1">
      <c r="A953" s="85" t="s">
        <v>3</v>
      </c>
      <c r="B953" s="97"/>
      <c r="C953" s="97"/>
      <c r="D953" s="98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86"/>
    </row>
    <row r="954" spans="1:17" s="87" customFormat="1" ht="11.25" hidden="1">
      <c r="A954" s="96" t="s">
        <v>104</v>
      </c>
      <c r="B954" s="97"/>
      <c r="C954" s="97"/>
      <c r="D954" s="98"/>
      <c r="E954" s="99">
        <v>2</v>
      </c>
      <c r="F954" s="99">
        <f>E954</f>
        <v>2</v>
      </c>
      <c r="G954" s="99"/>
      <c r="H954" s="99">
        <v>1</v>
      </c>
      <c r="I954" s="99"/>
      <c r="J954" s="99">
        <f>H954</f>
        <v>1</v>
      </c>
      <c r="K954" s="99"/>
      <c r="L954" s="99"/>
      <c r="M954" s="99"/>
      <c r="N954" s="99"/>
      <c r="O954" s="99"/>
      <c r="P954" s="99"/>
      <c r="Q954" s="86"/>
    </row>
    <row r="955" spans="1:17" s="87" customFormat="1" ht="11.25" hidden="1">
      <c r="A955" s="96" t="s">
        <v>5</v>
      </c>
      <c r="B955" s="97"/>
      <c r="C955" s="97"/>
      <c r="D955" s="98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86"/>
    </row>
    <row r="956" spans="1:17" s="87" customFormat="1" ht="22.5" hidden="1">
      <c r="A956" s="96" t="s">
        <v>187</v>
      </c>
      <c r="B956" s="97"/>
      <c r="C956" s="97"/>
      <c r="D956" s="98"/>
      <c r="E956" s="99">
        <f>E952/E954</f>
        <v>1775000</v>
      </c>
      <c r="F956" s="99">
        <f>E956</f>
        <v>1775000</v>
      </c>
      <c r="G956" s="99"/>
      <c r="H956" s="99">
        <f>H952/H954</f>
        <v>5000000</v>
      </c>
      <c r="I956" s="99"/>
      <c r="J956" s="99">
        <f>H956</f>
        <v>5000000</v>
      </c>
      <c r="K956" s="99"/>
      <c r="L956" s="99"/>
      <c r="M956" s="99"/>
      <c r="N956" s="99"/>
      <c r="O956" s="99"/>
      <c r="P956" s="99"/>
      <c r="Q956" s="86"/>
    </row>
    <row r="957" spans="1:17" s="203" customFormat="1" ht="23.25" customHeight="1" hidden="1">
      <c r="A957" s="200" t="s">
        <v>137</v>
      </c>
      <c r="B957" s="231"/>
      <c r="C957" s="231"/>
      <c r="D957" s="243"/>
      <c r="E957" s="243">
        <f>E959</f>
        <v>-10294092</v>
      </c>
      <c r="F957" s="243">
        <f>F959</f>
        <v>-10294092</v>
      </c>
      <c r="G957" s="243"/>
      <c r="H957" s="243"/>
      <c r="I957" s="243"/>
      <c r="J957" s="243"/>
      <c r="K957" s="243"/>
      <c r="L957" s="243"/>
      <c r="M957" s="243"/>
      <c r="N957" s="243"/>
      <c r="O957" s="243"/>
      <c r="P957" s="243"/>
      <c r="Q957" s="243">
        <f>Q959</f>
        <v>0</v>
      </c>
    </row>
    <row r="958" spans="1:131" ht="17.25" customHeight="1" hidden="1">
      <c r="A958" s="6" t="s">
        <v>111</v>
      </c>
      <c r="B958" s="4"/>
      <c r="C958" s="4"/>
      <c r="D958" s="46"/>
      <c r="E958" s="171"/>
      <c r="F958" s="171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1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  <c r="AB958" s="34"/>
      <c r="AC958" s="34"/>
      <c r="AD958" s="34"/>
      <c r="AE958" s="34"/>
      <c r="AF958" s="34"/>
      <c r="AG958" s="34"/>
      <c r="AH958" s="34"/>
      <c r="AI958" s="34"/>
      <c r="AJ958" s="34"/>
      <c r="AK958" s="34"/>
      <c r="AL958" s="34"/>
      <c r="AM958" s="34"/>
      <c r="AN958" s="34"/>
      <c r="AO958" s="34"/>
      <c r="AP958" s="34"/>
      <c r="AQ958" s="34"/>
      <c r="AR958" s="34"/>
      <c r="AS958" s="34"/>
      <c r="AT958" s="34"/>
      <c r="AU958" s="34"/>
      <c r="AV958" s="34"/>
      <c r="AW958" s="34"/>
      <c r="AX958" s="34"/>
      <c r="AY958" s="34"/>
      <c r="AZ958" s="34"/>
      <c r="BA958" s="34"/>
      <c r="BB958" s="34"/>
      <c r="BC958" s="34"/>
      <c r="BD958" s="34"/>
      <c r="BE958" s="34"/>
      <c r="BF958" s="34"/>
      <c r="BG958" s="34"/>
      <c r="BH958" s="34"/>
      <c r="BI958" s="34"/>
      <c r="BJ958" s="34"/>
      <c r="BK958" s="34"/>
      <c r="BL958" s="34"/>
      <c r="BM958" s="34"/>
      <c r="BN958" s="34"/>
      <c r="BO958" s="34"/>
      <c r="BP958" s="34"/>
      <c r="BQ958" s="34"/>
      <c r="BR958" s="34"/>
      <c r="BS958" s="34"/>
      <c r="BT958" s="34"/>
      <c r="BU958" s="34"/>
      <c r="BV958" s="34"/>
      <c r="BW958" s="34"/>
      <c r="BX958" s="34"/>
      <c r="BY958" s="34"/>
      <c r="BZ958" s="34"/>
      <c r="CA958" s="34"/>
      <c r="CB958" s="34"/>
      <c r="CC958" s="34"/>
      <c r="CD958" s="34"/>
      <c r="CE958" s="34"/>
      <c r="CF958" s="34"/>
      <c r="CG958" s="34"/>
      <c r="CH958" s="34"/>
      <c r="CI958" s="34"/>
      <c r="CJ958" s="34"/>
      <c r="CK958" s="34"/>
      <c r="CL958" s="34"/>
      <c r="CM958" s="34"/>
      <c r="CN958" s="34"/>
      <c r="CO958" s="34"/>
      <c r="CP958" s="34"/>
      <c r="CQ958" s="34"/>
      <c r="CR958" s="34"/>
      <c r="CS958" s="34"/>
      <c r="CT958" s="34"/>
      <c r="CU958" s="34"/>
      <c r="CV958" s="34"/>
      <c r="CW958" s="34"/>
      <c r="CX958" s="34"/>
      <c r="CY958" s="34"/>
      <c r="CZ958" s="34"/>
      <c r="DA958" s="34"/>
      <c r="DB958" s="34"/>
      <c r="DC958" s="34"/>
      <c r="DD958" s="34"/>
      <c r="DE958" s="34"/>
      <c r="DF958" s="34"/>
      <c r="DG958" s="34"/>
      <c r="DH958" s="34"/>
      <c r="DI958" s="34"/>
      <c r="DJ958" s="34"/>
      <c r="DK958" s="34"/>
      <c r="DL958" s="34"/>
      <c r="DM958" s="34"/>
      <c r="DN958" s="34"/>
      <c r="DO958" s="34"/>
      <c r="DP958" s="34"/>
      <c r="DQ958" s="34"/>
      <c r="DR958" s="34"/>
      <c r="DS958" s="34"/>
      <c r="DT958" s="34"/>
      <c r="DU958" s="34"/>
      <c r="DV958" s="34"/>
      <c r="DW958" s="34"/>
      <c r="DX958" s="34"/>
      <c r="DY958" s="34"/>
      <c r="DZ958" s="34"/>
      <c r="EA958" s="34"/>
    </row>
    <row r="959" spans="1:17" s="197" customFormat="1" ht="25.5" hidden="1">
      <c r="A959" s="194" t="s">
        <v>432</v>
      </c>
      <c r="B959" s="195"/>
      <c r="C959" s="195"/>
      <c r="D959" s="239"/>
      <c r="E959" s="239">
        <f>E961</f>
        <v>-10294092</v>
      </c>
      <c r="F959" s="239">
        <f>D959+E959</f>
        <v>-10294092</v>
      </c>
      <c r="G959" s="193"/>
      <c r="H959" s="193"/>
      <c r="I959" s="193"/>
      <c r="J959" s="193"/>
      <c r="K959" s="193"/>
      <c r="L959" s="193"/>
      <c r="M959" s="193"/>
      <c r="N959" s="193"/>
      <c r="O959" s="193"/>
      <c r="P959" s="193"/>
      <c r="Q959" s="234"/>
    </row>
    <row r="960" spans="1:131" ht="11.25" hidden="1">
      <c r="A960" s="3" t="s">
        <v>2</v>
      </c>
      <c r="B960" s="4"/>
      <c r="C960" s="4"/>
      <c r="D960" s="171"/>
      <c r="E960" s="171"/>
      <c r="F960" s="171"/>
      <c r="G960" s="74"/>
      <c r="H960" s="74"/>
      <c r="I960" s="5"/>
      <c r="J960" s="5"/>
      <c r="K960" s="5"/>
      <c r="L960" s="5"/>
      <c r="M960" s="5"/>
      <c r="N960" s="5"/>
      <c r="O960" s="5"/>
      <c r="P960" s="5"/>
      <c r="Q960" s="1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34"/>
      <c r="AF960" s="34"/>
      <c r="AG960" s="34"/>
      <c r="AH960" s="34"/>
      <c r="AI960" s="34"/>
      <c r="AJ960" s="34"/>
      <c r="AK960" s="34"/>
      <c r="AL960" s="34"/>
      <c r="AM960" s="34"/>
      <c r="AN960" s="34"/>
      <c r="AO960" s="34"/>
      <c r="AP960" s="34"/>
      <c r="AQ960" s="34"/>
      <c r="AR960" s="34"/>
      <c r="AS960" s="34"/>
      <c r="AT960" s="34"/>
      <c r="AU960" s="34"/>
      <c r="AV960" s="34"/>
      <c r="AW960" s="34"/>
      <c r="AX960" s="34"/>
      <c r="AY960" s="34"/>
      <c r="AZ960" s="34"/>
      <c r="BA960" s="34"/>
      <c r="BB960" s="34"/>
      <c r="BC960" s="34"/>
      <c r="BD960" s="34"/>
      <c r="BE960" s="34"/>
      <c r="BF960" s="34"/>
      <c r="BG960" s="34"/>
      <c r="BH960" s="34"/>
      <c r="BI960" s="34"/>
      <c r="BJ960" s="34"/>
      <c r="BK960" s="34"/>
      <c r="BL960" s="34"/>
      <c r="BM960" s="34"/>
      <c r="BN960" s="34"/>
      <c r="BO960" s="34"/>
      <c r="BP960" s="34"/>
      <c r="BQ960" s="34"/>
      <c r="BR960" s="34"/>
      <c r="BS960" s="34"/>
      <c r="BT960" s="34"/>
      <c r="BU960" s="34"/>
      <c r="BV960" s="34"/>
      <c r="BW960" s="34"/>
      <c r="BX960" s="34"/>
      <c r="BY960" s="34"/>
      <c r="BZ960" s="34"/>
      <c r="CA960" s="34"/>
      <c r="CB960" s="34"/>
      <c r="CC960" s="34"/>
      <c r="CD960" s="34"/>
      <c r="CE960" s="34"/>
      <c r="CF960" s="34"/>
      <c r="CG960" s="34"/>
      <c r="CH960" s="34"/>
      <c r="CI960" s="34"/>
      <c r="CJ960" s="34"/>
      <c r="CK960" s="34"/>
      <c r="CL960" s="34"/>
      <c r="CM960" s="34"/>
      <c r="CN960" s="34"/>
      <c r="CO960" s="34"/>
      <c r="CP960" s="34"/>
      <c r="CQ960" s="34"/>
      <c r="CR960" s="34"/>
      <c r="CS960" s="34"/>
      <c r="CT960" s="34"/>
      <c r="CU960" s="34"/>
      <c r="CV960" s="34"/>
      <c r="CW960" s="34"/>
      <c r="CX960" s="34"/>
      <c r="CY960" s="34"/>
      <c r="CZ960" s="34"/>
      <c r="DA960" s="34"/>
      <c r="DB960" s="34"/>
      <c r="DC960" s="34"/>
      <c r="DD960" s="34"/>
      <c r="DE960" s="34"/>
      <c r="DF960" s="34"/>
      <c r="DG960" s="34"/>
      <c r="DH960" s="34"/>
      <c r="DI960" s="34"/>
      <c r="DJ960" s="34"/>
      <c r="DK960" s="34"/>
      <c r="DL960" s="34"/>
      <c r="DM960" s="34"/>
      <c r="DN960" s="34"/>
      <c r="DO960" s="34"/>
      <c r="DP960" s="34"/>
      <c r="DQ960" s="34"/>
      <c r="DR960" s="34"/>
      <c r="DS960" s="34"/>
      <c r="DT960" s="34"/>
      <c r="DU960" s="34"/>
      <c r="DV960" s="34"/>
      <c r="DW960" s="34"/>
      <c r="DX960" s="34"/>
      <c r="DY960" s="34"/>
      <c r="DZ960" s="34"/>
      <c r="EA960" s="34"/>
    </row>
    <row r="961" spans="1:131" ht="22.5" hidden="1">
      <c r="A961" s="6" t="s">
        <v>113</v>
      </c>
      <c r="B961" s="4"/>
      <c r="C961" s="4"/>
      <c r="D961" s="32"/>
      <c r="E961" s="139">
        <f>-2054092-1800000-740000-5700000</f>
        <v>-10294092</v>
      </c>
      <c r="F961" s="139">
        <f>E961</f>
        <v>-10294092</v>
      </c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1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  <c r="AB961" s="34"/>
      <c r="AC961" s="34"/>
      <c r="AD961" s="34"/>
      <c r="AE961" s="34"/>
      <c r="AF961" s="34"/>
      <c r="AG961" s="34"/>
      <c r="AH961" s="34"/>
      <c r="AI961" s="34"/>
      <c r="AJ961" s="34"/>
      <c r="AK961" s="34"/>
      <c r="AL961" s="34"/>
      <c r="AM961" s="34"/>
      <c r="AN961" s="34"/>
      <c r="AO961" s="34"/>
      <c r="AP961" s="34"/>
      <c r="AQ961" s="34"/>
      <c r="AR961" s="34"/>
      <c r="AS961" s="34"/>
      <c r="AT961" s="34"/>
      <c r="AU961" s="34"/>
      <c r="AV961" s="34"/>
      <c r="AW961" s="34"/>
      <c r="AX961" s="34"/>
      <c r="AY961" s="34"/>
      <c r="AZ961" s="34"/>
      <c r="BA961" s="34"/>
      <c r="BB961" s="34"/>
      <c r="BC961" s="34"/>
      <c r="BD961" s="34"/>
      <c r="BE961" s="34"/>
      <c r="BF961" s="34"/>
      <c r="BG961" s="34"/>
      <c r="BH961" s="34"/>
      <c r="BI961" s="34"/>
      <c r="BJ961" s="34"/>
      <c r="BK961" s="34"/>
      <c r="BL961" s="34"/>
      <c r="BM961" s="34"/>
      <c r="BN961" s="34"/>
      <c r="BO961" s="34"/>
      <c r="BP961" s="34"/>
      <c r="BQ961" s="34"/>
      <c r="BR961" s="34"/>
      <c r="BS961" s="34"/>
      <c r="BT961" s="34"/>
      <c r="BU961" s="34"/>
      <c r="BV961" s="34"/>
      <c r="BW961" s="34"/>
      <c r="BX961" s="34"/>
      <c r="BY961" s="34"/>
      <c r="BZ961" s="34"/>
      <c r="CA961" s="34"/>
      <c r="CB961" s="34"/>
      <c r="CC961" s="34"/>
      <c r="CD961" s="34"/>
      <c r="CE961" s="34"/>
      <c r="CF961" s="34"/>
      <c r="CG961" s="34"/>
      <c r="CH961" s="34"/>
      <c r="CI961" s="34"/>
      <c r="CJ961" s="34"/>
      <c r="CK961" s="34"/>
      <c r="CL961" s="34"/>
      <c r="CM961" s="34"/>
      <c r="CN961" s="34"/>
      <c r="CO961" s="34"/>
      <c r="CP961" s="34"/>
      <c r="CQ961" s="34"/>
      <c r="CR961" s="34"/>
      <c r="CS961" s="34"/>
      <c r="CT961" s="34"/>
      <c r="CU961" s="34"/>
      <c r="CV961" s="34"/>
      <c r="CW961" s="34"/>
      <c r="CX961" s="34"/>
      <c r="CY961" s="34"/>
      <c r="CZ961" s="34"/>
      <c r="DA961" s="34"/>
      <c r="DB961" s="34"/>
      <c r="DC961" s="34"/>
      <c r="DD961" s="34"/>
      <c r="DE961" s="34"/>
      <c r="DF961" s="34"/>
      <c r="DG961" s="34"/>
      <c r="DH961" s="34"/>
      <c r="DI961" s="34"/>
      <c r="DJ961" s="34"/>
      <c r="DK961" s="34"/>
      <c r="DL961" s="34"/>
      <c r="DM961" s="34"/>
      <c r="DN961" s="34"/>
      <c r="DO961" s="34"/>
      <c r="DP961" s="34"/>
      <c r="DQ961" s="34"/>
      <c r="DR961" s="34"/>
      <c r="DS961" s="34"/>
      <c r="DT961" s="34"/>
      <c r="DU961" s="34"/>
      <c r="DV961" s="34"/>
      <c r="DW961" s="34"/>
      <c r="DX961" s="34"/>
      <c r="DY961" s="34"/>
      <c r="DZ961" s="34"/>
      <c r="EA961" s="34"/>
    </row>
    <row r="962" spans="1:131" ht="11.25" hidden="1">
      <c r="A962" s="3" t="s">
        <v>3</v>
      </c>
      <c r="B962" s="4"/>
      <c r="C962" s="4"/>
      <c r="D962" s="32"/>
      <c r="E962" s="139"/>
      <c r="F962" s="139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1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  <c r="AB962" s="34"/>
      <c r="AC962" s="34"/>
      <c r="AD962" s="34"/>
      <c r="AE962" s="34"/>
      <c r="AF962" s="34"/>
      <c r="AG962" s="34"/>
      <c r="AH962" s="34"/>
      <c r="AI962" s="34"/>
      <c r="AJ962" s="34"/>
      <c r="AK962" s="34"/>
      <c r="AL962" s="34"/>
      <c r="AM962" s="34"/>
      <c r="AN962" s="34"/>
      <c r="AO962" s="34"/>
      <c r="AP962" s="34"/>
      <c r="AQ962" s="34"/>
      <c r="AR962" s="34"/>
      <c r="AS962" s="34"/>
      <c r="AT962" s="34"/>
      <c r="AU962" s="34"/>
      <c r="AV962" s="34"/>
      <c r="AW962" s="34"/>
      <c r="AX962" s="34"/>
      <c r="AY962" s="34"/>
      <c r="AZ962" s="34"/>
      <c r="BA962" s="34"/>
      <c r="BB962" s="34"/>
      <c r="BC962" s="34"/>
      <c r="BD962" s="34"/>
      <c r="BE962" s="34"/>
      <c r="BF962" s="34"/>
      <c r="BG962" s="34"/>
      <c r="BH962" s="34"/>
      <c r="BI962" s="34"/>
      <c r="BJ962" s="34"/>
      <c r="BK962" s="34"/>
      <c r="BL962" s="34"/>
      <c r="BM962" s="34"/>
      <c r="BN962" s="34"/>
      <c r="BO962" s="34"/>
      <c r="BP962" s="34"/>
      <c r="BQ962" s="34"/>
      <c r="BR962" s="34"/>
      <c r="BS962" s="34"/>
      <c r="BT962" s="34"/>
      <c r="BU962" s="34"/>
      <c r="BV962" s="34"/>
      <c r="BW962" s="34"/>
      <c r="BX962" s="34"/>
      <c r="BY962" s="34"/>
      <c r="BZ962" s="34"/>
      <c r="CA962" s="34"/>
      <c r="CB962" s="34"/>
      <c r="CC962" s="34"/>
      <c r="CD962" s="34"/>
      <c r="CE962" s="34"/>
      <c r="CF962" s="34"/>
      <c r="CG962" s="34"/>
      <c r="CH962" s="34"/>
      <c r="CI962" s="34"/>
      <c r="CJ962" s="34"/>
      <c r="CK962" s="34"/>
      <c r="CL962" s="34"/>
      <c r="CM962" s="34"/>
      <c r="CN962" s="34"/>
      <c r="CO962" s="34"/>
      <c r="CP962" s="34"/>
      <c r="CQ962" s="34"/>
      <c r="CR962" s="34"/>
      <c r="CS962" s="34"/>
      <c r="CT962" s="34"/>
      <c r="CU962" s="34"/>
      <c r="CV962" s="34"/>
      <c r="CW962" s="34"/>
      <c r="CX962" s="34"/>
      <c r="CY962" s="34"/>
      <c r="CZ962" s="34"/>
      <c r="DA962" s="34"/>
      <c r="DB962" s="34"/>
      <c r="DC962" s="34"/>
      <c r="DD962" s="34"/>
      <c r="DE962" s="34"/>
      <c r="DF962" s="34"/>
      <c r="DG962" s="34"/>
      <c r="DH962" s="34"/>
      <c r="DI962" s="34"/>
      <c r="DJ962" s="34"/>
      <c r="DK962" s="34"/>
      <c r="DL962" s="34"/>
      <c r="DM962" s="34"/>
      <c r="DN962" s="34"/>
      <c r="DO962" s="34"/>
      <c r="DP962" s="34"/>
      <c r="DQ962" s="34"/>
      <c r="DR962" s="34"/>
      <c r="DS962" s="34"/>
      <c r="DT962" s="34"/>
      <c r="DU962" s="34"/>
      <c r="DV962" s="34"/>
      <c r="DW962" s="34"/>
      <c r="DX962" s="34"/>
      <c r="DY962" s="34"/>
      <c r="DZ962" s="34"/>
      <c r="EA962" s="34"/>
    </row>
    <row r="963" spans="1:131" ht="22.5" hidden="1">
      <c r="A963" s="6" t="s">
        <v>112</v>
      </c>
      <c r="B963" s="4"/>
      <c r="C963" s="4"/>
      <c r="D963" s="32"/>
      <c r="E963" s="172">
        <v>3</v>
      </c>
      <c r="F963" s="172">
        <f>D963+E963</f>
        <v>3</v>
      </c>
      <c r="G963" s="48"/>
      <c r="H963" s="49"/>
      <c r="I963" s="48"/>
      <c r="J963" s="49"/>
      <c r="K963" s="48"/>
      <c r="L963" s="48"/>
      <c r="M963" s="48"/>
      <c r="N963" s="48"/>
      <c r="O963" s="49"/>
      <c r="P963" s="49"/>
      <c r="Q963" s="1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  <c r="AB963" s="34"/>
      <c r="AC963" s="34"/>
      <c r="AD963" s="34"/>
      <c r="AE963" s="34"/>
      <c r="AF963" s="34"/>
      <c r="AG963" s="34"/>
      <c r="AH963" s="34"/>
      <c r="AI963" s="34"/>
      <c r="AJ963" s="34"/>
      <c r="AK963" s="34"/>
      <c r="AL963" s="34"/>
      <c r="AM963" s="34"/>
      <c r="AN963" s="34"/>
      <c r="AO963" s="34"/>
      <c r="AP963" s="34"/>
      <c r="AQ963" s="34"/>
      <c r="AR963" s="34"/>
      <c r="AS963" s="34"/>
      <c r="AT963" s="34"/>
      <c r="AU963" s="34"/>
      <c r="AV963" s="34"/>
      <c r="AW963" s="34"/>
      <c r="AX963" s="34"/>
      <c r="AY963" s="34"/>
      <c r="AZ963" s="34"/>
      <c r="BA963" s="34"/>
      <c r="BB963" s="34"/>
      <c r="BC963" s="34"/>
      <c r="BD963" s="34"/>
      <c r="BE963" s="34"/>
      <c r="BF963" s="34"/>
      <c r="BG963" s="34"/>
      <c r="BH963" s="34"/>
      <c r="BI963" s="34"/>
      <c r="BJ963" s="34"/>
      <c r="BK963" s="34"/>
      <c r="BL963" s="34"/>
      <c r="BM963" s="34"/>
      <c r="BN963" s="34"/>
      <c r="BO963" s="34"/>
      <c r="BP963" s="34"/>
      <c r="BQ963" s="34"/>
      <c r="BR963" s="34"/>
      <c r="BS963" s="34"/>
      <c r="BT963" s="34"/>
      <c r="BU963" s="34"/>
      <c r="BV963" s="34"/>
      <c r="BW963" s="34"/>
      <c r="BX963" s="34"/>
      <c r="BY963" s="34"/>
      <c r="BZ963" s="34"/>
      <c r="CA963" s="34"/>
      <c r="CB963" s="34"/>
      <c r="CC963" s="34"/>
      <c r="CD963" s="34"/>
      <c r="CE963" s="34"/>
      <c r="CF963" s="34"/>
      <c r="CG963" s="34"/>
      <c r="CH963" s="34"/>
      <c r="CI963" s="34"/>
      <c r="CJ963" s="34"/>
      <c r="CK963" s="34"/>
      <c r="CL963" s="34"/>
      <c r="CM963" s="34"/>
      <c r="CN963" s="34"/>
      <c r="CO963" s="34"/>
      <c r="CP963" s="34"/>
      <c r="CQ963" s="34"/>
      <c r="CR963" s="34"/>
      <c r="CS963" s="34"/>
      <c r="CT963" s="34"/>
      <c r="CU963" s="34"/>
      <c r="CV963" s="34"/>
      <c r="CW963" s="34"/>
      <c r="CX963" s="34"/>
      <c r="CY963" s="34"/>
      <c r="CZ963" s="34"/>
      <c r="DA963" s="34"/>
      <c r="DB963" s="34"/>
      <c r="DC963" s="34"/>
      <c r="DD963" s="34"/>
      <c r="DE963" s="34"/>
      <c r="DF963" s="34"/>
      <c r="DG963" s="34"/>
      <c r="DH963" s="34"/>
      <c r="DI963" s="34"/>
      <c r="DJ963" s="34"/>
      <c r="DK963" s="34"/>
      <c r="DL963" s="34"/>
      <c r="DM963" s="34"/>
      <c r="DN963" s="34"/>
      <c r="DO963" s="34"/>
      <c r="DP963" s="34"/>
      <c r="DQ963" s="34"/>
      <c r="DR963" s="34"/>
      <c r="DS963" s="34"/>
      <c r="DT963" s="34"/>
      <c r="DU963" s="34"/>
      <c r="DV963" s="34"/>
      <c r="DW963" s="34"/>
      <c r="DX963" s="34"/>
      <c r="DY963" s="34"/>
      <c r="DZ963" s="34"/>
      <c r="EA963" s="34"/>
    </row>
    <row r="964" spans="1:131" ht="11.25" hidden="1">
      <c r="A964" s="22" t="s">
        <v>5</v>
      </c>
      <c r="B964" s="4"/>
      <c r="C964" s="4"/>
      <c r="D964" s="32"/>
      <c r="E964" s="139"/>
      <c r="F964" s="139"/>
      <c r="G964" s="48"/>
      <c r="H964" s="49"/>
      <c r="I964" s="48"/>
      <c r="J964" s="49"/>
      <c r="K964" s="48"/>
      <c r="L964" s="48"/>
      <c r="M964" s="48"/>
      <c r="N964" s="48"/>
      <c r="O964" s="49"/>
      <c r="P964" s="49"/>
      <c r="Q964" s="14"/>
      <c r="R964" s="34"/>
      <c r="S964" s="34"/>
      <c r="T964" s="34"/>
      <c r="U964" s="34"/>
      <c r="V964" s="34"/>
      <c r="W964" s="34"/>
      <c r="X964" s="34"/>
      <c r="Y964" s="34"/>
      <c r="Z964" s="34"/>
      <c r="AA964" s="34"/>
      <c r="AB964" s="34"/>
      <c r="AC964" s="34"/>
      <c r="AD964" s="34"/>
      <c r="AE964" s="34"/>
      <c r="AF964" s="34"/>
      <c r="AG964" s="34"/>
      <c r="AH964" s="34"/>
      <c r="AI964" s="34"/>
      <c r="AJ964" s="34"/>
      <c r="AK964" s="34"/>
      <c r="AL964" s="34"/>
      <c r="AM964" s="34"/>
      <c r="AN964" s="34"/>
      <c r="AO964" s="34"/>
      <c r="AP964" s="34"/>
      <c r="AQ964" s="34"/>
      <c r="AR964" s="34"/>
      <c r="AS964" s="34"/>
      <c r="AT964" s="34"/>
      <c r="AU964" s="34"/>
      <c r="AV964" s="34"/>
      <c r="AW964" s="34"/>
      <c r="AX964" s="34"/>
      <c r="AY964" s="34"/>
      <c r="AZ964" s="34"/>
      <c r="BA964" s="34"/>
      <c r="BB964" s="34"/>
      <c r="BC964" s="34"/>
      <c r="BD964" s="34"/>
      <c r="BE964" s="34"/>
      <c r="BF964" s="34"/>
      <c r="BG964" s="34"/>
      <c r="BH964" s="34"/>
      <c r="BI964" s="34"/>
      <c r="BJ964" s="34"/>
      <c r="BK964" s="34"/>
      <c r="BL964" s="34"/>
      <c r="BM964" s="34"/>
      <c r="BN964" s="34"/>
      <c r="BO964" s="34"/>
      <c r="BP964" s="34"/>
      <c r="BQ964" s="34"/>
      <c r="BR964" s="34"/>
      <c r="BS964" s="34"/>
      <c r="BT964" s="34"/>
      <c r="BU964" s="34"/>
      <c r="BV964" s="34"/>
      <c r="BW964" s="34"/>
      <c r="BX964" s="34"/>
      <c r="BY964" s="34"/>
      <c r="BZ964" s="34"/>
      <c r="CA964" s="34"/>
      <c r="CB964" s="34"/>
      <c r="CC964" s="34"/>
      <c r="CD964" s="34"/>
      <c r="CE964" s="34"/>
      <c r="CF964" s="34"/>
      <c r="CG964" s="34"/>
      <c r="CH964" s="34"/>
      <c r="CI964" s="34"/>
      <c r="CJ964" s="34"/>
      <c r="CK964" s="34"/>
      <c r="CL964" s="34"/>
      <c r="CM964" s="34"/>
      <c r="CN964" s="34"/>
      <c r="CO964" s="34"/>
      <c r="CP964" s="34"/>
      <c r="CQ964" s="34"/>
      <c r="CR964" s="34"/>
      <c r="CS964" s="34"/>
      <c r="CT964" s="34"/>
      <c r="CU964" s="34"/>
      <c r="CV964" s="34"/>
      <c r="CW964" s="34"/>
      <c r="CX964" s="34"/>
      <c r="CY964" s="34"/>
      <c r="CZ964" s="34"/>
      <c r="DA964" s="34"/>
      <c r="DB964" s="34"/>
      <c r="DC964" s="34"/>
      <c r="DD964" s="34"/>
      <c r="DE964" s="34"/>
      <c r="DF964" s="34"/>
      <c r="DG964" s="34"/>
      <c r="DH964" s="34"/>
      <c r="DI964" s="34"/>
      <c r="DJ964" s="34"/>
      <c r="DK964" s="34"/>
      <c r="DL964" s="34"/>
      <c r="DM964" s="34"/>
      <c r="DN964" s="34"/>
      <c r="DO964" s="34"/>
      <c r="DP964" s="34"/>
      <c r="DQ964" s="34"/>
      <c r="DR964" s="34"/>
      <c r="DS964" s="34"/>
      <c r="DT964" s="34"/>
      <c r="DU964" s="34"/>
      <c r="DV964" s="34"/>
      <c r="DW964" s="34"/>
      <c r="DX964" s="34"/>
      <c r="DY964" s="34"/>
      <c r="DZ964" s="34"/>
      <c r="EA964" s="34"/>
    </row>
    <row r="965" spans="1:131" ht="22.5" hidden="1">
      <c r="A965" s="28" t="s">
        <v>157</v>
      </c>
      <c r="B965" s="4"/>
      <c r="C965" s="4"/>
      <c r="D965" s="32"/>
      <c r="E965" s="139">
        <f>E961/E963</f>
        <v>-3431364</v>
      </c>
      <c r="F965" s="139">
        <f>E965</f>
        <v>-3431364</v>
      </c>
      <c r="G965" s="48"/>
      <c r="H965" s="48"/>
      <c r="I965" s="48"/>
      <c r="J965" s="48"/>
      <c r="K965" s="48"/>
      <c r="L965" s="48"/>
      <c r="M965" s="48"/>
      <c r="N965" s="48"/>
      <c r="O965" s="49"/>
      <c r="P965" s="49"/>
      <c r="Q965" s="1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  <c r="AB965" s="34"/>
      <c r="AC965" s="34"/>
      <c r="AD965" s="34"/>
      <c r="AE965" s="34"/>
      <c r="AF965" s="34"/>
      <c r="AG965" s="34"/>
      <c r="AH965" s="34"/>
      <c r="AI965" s="34"/>
      <c r="AJ965" s="34"/>
      <c r="AK965" s="34"/>
      <c r="AL965" s="34"/>
      <c r="AM965" s="34"/>
      <c r="AN965" s="34"/>
      <c r="AO965" s="34"/>
      <c r="AP965" s="34"/>
      <c r="AQ965" s="34"/>
      <c r="AR965" s="34"/>
      <c r="AS965" s="34"/>
      <c r="AT965" s="34"/>
      <c r="AU965" s="34"/>
      <c r="AV965" s="34"/>
      <c r="AW965" s="34"/>
      <c r="AX965" s="34"/>
      <c r="AY965" s="34"/>
      <c r="AZ965" s="34"/>
      <c r="BA965" s="34"/>
      <c r="BB965" s="34"/>
      <c r="BC965" s="34"/>
      <c r="BD965" s="34"/>
      <c r="BE965" s="34"/>
      <c r="BF965" s="34"/>
      <c r="BG965" s="34"/>
      <c r="BH965" s="34"/>
      <c r="BI965" s="34"/>
      <c r="BJ965" s="34"/>
      <c r="BK965" s="34"/>
      <c r="BL965" s="34"/>
      <c r="BM965" s="34"/>
      <c r="BN965" s="34"/>
      <c r="BO965" s="34"/>
      <c r="BP965" s="34"/>
      <c r="BQ965" s="34"/>
      <c r="BR965" s="34"/>
      <c r="BS965" s="34"/>
      <c r="BT965" s="34"/>
      <c r="BU965" s="34"/>
      <c r="BV965" s="34"/>
      <c r="BW965" s="34"/>
      <c r="BX965" s="34"/>
      <c r="BY965" s="34"/>
      <c r="BZ965" s="34"/>
      <c r="CA965" s="34"/>
      <c r="CB965" s="34"/>
      <c r="CC965" s="34"/>
      <c r="CD965" s="34"/>
      <c r="CE965" s="34"/>
      <c r="CF965" s="34"/>
      <c r="CG965" s="34"/>
      <c r="CH965" s="34"/>
      <c r="CI965" s="34"/>
      <c r="CJ965" s="34"/>
      <c r="CK965" s="34"/>
      <c r="CL965" s="34"/>
      <c r="CM965" s="34"/>
      <c r="CN965" s="34"/>
      <c r="CO965" s="34"/>
      <c r="CP965" s="34"/>
      <c r="CQ965" s="34"/>
      <c r="CR965" s="34"/>
      <c r="CS965" s="34"/>
      <c r="CT965" s="34"/>
      <c r="CU965" s="34"/>
      <c r="CV965" s="34"/>
      <c r="CW965" s="34"/>
      <c r="CX965" s="34"/>
      <c r="CY965" s="34"/>
      <c r="CZ965" s="34"/>
      <c r="DA965" s="34"/>
      <c r="DB965" s="34"/>
      <c r="DC965" s="34"/>
      <c r="DD965" s="34"/>
      <c r="DE965" s="34"/>
      <c r="DF965" s="34"/>
      <c r="DG965" s="34"/>
      <c r="DH965" s="34"/>
      <c r="DI965" s="34"/>
      <c r="DJ965" s="34"/>
      <c r="DK965" s="34"/>
      <c r="DL965" s="34"/>
      <c r="DM965" s="34"/>
      <c r="DN965" s="34"/>
      <c r="DO965" s="34"/>
      <c r="DP965" s="34"/>
      <c r="DQ965" s="34"/>
      <c r="DR965" s="34"/>
      <c r="DS965" s="34"/>
      <c r="DT965" s="34"/>
      <c r="DU965" s="34"/>
      <c r="DV965" s="34"/>
      <c r="DW965" s="34"/>
      <c r="DX965" s="34"/>
      <c r="DY965" s="34"/>
      <c r="DZ965" s="34"/>
      <c r="EA965" s="34"/>
    </row>
    <row r="966" spans="1:17" s="203" customFormat="1" ht="12.75" hidden="1">
      <c r="A966" s="200" t="s">
        <v>537</v>
      </c>
      <c r="B966" s="231"/>
      <c r="C966" s="231"/>
      <c r="D966" s="220">
        <f>D968</f>
        <v>7500000</v>
      </c>
      <c r="E966" s="220">
        <f>E968</f>
        <v>0</v>
      </c>
      <c r="F966" s="220">
        <f>D966+E966</f>
        <v>7500000</v>
      </c>
      <c r="G966" s="243"/>
      <c r="H966" s="243"/>
      <c r="I966" s="243"/>
      <c r="J966" s="243"/>
      <c r="K966" s="244"/>
      <c r="L966" s="244"/>
      <c r="M966" s="244"/>
      <c r="N966" s="244"/>
      <c r="O966" s="245"/>
      <c r="P966" s="245"/>
      <c r="Q966" s="233"/>
    </row>
    <row r="967" spans="1:131" ht="11.25" hidden="1">
      <c r="A967" s="6" t="s">
        <v>111</v>
      </c>
      <c r="B967" s="4"/>
      <c r="C967" s="4"/>
      <c r="D967" s="32"/>
      <c r="E967" s="139"/>
      <c r="F967" s="139"/>
      <c r="G967" s="5"/>
      <c r="H967" s="5"/>
      <c r="I967" s="5"/>
      <c r="J967" s="5"/>
      <c r="K967" s="48"/>
      <c r="L967" s="48"/>
      <c r="M967" s="48"/>
      <c r="N967" s="48"/>
      <c r="O967" s="49"/>
      <c r="P967" s="49"/>
      <c r="Q967" s="1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  <c r="AB967" s="34"/>
      <c r="AC967" s="34"/>
      <c r="AD967" s="34"/>
      <c r="AE967" s="34"/>
      <c r="AF967" s="34"/>
      <c r="AG967" s="34"/>
      <c r="AH967" s="34"/>
      <c r="AI967" s="34"/>
      <c r="AJ967" s="34"/>
      <c r="AK967" s="34"/>
      <c r="AL967" s="34"/>
      <c r="AM967" s="34"/>
      <c r="AN967" s="34"/>
      <c r="AO967" s="34"/>
      <c r="AP967" s="34"/>
      <c r="AQ967" s="34"/>
      <c r="AR967" s="34"/>
      <c r="AS967" s="34"/>
      <c r="AT967" s="34"/>
      <c r="AU967" s="34"/>
      <c r="AV967" s="34"/>
      <c r="AW967" s="34"/>
      <c r="AX967" s="34"/>
      <c r="AY967" s="34"/>
      <c r="AZ967" s="34"/>
      <c r="BA967" s="34"/>
      <c r="BB967" s="34"/>
      <c r="BC967" s="34"/>
      <c r="BD967" s="34"/>
      <c r="BE967" s="34"/>
      <c r="BF967" s="34"/>
      <c r="BG967" s="34"/>
      <c r="BH967" s="34"/>
      <c r="BI967" s="34"/>
      <c r="BJ967" s="34"/>
      <c r="BK967" s="34"/>
      <c r="BL967" s="34"/>
      <c r="BM967" s="34"/>
      <c r="BN967" s="34"/>
      <c r="BO967" s="34"/>
      <c r="BP967" s="34"/>
      <c r="BQ967" s="34"/>
      <c r="BR967" s="34"/>
      <c r="BS967" s="34"/>
      <c r="BT967" s="34"/>
      <c r="BU967" s="34"/>
      <c r="BV967" s="34"/>
      <c r="BW967" s="34"/>
      <c r="BX967" s="34"/>
      <c r="BY967" s="34"/>
      <c r="BZ967" s="34"/>
      <c r="CA967" s="34"/>
      <c r="CB967" s="34"/>
      <c r="CC967" s="34"/>
      <c r="CD967" s="34"/>
      <c r="CE967" s="34"/>
      <c r="CF967" s="34"/>
      <c r="CG967" s="34"/>
      <c r="CH967" s="34"/>
      <c r="CI967" s="34"/>
      <c r="CJ967" s="34"/>
      <c r="CK967" s="34"/>
      <c r="CL967" s="34"/>
      <c r="CM967" s="34"/>
      <c r="CN967" s="34"/>
      <c r="CO967" s="34"/>
      <c r="CP967" s="34"/>
      <c r="CQ967" s="34"/>
      <c r="CR967" s="34"/>
      <c r="CS967" s="34"/>
      <c r="CT967" s="34"/>
      <c r="CU967" s="34"/>
      <c r="CV967" s="34"/>
      <c r="CW967" s="34"/>
      <c r="CX967" s="34"/>
      <c r="CY967" s="34"/>
      <c r="CZ967" s="34"/>
      <c r="DA967" s="34"/>
      <c r="DB967" s="34"/>
      <c r="DC967" s="34"/>
      <c r="DD967" s="34"/>
      <c r="DE967" s="34"/>
      <c r="DF967" s="34"/>
      <c r="DG967" s="34"/>
      <c r="DH967" s="34"/>
      <c r="DI967" s="34"/>
      <c r="DJ967" s="34"/>
      <c r="DK967" s="34"/>
      <c r="DL967" s="34"/>
      <c r="DM967" s="34"/>
      <c r="DN967" s="34"/>
      <c r="DO967" s="34"/>
      <c r="DP967" s="34"/>
      <c r="DQ967" s="34"/>
      <c r="DR967" s="34"/>
      <c r="DS967" s="34"/>
      <c r="DT967" s="34"/>
      <c r="DU967" s="34"/>
      <c r="DV967" s="34"/>
      <c r="DW967" s="34"/>
      <c r="DX967" s="34"/>
      <c r="DY967" s="34"/>
      <c r="DZ967" s="34"/>
      <c r="EA967" s="34"/>
    </row>
    <row r="968" spans="1:17" s="192" customFormat="1" ht="34.5" customHeight="1" hidden="1">
      <c r="A968" s="194" t="s">
        <v>536</v>
      </c>
      <c r="B968" s="190"/>
      <c r="C968" s="190"/>
      <c r="D968" s="223">
        <f>D970</f>
        <v>7500000</v>
      </c>
      <c r="E968" s="223">
        <f>E970</f>
        <v>0</v>
      </c>
      <c r="F968" s="223">
        <f>D968+E968</f>
        <v>7500000</v>
      </c>
      <c r="G968" s="193"/>
      <c r="H968" s="193"/>
      <c r="I968" s="193"/>
      <c r="J968" s="193"/>
      <c r="K968" s="238"/>
      <c r="L968" s="238"/>
      <c r="M968" s="238"/>
      <c r="N968" s="238"/>
      <c r="O968" s="246"/>
      <c r="P968" s="246"/>
      <c r="Q968" s="242"/>
    </row>
    <row r="969" spans="1:131" ht="11.25" hidden="1">
      <c r="A969" s="3" t="s">
        <v>2</v>
      </c>
      <c r="B969" s="4"/>
      <c r="C969" s="4"/>
      <c r="D969" s="32"/>
      <c r="E969" s="139"/>
      <c r="F969" s="139"/>
      <c r="G969" s="5"/>
      <c r="H969" s="5"/>
      <c r="I969" s="5"/>
      <c r="J969" s="5"/>
      <c r="K969" s="48"/>
      <c r="L969" s="48"/>
      <c r="M969" s="48"/>
      <c r="N969" s="48"/>
      <c r="O969" s="49"/>
      <c r="P969" s="49"/>
      <c r="Q969" s="1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  <c r="AB969" s="34"/>
      <c r="AC969" s="34"/>
      <c r="AD969" s="34"/>
      <c r="AE969" s="34"/>
      <c r="AF969" s="34"/>
      <c r="AG969" s="34"/>
      <c r="AH969" s="34"/>
      <c r="AI969" s="34"/>
      <c r="AJ969" s="34"/>
      <c r="AK969" s="34"/>
      <c r="AL969" s="34"/>
      <c r="AM969" s="34"/>
      <c r="AN969" s="34"/>
      <c r="AO969" s="34"/>
      <c r="AP969" s="34"/>
      <c r="AQ969" s="34"/>
      <c r="AR969" s="34"/>
      <c r="AS969" s="34"/>
      <c r="AT969" s="34"/>
      <c r="AU969" s="34"/>
      <c r="AV969" s="34"/>
      <c r="AW969" s="34"/>
      <c r="AX969" s="34"/>
      <c r="AY969" s="34"/>
      <c r="AZ969" s="34"/>
      <c r="BA969" s="34"/>
      <c r="BB969" s="34"/>
      <c r="BC969" s="34"/>
      <c r="BD969" s="34"/>
      <c r="BE969" s="34"/>
      <c r="BF969" s="34"/>
      <c r="BG969" s="34"/>
      <c r="BH969" s="34"/>
      <c r="BI969" s="34"/>
      <c r="BJ969" s="34"/>
      <c r="BK969" s="34"/>
      <c r="BL969" s="34"/>
      <c r="BM969" s="34"/>
      <c r="BN969" s="34"/>
      <c r="BO969" s="34"/>
      <c r="BP969" s="34"/>
      <c r="BQ969" s="34"/>
      <c r="BR969" s="34"/>
      <c r="BS969" s="34"/>
      <c r="BT969" s="34"/>
      <c r="BU969" s="34"/>
      <c r="BV969" s="34"/>
      <c r="BW969" s="34"/>
      <c r="BX969" s="34"/>
      <c r="BY969" s="34"/>
      <c r="BZ969" s="34"/>
      <c r="CA969" s="34"/>
      <c r="CB969" s="34"/>
      <c r="CC969" s="34"/>
      <c r="CD969" s="34"/>
      <c r="CE969" s="34"/>
      <c r="CF969" s="34"/>
      <c r="CG969" s="34"/>
      <c r="CH969" s="34"/>
      <c r="CI969" s="34"/>
      <c r="CJ969" s="34"/>
      <c r="CK969" s="34"/>
      <c r="CL969" s="34"/>
      <c r="CM969" s="34"/>
      <c r="CN969" s="34"/>
      <c r="CO969" s="34"/>
      <c r="CP969" s="34"/>
      <c r="CQ969" s="34"/>
      <c r="CR969" s="34"/>
      <c r="CS969" s="34"/>
      <c r="CT969" s="34"/>
      <c r="CU969" s="34"/>
      <c r="CV969" s="34"/>
      <c r="CW969" s="34"/>
      <c r="CX969" s="34"/>
      <c r="CY969" s="34"/>
      <c r="CZ969" s="34"/>
      <c r="DA969" s="34"/>
      <c r="DB969" s="34"/>
      <c r="DC969" s="34"/>
      <c r="DD969" s="34"/>
      <c r="DE969" s="34"/>
      <c r="DF969" s="34"/>
      <c r="DG969" s="34"/>
      <c r="DH969" s="34"/>
      <c r="DI969" s="34"/>
      <c r="DJ969" s="34"/>
      <c r="DK969" s="34"/>
      <c r="DL969" s="34"/>
      <c r="DM969" s="34"/>
      <c r="DN969" s="34"/>
      <c r="DO969" s="34"/>
      <c r="DP969" s="34"/>
      <c r="DQ969" s="34"/>
      <c r="DR969" s="34"/>
      <c r="DS969" s="34"/>
      <c r="DT969" s="34"/>
      <c r="DU969" s="34"/>
      <c r="DV969" s="34"/>
      <c r="DW969" s="34"/>
      <c r="DX969" s="34"/>
      <c r="DY969" s="34"/>
      <c r="DZ969" s="34"/>
      <c r="EA969" s="34"/>
    </row>
    <row r="970" spans="1:131" ht="22.5" hidden="1">
      <c r="A970" s="6" t="s">
        <v>538</v>
      </c>
      <c r="B970" s="4"/>
      <c r="C970" s="4"/>
      <c r="D970" s="32">
        <f>1800000+5700000</f>
        <v>7500000</v>
      </c>
      <c r="E970" s="136"/>
      <c r="F970" s="136">
        <f>D970+E970</f>
        <v>7500000</v>
      </c>
      <c r="G970" s="48"/>
      <c r="H970" s="48"/>
      <c r="I970" s="48"/>
      <c r="J970" s="48"/>
      <c r="K970" s="48"/>
      <c r="L970" s="48"/>
      <c r="M970" s="48"/>
      <c r="N970" s="48"/>
      <c r="O970" s="49"/>
      <c r="P970" s="49"/>
      <c r="Q970" s="1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  <c r="AB970" s="34"/>
      <c r="AC970" s="34"/>
      <c r="AD970" s="34"/>
      <c r="AE970" s="34"/>
      <c r="AF970" s="34"/>
      <c r="AG970" s="34"/>
      <c r="AH970" s="34"/>
      <c r="AI970" s="34"/>
      <c r="AJ970" s="34"/>
      <c r="AK970" s="34"/>
      <c r="AL970" s="34"/>
      <c r="AM970" s="34"/>
      <c r="AN970" s="34"/>
      <c r="AO970" s="34"/>
      <c r="AP970" s="34"/>
      <c r="AQ970" s="34"/>
      <c r="AR970" s="34"/>
      <c r="AS970" s="34"/>
      <c r="AT970" s="34"/>
      <c r="AU970" s="34"/>
      <c r="AV970" s="34"/>
      <c r="AW970" s="34"/>
      <c r="AX970" s="34"/>
      <c r="AY970" s="34"/>
      <c r="AZ970" s="34"/>
      <c r="BA970" s="34"/>
      <c r="BB970" s="34"/>
      <c r="BC970" s="34"/>
      <c r="BD970" s="34"/>
      <c r="BE970" s="34"/>
      <c r="BF970" s="34"/>
      <c r="BG970" s="34"/>
      <c r="BH970" s="34"/>
      <c r="BI970" s="34"/>
      <c r="BJ970" s="34"/>
      <c r="BK970" s="34"/>
      <c r="BL970" s="34"/>
      <c r="BM970" s="34"/>
      <c r="BN970" s="34"/>
      <c r="BO970" s="34"/>
      <c r="BP970" s="34"/>
      <c r="BQ970" s="34"/>
      <c r="BR970" s="34"/>
      <c r="BS970" s="34"/>
      <c r="BT970" s="34"/>
      <c r="BU970" s="34"/>
      <c r="BV970" s="34"/>
      <c r="BW970" s="34"/>
      <c r="BX970" s="34"/>
      <c r="BY970" s="34"/>
      <c r="BZ970" s="34"/>
      <c r="CA970" s="34"/>
      <c r="CB970" s="34"/>
      <c r="CC970" s="34"/>
      <c r="CD970" s="34"/>
      <c r="CE970" s="34"/>
      <c r="CF970" s="34"/>
      <c r="CG970" s="34"/>
      <c r="CH970" s="34"/>
      <c r="CI970" s="34"/>
      <c r="CJ970" s="34"/>
      <c r="CK970" s="34"/>
      <c r="CL970" s="34"/>
      <c r="CM970" s="34"/>
      <c r="CN970" s="34"/>
      <c r="CO970" s="34"/>
      <c r="CP970" s="34"/>
      <c r="CQ970" s="34"/>
      <c r="CR970" s="34"/>
      <c r="CS970" s="34"/>
      <c r="CT970" s="34"/>
      <c r="CU970" s="34"/>
      <c r="CV970" s="34"/>
      <c r="CW970" s="34"/>
      <c r="CX970" s="34"/>
      <c r="CY970" s="34"/>
      <c r="CZ970" s="34"/>
      <c r="DA970" s="34"/>
      <c r="DB970" s="34"/>
      <c r="DC970" s="34"/>
      <c r="DD970" s="34"/>
      <c r="DE970" s="34"/>
      <c r="DF970" s="34"/>
      <c r="DG970" s="34"/>
      <c r="DH970" s="34"/>
      <c r="DI970" s="34"/>
      <c r="DJ970" s="34"/>
      <c r="DK970" s="34"/>
      <c r="DL970" s="34"/>
      <c r="DM970" s="34"/>
      <c r="DN970" s="34"/>
      <c r="DO970" s="34"/>
      <c r="DP970" s="34"/>
      <c r="DQ970" s="34"/>
      <c r="DR970" s="34"/>
      <c r="DS970" s="34"/>
      <c r="DT970" s="34"/>
      <c r="DU970" s="34"/>
      <c r="DV970" s="34"/>
      <c r="DW970" s="34"/>
      <c r="DX970" s="34"/>
      <c r="DY970" s="34"/>
      <c r="DZ970" s="34"/>
      <c r="EA970" s="34"/>
    </row>
    <row r="971" spans="1:131" ht="11.25" hidden="1">
      <c r="A971" s="3" t="s">
        <v>3</v>
      </c>
      <c r="B971" s="4"/>
      <c r="C971" s="4"/>
      <c r="D971" s="32"/>
      <c r="E971" s="136"/>
      <c r="F971" s="136"/>
      <c r="G971" s="48"/>
      <c r="H971" s="48"/>
      <c r="I971" s="48"/>
      <c r="J971" s="48"/>
      <c r="K971" s="48"/>
      <c r="L971" s="48"/>
      <c r="M971" s="48"/>
      <c r="N971" s="48"/>
      <c r="O971" s="49"/>
      <c r="P971" s="49"/>
      <c r="Q971" s="1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  <c r="AB971" s="34"/>
      <c r="AC971" s="34"/>
      <c r="AD971" s="34"/>
      <c r="AE971" s="34"/>
      <c r="AF971" s="34"/>
      <c r="AG971" s="34"/>
      <c r="AH971" s="34"/>
      <c r="AI971" s="34"/>
      <c r="AJ971" s="34"/>
      <c r="AK971" s="34"/>
      <c r="AL971" s="34"/>
      <c r="AM971" s="34"/>
      <c r="AN971" s="34"/>
      <c r="AO971" s="34"/>
      <c r="AP971" s="34"/>
      <c r="AQ971" s="34"/>
      <c r="AR971" s="34"/>
      <c r="AS971" s="34"/>
      <c r="AT971" s="34"/>
      <c r="AU971" s="34"/>
      <c r="AV971" s="34"/>
      <c r="AW971" s="34"/>
      <c r="AX971" s="34"/>
      <c r="AY971" s="34"/>
      <c r="AZ971" s="34"/>
      <c r="BA971" s="34"/>
      <c r="BB971" s="34"/>
      <c r="BC971" s="34"/>
      <c r="BD971" s="34"/>
      <c r="BE971" s="34"/>
      <c r="BF971" s="34"/>
      <c r="BG971" s="34"/>
      <c r="BH971" s="34"/>
      <c r="BI971" s="34"/>
      <c r="BJ971" s="34"/>
      <c r="BK971" s="34"/>
      <c r="BL971" s="34"/>
      <c r="BM971" s="34"/>
      <c r="BN971" s="34"/>
      <c r="BO971" s="34"/>
      <c r="BP971" s="34"/>
      <c r="BQ971" s="34"/>
      <c r="BR971" s="34"/>
      <c r="BS971" s="34"/>
      <c r="BT971" s="34"/>
      <c r="BU971" s="34"/>
      <c r="BV971" s="34"/>
      <c r="BW971" s="34"/>
      <c r="BX971" s="34"/>
      <c r="BY971" s="34"/>
      <c r="BZ971" s="34"/>
      <c r="CA971" s="34"/>
      <c r="CB971" s="34"/>
      <c r="CC971" s="34"/>
      <c r="CD971" s="34"/>
      <c r="CE971" s="34"/>
      <c r="CF971" s="34"/>
      <c r="CG971" s="34"/>
      <c r="CH971" s="34"/>
      <c r="CI971" s="34"/>
      <c r="CJ971" s="34"/>
      <c r="CK971" s="34"/>
      <c r="CL971" s="34"/>
      <c r="CM971" s="34"/>
      <c r="CN971" s="34"/>
      <c r="CO971" s="34"/>
      <c r="CP971" s="34"/>
      <c r="CQ971" s="34"/>
      <c r="CR971" s="34"/>
      <c r="CS971" s="34"/>
      <c r="CT971" s="34"/>
      <c r="CU971" s="34"/>
      <c r="CV971" s="34"/>
      <c r="CW971" s="34"/>
      <c r="CX971" s="34"/>
      <c r="CY971" s="34"/>
      <c r="CZ971" s="34"/>
      <c r="DA971" s="34"/>
      <c r="DB971" s="34"/>
      <c r="DC971" s="34"/>
      <c r="DD971" s="34"/>
      <c r="DE971" s="34"/>
      <c r="DF971" s="34"/>
      <c r="DG971" s="34"/>
      <c r="DH971" s="34"/>
      <c r="DI971" s="34"/>
      <c r="DJ971" s="34"/>
      <c r="DK971" s="34"/>
      <c r="DL971" s="34"/>
      <c r="DM971" s="34"/>
      <c r="DN971" s="34"/>
      <c r="DO971" s="34"/>
      <c r="DP971" s="34"/>
      <c r="DQ971" s="34"/>
      <c r="DR971" s="34"/>
      <c r="DS971" s="34"/>
      <c r="DT971" s="34"/>
      <c r="DU971" s="34"/>
      <c r="DV971" s="34"/>
      <c r="DW971" s="34"/>
      <c r="DX971" s="34"/>
      <c r="DY971" s="34"/>
      <c r="DZ971" s="34"/>
      <c r="EA971" s="34"/>
    </row>
    <row r="972" spans="1:131" ht="22.5" hidden="1">
      <c r="A972" s="6" t="s">
        <v>112</v>
      </c>
      <c r="B972" s="4"/>
      <c r="C972" s="4"/>
      <c r="D972" s="32">
        <v>1</v>
      </c>
      <c r="E972" s="173"/>
      <c r="F972" s="160">
        <f>E972</f>
        <v>0</v>
      </c>
      <c r="G972" s="48"/>
      <c r="H972" s="49"/>
      <c r="I972" s="48"/>
      <c r="J972" s="49"/>
      <c r="K972" s="48"/>
      <c r="L972" s="48"/>
      <c r="M972" s="48"/>
      <c r="N972" s="48"/>
      <c r="O972" s="49"/>
      <c r="P972" s="49"/>
      <c r="Q972" s="1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  <c r="AB972" s="34"/>
      <c r="AC972" s="34"/>
      <c r="AD972" s="34"/>
      <c r="AE972" s="34"/>
      <c r="AF972" s="34"/>
      <c r="AG972" s="34"/>
      <c r="AH972" s="34"/>
      <c r="AI972" s="34"/>
      <c r="AJ972" s="34"/>
      <c r="AK972" s="34"/>
      <c r="AL972" s="34"/>
      <c r="AM972" s="34"/>
      <c r="AN972" s="34"/>
      <c r="AO972" s="34"/>
      <c r="AP972" s="34"/>
      <c r="AQ972" s="34"/>
      <c r="AR972" s="34"/>
      <c r="AS972" s="34"/>
      <c r="AT972" s="34"/>
      <c r="AU972" s="34"/>
      <c r="AV972" s="34"/>
      <c r="AW972" s="34"/>
      <c r="AX972" s="34"/>
      <c r="AY972" s="34"/>
      <c r="AZ972" s="34"/>
      <c r="BA972" s="34"/>
      <c r="BB972" s="34"/>
      <c r="BC972" s="34"/>
      <c r="BD972" s="34"/>
      <c r="BE972" s="34"/>
      <c r="BF972" s="34"/>
      <c r="BG972" s="34"/>
      <c r="BH972" s="34"/>
      <c r="BI972" s="34"/>
      <c r="BJ972" s="34"/>
      <c r="BK972" s="34"/>
      <c r="BL972" s="34"/>
      <c r="BM972" s="34"/>
      <c r="BN972" s="34"/>
      <c r="BO972" s="34"/>
      <c r="BP972" s="34"/>
      <c r="BQ972" s="34"/>
      <c r="BR972" s="34"/>
      <c r="BS972" s="34"/>
      <c r="BT972" s="34"/>
      <c r="BU972" s="34"/>
      <c r="BV972" s="34"/>
      <c r="BW972" s="34"/>
      <c r="BX972" s="34"/>
      <c r="BY972" s="34"/>
      <c r="BZ972" s="34"/>
      <c r="CA972" s="34"/>
      <c r="CB972" s="34"/>
      <c r="CC972" s="34"/>
      <c r="CD972" s="34"/>
      <c r="CE972" s="34"/>
      <c r="CF972" s="34"/>
      <c r="CG972" s="34"/>
      <c r="CH972" s="34"/>
      <c r="CI972" s="34"/>
      <c r="CJ972" s="34"/>
      <c r="CK972" s="34"/>
      <c r="CL972" s="34"/>
      <c r="CM972" s="34"/>
      <c r="CN972" s="34"/>
      <c r="CO972" s="34"/>
      <c r="CP972" s="34"/>
      <c r="CQ972" s="34"/>
      <c r="CR972" s="34"/>
      <c r="CS972" s="34"/>
      <c r="CT972" s="34"/>
      <c r="CU972" s="34"/>
      <c r="CV972" s="34"/>
      <c r="CW972" s="34"/>
      <c r="CX972" s="34"/>
      <c r="CY972" s="34"/>
      <c r="CZ972" s="34"/>
      <c r="DA972" s="34"/>
      <c r="DB972" s="34"/>
      <c r="DC972" s="34"/>
      <c r="DD972" s="34"/>
      <c r="DE972" s="34"/>
      <c r="DF972" s="34"/>
      <c r="DG972" s="34"/>
      <c r="DH972" s="34"/>
      <c r="DI972" s="34"/>
      <c r="DJ972" s="34"/>
      <c r="DK972" s="34"/>
      <c r="DL972" s="34"/>
      <c r="DM972" s="34"/>
      <c r="DN972" s="34"/>
      <c r="DO972" s="34"/>
      <c r="DP972" s="34"/>
      <c r="DQ972" s="34"/>
      <c r="DR972" s="34"/>
      <c r="DS972" s="34"/>
      <c r="DT972" s="34"/>
      <c r="DU972" s="34"/>
      <c r="DV972" s="34"/>
      <c r="DW972" s="34"/>
      <c r="DX972" s="34"/>
      <c r="DY972" s="34"/>
      <c r="DZ972" s="34"/>
      <c r="EA972" s="34"/>
    </row>
    <row r="973" spans="1:131" ht="11.25" hidden="1">
      <c r="A973" s="22" t="s">
        <v>5</v>
      </c>
      <c r="B973" s="4"/>
      <c r="C973" s="4"/>
      <c r="D973" s="32"/>
      <c r="E973" s="139"/>
      <c r="F973" s="139"/>
      <c r="G973" s="48"/>
      <c r="H973" s="49"/>
      <c r="I973" s="48"/>
      <c r="J973" s="49"/>
      <c r="K973" s="48"/>
      <c r="L973" s="48"/>
      <c r="M973" s="48"/>
      <c r="N973" s="48"/>
      <c r="O973" s="49"/>
      <c r="P973" s="49"/>
      <c r="Q973" s="1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  <c r="AB973" s="34"/>
      <c r="AC973" s="34"/>
      <c r="AD973" s="34"/>
      <c r="AE973" s="34"/>
      <c r="AF973" s="34"/>
      <c r="AG973" s="34"/>
      <c r="AH973" s="34"/>
      <c r="AI973" s="34"/>
      <c r="AJ973" s="34"/>
      <c r="AK973" s="34"/>
      <c r="AL973" s="34"/>
      <c r="AM973" s="34"/>
      <c r="AN973" s="34"/>
      <c r="AO973" s="34"/>
      <c r="AP973" s="34"/>
      <c r="AQ973" s="34"/>
      <c r="AR973" s="34"/>
      <c r="AS973" s="34"/>
      <c r="AT973" s="34"/>
      <c r="AU973" s="34"/>
      <c r="AV973" s="34"/>
      <c r="AW973" s="34"/>
      <c r="AX973" s="34"/>
      <c r="AY973" s="34"/>
      <c r="AZ973" s="34"/>
      <c r="BA973" s="34"/>
      <c r="BB973" s="34"/>
      <c r="BC973" s="34"/>
      <c r="BD973" s="34"/>
      <c r="BE973" s="34"/>
      <c r="BF973" s="34"/>
      <c r="BG973" s="34"/>
      <c r="BH973" s="34"/>
      <c r="BI973" s="34"/>
      <c r="BJ973" s="34"/>
      <c r="BK973" s="34"/>
      <c r="BL973" s="34"/>
      <c r="BM973" s="34"/>
      <c r="BN973" s="34"/>
      <c r="BO973" s="34"/>
      <c r="BP973" s="34"/>
      <c r="BQ973" s="34"/>
      <c r="BR973" s="34"/>
      <c r="BS973" s="34"/>
      <c r="BT973" s="34"/>
      <c r="BU973" s="34"/>
      <c r="BV973" s="34"/>
      <c r="BW973" s="34"/>
      <c r="BX973" s="34"/>
      <c r="BY973" s="34"/>
      <c r="BZ973" s="34"/>
      <c r="CA973" s="34"/>
      <c r="CB973" s="34"/>
      <c r="CC973" s="34"/>
      <c r="CD973" s="34"/>
      <c r="CE973" s="34"/>
      <c r="CF973" s="34"/>
      <c r="CG973" s="34"/>
      <c r="CH973" s="34"/>
      <c r="CI973" s="34"/>
      <c r="CJ973" s="34"/>
      <c r="CK973" s="34"/>
      <c r="CL973" s="34"/>
      <c r="CM973" s="34"/>
      <c r="CN973" s="34"/>
      <c r="CO973" s="34"/>
      <c r="CP973" s="34"/>
      <c r="CQ973" s="34"/>
      <c r="CR973" s="34"/>
      <c r="CS973" s="34"/>
      <c r="CT973" s="34"/>
      <c r="CU973" s="34"/>
      <c r="CV973" s="34"/>
      <c r="CW973" s="34"/>
      <c r="CX973" s="34"/>
      <c r="CY973" s="34"/>
      <c r="CZ973" s="34"/>
      <c r="DA973" s="34"/>
      <c r="DB973" s="34"/>
      <c r="DC973" s="34"/>
      <c r="DD973" s="34"/>
      <c r="DE973" s="34"/>
      <c r="DF973" s="34"/>
      <c r="DG973" s="34"/>
      <c r="DH973" s="34"/>
      <c r="DI973" s="34"/>
      <c r="DJ973" s="34"/>
      <c r="DK973" s="34"/>
      <c r="DL973" s="34"/>
      <c r="DM973" s="34"/>
      <c r="DN973" s="34"/>
      <c r="DO973" s="34"/>
      <c r="DP973" s="34"/>
      <c r="DQ973" s="34"/>
      <c r="DR973" s="34"/>
      <c r="DS973" s="34"/>
      <c r="DT973" s="34"/>
      <c r="DU973" s="34"/>
      <c r="DV973" s="34"/>
      <c r="DW973" s="34"/>
      <c r="DX973" s="34"/>
      <c r="DY973" s="34"/>
      <c r="DZ973" s="34"/>
      <c r="EA973" s="34"/>
    </row>
    <row r="974" spans="1:131" ht="22.5" hidden="1">
      <c r="A974" s="28" t="s">
        <v>539</v>
      </c>
      <c r="B974" s="4"/>
      <c r="C974" s="4"/>
      <c r="D974" s="32">
        <f>D970/D972</f>
        <v>7500000</v>
      </c>
      <c r="E974" s="139"/>
      <c r="F974" s="139">
        <f>D974</f>
        <v>7500000</v>
      </c>
      <c r="G974" s="48"/>
      <c r="H974" s="48"/>
      <c r="I974" s="48"/>
      <c r="J974" s="48"/>
      <c r="K974" s="48"/>
      <c r="L974" s="48"/>
      <c r="M974" s="48"/>
      <c r="N974" s="48"/>
      <c r="O974" s="49"/>
      <c r="P974" s="49"/>
      <c r="Q974" s="1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  <c r="AB974" s="34"/>
      <c r="AC974" s="34"/>
      <c r="AD974" s="34"/>
      <c r="AE974" s="34"/>
      <c r="AF974" s="34"/>
      <c r="AG974" s="34"/>
      <c r="AH974" s="34"/>
      <c r="AI974" s="34"/>
      <c r="AJ974" s="34"/>
      <c r="AK974" s="34"/>
      <c r="AL974" s="34"/>
      <c r="AM974" s="34"/>
      <c r="AN974" s="34"/>
      <c r="AO974" s="34"/>
      <c r="AP974" s="34"/>
      <c r="AQ974" s="34"/>
      <c r="AR974" s="34"/>
      <c r="AS974" s="34"/>
      <c r="AT974" s="34"/>
      <c r="AU974" s="34"/>
      <c r="AV974" s="34"/>
      <c r="AW974" s="34"/>
      <c r="AX974" s="34"/>
      <c r="AY974" s="34"/>
      <c r="AZ974" s="34"/>
      <c r="BA974" s="34"/>
      <c r="BB974" s="34"/>
      <c r="BC974" s="34"/>
      <c r="BD974" s="34"/>
      <c r="BE974" s="34"/>
      <c r="BF974" s="34"/>
      <c r="BG974" s="34"/>
      <c r="BH974" s="34"/>
      <c r="BI974" s="34"/>
      <c r="BJ974" s="34"/>
      <c r="BK974" s="34"/>
      <c r="BL974" s="34"/>
      <c r="BM974" s="34"/>
      <c r="BN974" s="34"/>
      <c r="BO974" s="34"/>
      <c r="BP974" s="34"/>
      <c r="BQ974" s="34"/>
      <c r="BR974" s="34"/>
      <c r="BS974" s="34"/>
      <c r="BT974" s="34"/>
      <c r="BU974" s="34"/>
      <c r="BV974" s="34"/>
      <c r="BW974" s="34"/>
      <c r="BX974" s="34"/>
      <c r="BY974" s="34"/>
      <c r="BZ974" s="34"/>
      <c r="CA974" s="34"/>
      <c r="CB974" s="34"/>
      <c r="CC974" s="34"/>
      <c r="CD974" s="34"/>
      <c r="CE974" s="34"/>
      <c r="CF974" s="34"/>
      <c r="CG974" s="34"/>
      <c r="CH974" s="34"/>
      <c r="CI974" s="34"/>
      <c r="CJ974" s="34"/>
      <c r="CK974" s="34"/>
      <c r="CL974" s="34"/>
      <c r="CM974" s="34"/>
      <c r="CN974" s="34"/>
      <c r="CO974" s="34"/>
      <c r="CP974" s="34"/>
      <c r="CQ974" s="34"/>
      <c r="CR974" s="34"/>
      <c r="CS974" s="34"/>
      <c r="CT974" s="34"/>
      <c r="CU974" s="34"/>
      <c r="CV974" s="34"/>
      <c r="CW974" s="34"/>
      <c r="CX974" s="34"/>
      <c r="CY974" s="34"/>
      <c r="CZ974" s="34"/>
      <c r="DA974" s="34"/>
      <c r="DB974" s="34"/>
      <c r="DC974" s="34"/>
      <c r="DD974" s="34"/>
      <c r="DE974" s="34"/>
      <c r="DF974" s="34"/>
      <c r="DG974" s="34"/>
      <c r="DH974" s="34"/>
      <c r="DI974" s="34"/>
      <c r="DJ974" s="34"/>
      <c r="DK974" s="34"/>
      <c r="DL974" s="34"/>
      <c r="DM974" s="34"/>
      <c r="DN974" s="34"/>
      <c r="DO974" s="34"/>
      <c r="DP974" s="34"/>
      <c r="DQ974" s="34"/>
      <c r="DR974" s="34"/>
      <c r="DS974" s="34"/>
      <c r="DT974" s="34"/>
      <c r="DU974" s="34"/>
      <c r="DV974" s="34"/>
      <c r="DW974" s="34"/>
      <c r="DX974" s="34"/>
      <c r="DY974" s="34"/>
      <c r="DZ974" s="34"/>
      <c r="EA974" s="34"/>
    </row>
    <row r="975" spans="1:131" ht="12.75" hidden="1">
      <c r="A975" s="200" t="s">
        <v>529</v>
      </c>
      <c r="B975" s="231"/>
      <c r="C975" s="231"/>
      <c r="D975" s="219"/>
      <c r="E975" s="220">
        <f>E977+E984</f>
        <v>14055000</v>
      </c>
      <c r="F975" s="220">
        <f>E975</f>
        <v>14055000</v>
      </c>
      <c r="G975" s="243"/>
      <c r="H975" s="243"/>
      <c r="I975" s="243"/>
      <c r="J975" s="243"/>
      <c r="K975" s="244"/>
      <c r="L975" s="244"/>
      <c r="M975" s="244"/>
      <c r="N975" s="244"/>
      <c r="O975" s="245"/>
      <c r="P975" s="245"/>
      <c r="Q975" s="1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  <c r="AB975" s="34"/>
      <c r="AC975" s="34"/>
      <c r="AD975" s="34"/>
      <c r="AE975" s="34"/>
      <c r="AF975" s="34"/>
      <c r="AG975" s="34"/>
      <c r="AH975" s="34"/>
      <c r="AI975" s="34"/>
      <c r="AJ975" s="34"/>
      <c r="AK975" s="34"/>
      <c r="AL975" s="34"/>
      <c r="AM975" s="34"/>
      <c r="AN975" s="34"/>
      <c r="AO975" s="34"/>
      <c r="AP975" s="34"/>
      <c r="AQ975" s="34"/>
      <c r="AR975" s="34"/>
      <c r="AS975" s="34"/>
      <c r="AT975" s="34"/>
      <c r="AU975" s="34"/>
      <c r="AV975" s="34"/>
      <c r="AW975" s="34"/>
      <c r="AX975" s="34"/>
      <c r="AY975" s="34"/>
      <c r="AZ975" s="34"/>
      <c r="BA975" s="34"/>
      <c r="BB975" s="34"/>
      <c r="BC975" s="34"/>
      <c r="BD975" s="34"/>
      <c r="BE975" s="34"/>
      <c r="BF975" s="34"/>
      <c r="BG975" s="34"/>
      <c r="BH975" s="34"/>
      <c r="BI975" s="34"/>
      <c r="BJ975" s="34"/>
      <c r="BK975" s="34"/>
      <c r="BL975" s="34"/>
      <c r="BM975" s="34"/>
      <c r="BN975" s="34"/>
      <c r="BO975" s="34"/>
      <c r="BP975" s="34"/>
      <c r="BQ975" s="34"/>
      <c r="BR975" s="34"/>
      <c r="BS975" s="34"/>
      <c r="BT975" s="34"/>
      <c r="BU975" s="34"/>
      <c r="BV975" s="34"/>
      <c r="BW975" s="34"/>
      <c r="BX975" s="34"/>
      <c r="BY975" s="34"/>
      <c r="BZ975" s="34"/>
      <c r="CA975" s="34"/>
      <c r="CB975" s="34"/>
      <c r="CC975" s="34"/>
      <c r="CD975" s="34"/>
      <c r="CE975" s="34"/>
      <c r="CF975" s="34"/>
      <c r="CG975" s="34"/>
      <c r="CH975" s="34"/>
      <c r="CI975" s="34"/>
      <c r="CJ975" s="34"/>
      <c r="CK975" s="34"/>
      <c r="CL975" s="34"/>
      <c r="CM975" s="34"/>
      <c r="CN975" s="34"/>
      <c r="CO975" s="34"/>
      <c r="CP975" s="34"/>
      <c r="CQ975" s="34"/>
      <c r="CR975" s="34"/>
      <c r="CS975" s="34"/>
      <c r="CT975" s="34"/>
      <c r="CU975" s="34"/>
      <c r="CV975" s="34"/>
      <c r="CW975" s="34"/>
      <c r="CX975" s="34"/>
      <c r="CY975" s="34"/>
      <c r="CZ975" s="34"/>
      <c r="DA975" s="34"/>
      <c r="DB975" s="34"/>
      <c r="DC975" s="34"/>
      <c r="DD975" s="34"/>
      <c r="DE975" s="34"/>
      <c r="DF975" s="34"/>
      <c r="DG975" s="34"/>
      <c r="DH975" s="34"/>
      <c r="DI975" s="34"/>
      <c r="DJ975" s="34"/>
      <c r="DK975" s="34"/>
      <c r="DL975" s="34"/>
      <c r="DM975" s="34"/>
      <c r="DN975" s="34"/>
      <c r="DO975" s="34"/>
      <c r="DP975" s="34"/>
      <c r="DQ975" s="34"/>
      <c r="DR975" s="34"/>
      <c r="DS975" s="34"/>
      <c r="DT975" s="34"/>
      <c r="DU975" s="34"/>
      <c r="DV975" s="34"/>
      <c r="DW975" s="34"/>
      <c r="DX975" s="34"/>
      <c r="DY975" s="34"/>
      <c r="DZ975" s="34"/>
      <c r="EA975" s="34"/>
    </row>
    <row r="976" spans="1:131" ht="22.5" hidden="1">
      <c r="A976" s="6" t="s">
        <v>532</v>
      </c>
      <c r="B976" s="4"/>
      <c r="C976" s="4"/>
      <c r="D976" s="32"/>
      <c r="E976" s="139"/>
      <c r="F976" s="139"/>
      <c r="G976" s="5"/>
      <c r="H976" s="5"/>
      <c r="I976" s="5"/>
      <c r="J976" s="5"/>
      <c r="K976" s="48"/>
      <c r="L976" s="48"/>
      <c r="M976" s="48"/>
      <c r="N976" s="48"/>
      <c r="O976" s="49"/>
      <c r="P976" s="49"/>
      <c r="Q976" s="1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  <c r="AB976" s="34"/>
      <c r="AC976" s="34"/>
      <c r="AD976" s="34"/>
      <c r="AE976" s="34"/>
      <c r="AF976" s="34"/>
      <c r="AG976" s="34"/>
      <c r="AH976" s="34"/>
      <c r="AI976" s="34"/>
      <c r="AJ976" s="34"/>
      <c r="AK976" s="34"/>
      <c r="AL976" s="34"/>
      <c r="AM976" s="34"/>
      <c r="AN976" s="34"/>
      <c r="AO976" s="34"/>
      <c r="AP976" s="34"/>
      <c r="AQ976" s="34"/>
      <c r="AR976" s="34"/>
      <c r="AS976" s="34"/>
      <c r="AT976" s="34"/>
      <c r="AU976" s="34"/>
      <c r="AV976" s="34"/>
      <c r="AW976" s="34"/>
      <c r="AX976" s="34"/>
      <c r="AY976" s="34"/>
      <c r="AZ976" s="34"/>
      <c r="BA976" s="34"/>
      <c r="BB976" s="34"/>
      <c r="BC976" s="34"/>
      <c r="BD976" s="34"/>
      <c r="BE976" s="34"/>
      <c r="BF976" s="34"/>
      <c r="BG976" s="34"/>
      <c r="BH976" s="34"/>
      <c r="BI976" s="34"/>
      <c r="BJ976" s="34"/>
      <c r="BK976" s="34"/>
      <c r="BL976" s="34"/>
      <c r="BM976" s="34"/>
      <c r="BN976" s="34"/>
      <c r="BO976" s="34"/>
      <c r="BP976" s="34"/>
      <c r="BQ976" s="34"/>
      <c r="BR976" s="34"/>
      <c r="BS976" s="34"/>
      <c r="BT976" s="34"/>
      <c r="BU976" s="34"/>
      <c r="BV976" s="34"/>
      <c r="BW976" s="34"/>
      <c r="BX976" s="34"/>
      <c r="BY976" s="34"/>
      <c r="BZ976" s="34"/>
      <c r="CA976" s="34"/>
      <c r="CB976" s="34"/>
      <c r="CC976" s="34"/>
      <c r="CD976" s="34"/>
      <c r="CE976" s="34"/>
      <c r="CF976" s="34"/>
      <c r="CG976" s="34"/>
      <c r="CH976" s="34"/>
      <c r="CI976" s="34"/>
      <c r="CJ976" s="34"/>
      <c r="CK976" s="34"/>
      <c r="CL976" s="34"/>
      <c r="CM976" s="34"/>
      <c r="CN976" s="34"/>
      <c r="CO976" s="34"/>
      <c r="CP976" s="34"/>
      <c r="CQ976" s="34"/>
      <c r="CR976" s="34"/>
      <c r="CS976" s="34"/>
      <c r="CT976" s="34"/>
      <c r="CU976" s="34"/>
      <c r="CV976" s="34"/>
      <c r="CW976" s="34"/>
      <c r="CX976" s="34"/>
      <c r="CY976" s="34"/>
      <c r="CZ976" s="34"/>
      <c r="DA976" s="34"/>
      <c r="DB976" s="34"/>
      <c r="DC976" s="34"/>
      <c r="DD976" s="34"/>
      <c r="DE976" s="34"/>
      <c r="DF976" s="34"/>
      <c r="DG976" s="34"/>
      <c r="DH976" s="34"/>
      <c r="DI976" s="34"/>
      <c r="DJ976" s="34"/>
      <c r="DK976" s="34"/>
      <c r="DL976" s="34"/>
      <c r="DM976" s="34"/>
      <c r="DN976" s="34"/>
      <c r="DO976" s="34"/>
      <c r="DP976" s="34"/>
      <c r="DQ976" s="34"/>
      <c r="DR976" s="34"/>
      <c r="DS976" s="34"/>
      <c r="DT976" s="34"/>
      <c r="DU976" s="34"/>
      <c r="DV976" s="34"/>
      <c r="DW976" s="34"/>
      <c r="DX976" s="34"/>
      <c r="DY976" s="34"/>
      <c r="DZ976" s="34"/>
      <c r="EA976" s="34"/>
    </row>
    <row r="977" spans="1:131" ht="63.75" hidden="1">
      <c r="A977" s="194" t="s">
        <v>535</v>
      </c>
      <c r="B977" s="190"/>
      <c r="C977" s="190"/>
      <c r="D977" s="222"/>
      <c r="E977" s="223">
        <f>E979</f>
        <v>10655000</v>
      </c>
      <c r="F977" s="223">
        <f>E977</f>
        <v>10655000</v>
      </c>
      <c r="G977" s="193"/>
      <c r="H977" s="193"/>
      <c r="I977" s="193"/>
      <c r="J977" s="193"/>
      <c r="K977" s="238"/>
      <c r="L977" s="238"/>
      <c r="M977" s="238"/>
      <c r="N977" s="238"/>
      <c r="O977" s="246"/>
      <c r="P977" s="246"/>
      <c r="Q977" s="1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  <c r="AF977" s="34"/>
      <c r="AG977" s="34"/>
      <c r="AH977" s="34"/>
      <c r="AI977" s="34"/>
      <c r="AJ977" s="34"/>
      <c r="AK977" s="34"/>
      <c r="AL977" s="34"/>
      <c r="AM977" s="34"/>
      <c r="AN977" s="34"/>
      <c r="AO977" s="34"/>
      <c r="AP977" s="34"/>
      <c r="AQ977" s="34"/>
      <c r="AR977" s="34"/>
      <c r="AS977" s="34"/>
      <c r="AT977" s="34"/>
      <c r="AU977" s="34"/>
      <c r="AV977" s="34"/>
      <c r="AW977" s="34"/>
      <c r="AX977" s="34"/>
      <c r="AY977" s="34"/>
      <c r="AZ977" s="34"/>
      <c r="BA977" s="34"/>
      <c r="BB977" s="34"/>
      <c r="BC977" s="34"/>
      <c r="BD977" s="34"/>
      <c r="BE977" s="34"/>
      <c r="BF977" s="34"/>
      <c r="BG977" s="34"/>
      <c r="BH977" s="34"/>
      <c r="BI977" s="34"/>
      <c r="BJ977" s="34"/>
      <c r="BK977" s="34"/>
      <c r="BL977" s="34"/>
      <c r="BM977" s="34"/>
      <c r="BN977" s="34"/>
      <c r="BO977" s="34"/>
      <c r="BP977" s="34"/>
      <c r="BQ977" s="34"/>
      <c r="BR977" s="34"/>
      <c r="BS977" s="34"/>
      <c r="BT977" s="34"/>
      <c r="BU977" s="34"/>
      <c r="BV977" s="34"/>
      <c r="BW977" s="34"/>
      <c r="BX977" s="34"/>
      <c r="BY977" s="34"/>
      <c r="BZ977" s="34"/>
      <c r="CA977" s="34"/>
      <c r="CB977" s="34"/>
      <c r="CC977" s="34"/>
      <c r="CD977" s="34"/>
      <c r="CE977" s="34"/>
      <c r="CF977" s="34"/>
      <c r="CG977" s="34"/>
      <c r="CH977" s="34"/>
      <c r="CI977" s="34"/>
      <c r="CJ977" s="34"/>
      <c r="CK977" s="34"/>
      <c r="CL977" s="34"/>
      <c r="CM977" s="34"/>
      <c r="CN977" s="34"/>
      <c r="CO977" s="34"/>
      <c r="CP977" s="34"/>
      <c r="CQ977" s="34"/>
      <c r="CR977" s="34"/>
      <c r="CS977" s="34"/>
      <c r="CT977" s="34"/>
      <c r="CU977" s="34"/>
      <c r="CV977" s="34"/>
      <c r="CW977" s="34"/>
      <c r="CX977" s="34"/>
      <c r="CY977" s="34"/>
      <c r="CZ977" s="34"/>
      <c r="DA977" s="34"/>
      <c r="DB977" s="34"/>
      <c r="DC977" s="34"/>
      <c r="DD977" s="34"/>
      <c r="DE977" s="34"/>
      <c r="DF977" s="34"/>
      <c r="DG977" s="34"/>
      <c r="DH977" s="34"/>
      <c r="DI977" s="34"/>
      <c r="DJ977" s="34"/>
      <c r="DK977" s="34"/>
      <c r="DL977" s="34"/>
      <c r="DM977" s="34"/>
      <c r="DN977" s="34"/>
      <c r="DO977" s="34"/>
      <c r="DP977" s="34"/>
      <c r="DQ977" s="34"/>
      <c r="DR977" s="34"/>
      <c r="DS977" s="34"/>
      <c r="DT977" s="34"/>
      <c r="DU977" s="34"/>
      <c r="DV977" s="34"/>
      <c r="DW977" s="34"/>
      <c r="DX977" s="34"/>
      <c r="DY977" s="34"/>
      <c r="DZ977" s="34"/>
      <c r="EA977" s="34"/>
    </row>
    <row r="978" spans="1:131" ht="11.25" hidden="1">
      <c r="A978" s="3" t="s">
        <v>2</v>
      </c>
      <c r="B978" s="4"/>
      <c r="C978" s="4"/>
      <c r="D978" s="32"/>
      <c r="E978" s="139"/>
      <c r="F978" s="139"/>
      <c r="G978" s="5"/>
      <c r="H978" s="5"/>
      <c r="I978" s="5"/>
      <c r="J978" s="5"/>
      <c r="K978" s="48"/>
      <c r="L978" s="48"/>
      <c r="M978" s="48"/>
      <c r="N978" s="48"/>
      <c r="O978" s="49"/>
      <c r="P978" s="49"/>
      <c r="Q978" s="1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  <c r="AB978" s="34"/>
      <c r="AC978" s="34"/>
      <c r="AD978" s="34"/>
      <c r="AE978" s="34"/>
      <c r="AF978" s="34"/>
      <c r="AG978" s="34"/>
      <c r="AH978" s="34"/>
      <c r="AI978" s="34"/>
      <c r="AJ978" s="34"/>
      <c r="AK978" s="34"/>
      <c r="AL978" s="34"/>
      <c r="AM978" s="34"/>
      <c r="AN978" s="34"/>
      <c r="AO978" s="34"/>
      <c r="AP978" s="34"/>
      <c r="AQ978" s="34"/>
      <c r="AR978" s="34"/>
      <c r="AS978" s="34"/>
      <c r="AT978" s="34"/>
      <c r="AU978" s="34"/>
      <c r="AV978" s="34"/>
      <c r="AW978" s="34"/>
      <c r="AX978" s="34"/>
      <c r="AY978" s="34"/>
      <c r="AZ978" s="34"/>
      <c r="BA978" s="34"/>
      <c r="BB978" s="34"/>
      <c r="BC978" s="34"/>
      <c r="BD978" s="34"/>
      <c r="BE978" s="34"/>
      <c r="BF978" s="34"/>
      <c r="BG978" s="34"/>
      <c r="BH978" s="34"/>
      <c r="BI978" s="34"/>
      <c r="BJ978" s="34"/>
      <c r="BK978" s="34"/>
      <c r="BL978" s="34"/>
      <c r="BM978" s="34"/>
      <c r="BN978" s="34"/>
      <c r="BO978" s="34"/>
      <c r="BP978" s="34"/>
      <c r="BQ978" s="34"/>
      <c r="BR978" s="34"/>
      <c r="BS978" s="34"/>
      <c r="BT978" s="34"/>
      <c r="BU978" s="34"/>
      <c r="BV978" s="34"/>
      <c r="BW978" s="34"/>
      <c r="BX978" s="34"/>
      <c r="BY978" s="34"/>
      <c r="BZ978" s="34"/>
      <c r="CA978" s="34"/>
      <c r="CB978" s="34"/>
      <c r="CC978" s="34"/>
      <c r="CD978" s="34"/>
      <c r="CE978" s="34"/>
      <c r="CF978" s="34"/>
      <c r="CG978" s="34"/>
      <c r="CH978" s="34"/>
      <c r="CI978" s="34"/>
      <c r="CJ978" s="34"/>
      <c r="CK978" s="34"/>
      <c r="CL978" s="34"/>
      <c r="CM978" s="34"/>
      <c r="CN978" s="34"/>
      <c r="CO978" s="34"/>
      <c r="CP978" s="34"/>
      <c r="CQ978" s="34"/>
      <c r="CR978" s="34"/>
      <c r="CS978" s="34"/>
      <c r="CT978" s="34"/>
      <c r="CU978" s="34"/>
      <c r="CV978" s="34"/>
      <c r="CW978" s="34"/>
      <c r="CX978" s="34"/>
      <c r="CY978" s="34"/>
      <c r="CZ978" s="34"/>
      <c r="DA978" s="34"/>
      <c r="DB978" s="34"/>
      <c r="DC978" s="34"/>
      <c r="DD978" s="34"/>
      <c r="DE978" s="34"/>
      <c r="DF978" s="34"/>
      <c r="DG978" s="34"/>
      <c r="DH978" s="34"/>
      <c r="DI978" s="34"/>
      <c r="DJ978" s="34"/>
      <c r="DK978" s="34"/>
      <c r="DL978" s="34"/>
      <c r="DM978" s="34"/>
      <c r="DN978" s="34"/>
      <c r="DO978" s="34"/>
      <c r="DP978" s="34"/>
      <c r="DQ978" s="34"/>
      <c r="DR978" s="34"/>
      <c r="DS978" s="34"/>
      <c r="DT978" s="34"/>
      <c r="DU978" s="34"/>
      <c r="DV978" s="34"/>
      <c r="DW978" s="34"/>
      <c r="DX978" s="34"/>
      <c r="DY978" s="34"/>
      <c r="DZ978" s="34"/>
      <c r="EA978" s="34"/>
    </row>
    <row r="979" spans="1:131" ht="11.25" hidden="1">
      <c r="A979" s="6" t="s">
        <v>23</v>
      </c>
      <c r="B979" s="4"/>
      <c r="C979" s="4"/>
      <c r="D979" s="32"/>
      <c r="E979" s="136">
        <f>E981*E983</f>
        <v>10655000</v>
      </c>
      <c r="F979" s="136">
        <f>E979</f>
        <v>10655000</v>
      </c>
      <c r="G979" s="48"/>
      <c r="H979" s="48"/>
      <c r="I979" s="48"/>
      <c r="J979" s="48"/>
      <c r="K979" s="48"/>
      <c r="L979" s="48"/>
      <c r="M979" s="48"/>
      <c r="N979" s="48"/>
      <c r="O979" s="49"/>
      <c r="P979" s="49"/>
      <c r="Q979" s="1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  <c r="AB979" s="34"/>
      <c r="AC979" s="34"/>
      <c r="AD979" s="34"/>
      <c r="AE979" s="34"/>
      <c r="AF979" s="34"/>
      <c r="AG979" s="34"/>
      <c r="AH979" s="34"/>
      <c r="AI979" s="34"/>
      <c r="AJ979" s="34"/>
      <c r="AK979" s="34"/>
      <c r="AL979" s="34"/>
      <c r="AM979" s="34"/>
      <c r="AN979" s="34"/>
      <c r="AO979" s="34"/>
      <c r="AP979" s="34"/>
      <c r="AQ979" s="34"/>
      <c r="AR979" s="34"/>
      <c r="AS979" s="34"/>
      <c r="AT979" s="34"/>
      <c r="AU979" s="34"/>
      <c r="AV979" s="34"/>
      <c r="AW979" s="34"/>
      <c r="AX979" s="34"/>
      <c r="AY979" s="34"/>
      <c r="AZ979" s="34"/>
      <c r="BA979" s="34"/>
      <c r="BB979" s="34"/>
      <c r="BC979" s="34"/>
      <c r="BD979" s="34"/>
      <c r="BE979" s="34"/>
      <c r="BF979" s="34"/>
      <c r="BG979" s="34"/>
      <c r="BH979" s="34"/>
      <c r="BI979" s="34"/>
      <c r="BJ979" s="34"/>
      <c r="BK979" s="34"/>
      <c r="BL979" s="34"/>
      <c r="BM979" s="34"/>
      <c r="BN979" s="34"/>
      <c r="BO979" s="34"/>
      <c r="BP979" s="34"/>
      <c r="BQ979" s="34"/>
      <c r="BR979" s="34"/>
      <c r="BS979" s="34"/>
      <c r="BT979" s="34"/>
      <c r="BU979" s="34"/>
      <c r="BV979" s="34"/>
      <c r="BW979" s="34"/>
      <c r="BX979" s="34"/>
      <c r="BY979" s="34"/>
      <c r="BZ979" s="34"/>
      <c r="CA979" s="34"/>
      <c r="CB979" s="34"/>
      <c r="CC979" s="34"/>
      <c r="CD979" s="34"/>
      <c r="CE979" s="34"/>
      <c r="CF979" s="34"/>
      <c r="CG979" s="34"/>
      <c r="CH979" s="34"/>
      <c r="CI979" s="34"/>
      <c r="CJ979" s="34"/>
      <c r="CK979" s="34"/>
      <c r="CL979" s="34"/>
      <c r="CM979" s="34"/>
      <c r="CN979" s="34"/>
      <c r="CO979" s="34"/>
      <c r="CP979" s="34"/>
      <c r="CQ979" s="34"/>
      <c r="CR979" s="34"/>
      <c r="CS979" s="34"/>
      <c r="CT979" s="34"/>
      <c r="CU979" s="34"/>
      <c r="CV979" s="34"/>
      <c r="CW979" s="34"/>
      <c r="CX979" s="34"/>
      <c r="CY979" s="34"/>
      <c r="CZ979" s="34"/>
      <c r="DA979" s="34"/>
      <c r="DB979" s="34"/>
      <c r="DC979" s="34"/>
      <c r="DD979" s="34"/>
      <c r="DE979" s="34"/>
      <c r="DF979" s="34"/>
      <c r="DG979" s="34"/>
      <c r="DH979" s="34"/>
      <c r="DI979" s="34"/>
      <c r="DJ979" s="34"/>
      <c r="DK979" s="34"/>
      <c r="DL979" s="34"/>
      <c r="DM979" s="34"/>
      <c r="DN979" s="34"/>
      <c r="DO979" s="34"/>
      <c r="DP979" s="34"/>
      <c r="DQ979" s="34"/>
      <c r="DR979" s="34"/>
      <c r="DS979" s="34"/>
      <c r="DT979" s="34"/>
      <c r="DU979" s="34"/>
      <c r="DV979" s="34"/>
      <c r="DW979" s="34"/>
      <c r="DX979" s="34"/>
      <c r="DY979" s="34"/>
      <c r="DZ979" s="34"/>
      <c r="EA979" s="34"/>
    </row>
    <row r="980" spans="1:131" ht="11.25" hidden="1">
      <c r="A980" s="3" t="s">
        <v>3</v>
      </c>
      <c r="B980" s="4"/>
      <c r="C980" s="4"/>
      <c r="D980" s="32"/>
      <c r="E980" s="136"/>
      <c r="F980" s="136"/>
      <c r="G980" s="48"/>
      <c r="H980" s="48"/>
      <c r="I980" s="48"/>
      <c r="J980" s="48"/>
      <c r="K980" s="48"/>
      <c r="L980" s="48"/>
      <c r="M980" s="48"/>
      <c r="N980" s="48"/>
      <c r="O980" s="49"/>
      <c r="P980" s="49"/>
      <c r="Q980" s="1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34"/>
      <c r="AF980" s="34"/>
      <c r="AG980" s="34"/>
      <c r="AH980" s="34"/>
      <c r="AI980" s="34"/>
      <c r="AJ980" s="34"/>
      <c r="AK980" s="34"/>
      <c r="AL980" s="34"/>
      <c r="AM980" s="34"/>
      <c r="AN980" s="34"/>
      <c r="AO980" s="34"/>
      <c r="AP980" s="34"/>
      <c r="AQ980" s="34"/>
      <c r="AR980" s="34"/>
      <c r="AS980" s="34"/>
      <c r="AT980" s="34"/>
      <c r="AU980" s="34"/>
      <c r="AV980" s="34"/>
      <c r="AW980" s="34"/>
      <c r="AX980" s="34"/>
      <c r="AY980" s="34"/>
      <c r="AZ980" s="34"/>
      <c r="BA980" s="34"/>
      <c r="BB980" s="34"/>
      <c r="BC980" s="34"/>
      <c r="BD980" s="34"/>
      <c r="BE980" s="34"/>
      <c r="BF980" s="34"/>
      <c r="BG980" s="34"/>
      <c r="BH980" s="34"/>
      <c r="BI980" s="34"/>
      <c r="BJ980" s="34"/>
      <c r="BK980" s="34"/>
      <c r="BL980" s="34"/>
      <c r="BM980" s="34"/>
      <c r="BN980" s="34"/>
      <c r="BO980" s="34"/>
      <c r="BP980" s="34"/>
      <c r="BQ980" s="34"/>
      <c r="BR980" s="34"/>
      <c r="BS980" s="34"/>
      <c r="BT980" s="34"/>
      <c r="BU980" s="34"/>
      <c r="BV980" s="34"/>
      <c r="BW980" s="34"/>
      <c r="BX980" s="34"/>
      <c r="BY980" s="34"/>
      <c r="BZ980" s="34"/>
      <c r="CA980" s="34"/>
      <c r="CB980" s="34"/>
      <c r="CC980" s="34"/>
      <c r="CD980" s="34"/>
      <c r="CE980" s="34"/>
      <c r="CF980" s="34"/>
      <c r="CG980" s="34"/>
      <c r="CH980" s="34"/>
      <c r="CI980" s="34"/>
      <c r="CJ980" s="34"/>
      <c r="CK980" s="34"/>
      <c r="CL980" s="34"/>
      <c r="CM980" s="34"/>
      <c r="CN980" s="34"/>
      <c r="CO980" s="34"/>
      <c r="CP980" s="34"/>
      <c r="CQ980" s="34"/>
      <c r="CR980" s="34"/>
      <c r="CS980" s="34"/>
      <c r="CT980" s="34"/>
      <c r="CU980" s="34"/>
      <c r="CV980" s="34"/>
      <c r="CW980" s="34"/>
      <c r="CX980" s="34"/>
      <c r="CY980" s="34"/>
      <c r="CZ980" s="34"/>
      <c r="DA980" s="34"/>
      <c r="DB980" s="34"/>
      <c r="DC980" s="34"/>
      <c r="DD980" s="34"/>
      <c r="DE980" s="34"/>
      <c r="DF980" s="34"/>
      <c r="DG980" s="34"/>
      <c r="DH980" s="34"/>
      <c r="DI980" s="34"/>
      <c r="DJ980" s="34"/>
      <c r="DK980" s="34"/>
      <c r="DL980" s="34"/>
      <c r="DM980" s="34"/>
      <c r="DN980" s="34"/>
      <c r="DO980" s="34"/>
      <c r="DP980" s="34"/>
      <c r="DQ980" s="34"/>
      <c r="DR980" s="34"/>
      <c r="DS980" s="34"/>
      <c r="DT980" s="34"/>
      <c r="DU980" s="34"/>
      <c r="DV980" s="34"/>
      <c r="DW980" s="34"/>
      <c r="DX980" s="34"/>
      <c r="DY980" s="34"/>
      <c r="DZ980" s="34"/>
      <c r="EA980" s="34"/>
    </row>
    <row r="981" spans="1:131" ht="11.25" hidden="1">
      <c r="A981" s="6" t="s">
        <v>530</v>
      </c>
      <c r="B981" s="4"/>
      <c r="C981" s="4"/>
      <c r="D981" s="32"/>
      <c r="E981" s="173" t="s">
        <v>554</v>
      </c>
      <c r="F981" s="160" t="str">
        <f>E981</f>
        <v>5</v>
      </c>
      <c r="G981" s="48"/>
      <c r="H981" s="49"/>
      <c r="I981" s="48"/>
      <c r="J981" s="49"/>
      <c r="K981" s="48"/>
      <c r="L981" s="48"/>
      <c r="M981" s="48"/>
      <c r="N981" s="48"/>
      <c r="O981" s="49"/>
      <c r="P981" s="49"/>
      <c r="Q981" s="1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  <c r="AB981" s="34"/>
      <c r="AC981" s="34"/>
      <c r="AD981" s="34"/>
      <c r="AE981" s="34"/>
      <c r="AF981" s="34"/>
      <c r="AG981" s="34"/>
      <c r="AH981" s="34"/>
      <c r="AI981" s="34"/>
      <c r="AJ981" s="34"/>
      <c r="AK981" s="34"/>
      <c r="AL981" s="34"/>
      <c r="AM981" s="34"/>
      <c r="AN981" s="34"/>
      <c r="AO981" s="34"/>
      <c r="AP981" s="34"/>
      <c r="AQ981" s="34"/>
      <c r="AR981" s="34"/>
      <c r="AS981" s="34"/>
      <c r="AT981" s="34"/>
      <c r="AU981" s="34"/>
      <c r="AV981" s="34"/>
      <c r="AW981" s="34"/>
      <c r="AX981" s="34"/>
      <c r="AY981" s="34"/>
      <c r="AZ981" s="34"/>
      <c r="BA981" s="34"/>
      <c r="BB981" s="34"/>
      <c r="BC981" s="34"/>
      <c r="BD981" s="34"/>
      <c r="BE981" s="34"/>
      <c r="BF981" s="34"/>
      <c r="BG981" s="34"/>
      <c r="BH981" s="34"/>
      <c r="BI981" s="34"/>
      <c r="BJ981" s="34"/>
      <c r="BK981" s="34"/>
      <c r="BL981" s="34"/>
      <c r="BM981" s="34"/>
      <c r="BN981" s="34"/>
      <c r="BO981" s="34"/>
      <c r="BP981" s="34"/>
      <c r="BQ981" s="34"/>
      <c r="BR981" s="34"/>
      <c r="BS981" s="34"/>
      <c r="BT981" s="34"/>
      <c r="BU981" s="34"/>
      <c r="BV981" s="34"/>
      <c r="BW981" s="34"/>
      <c r="BX981" s="34"/>
      <c r="BY981" s="34"/>
      <c r="BZ981" s="34"/>
      <c r="CA981" s="34"/>
      <c r="CB981" s="34"/>
      <c r="CC981" s="34"/>
      <c r="CD981" s="34"/>
      <c r="CE981" s="34"/>
      <c r="CF981" s="34"/>
      <c r="CG981" s="34"/>
      <c r="CH981" s="34"/>
      <c r="CI981" s="34"/>
      <c r="CJ981" s="34"/>
      <c r="CK981" s="34"/>
      <c r="CL981" s="34"/>
      <c r="CM981" s="34"/>
      <c r="CN981" s="34"/>
      <c r="CO981" s="34"/>
      <c r="CP981" s="34"/>
      <c r="CQ981" s="34"/>
      <c r="CR981" s="34"/>
      <c r="CS981" s="34"/>
      <c r="CT981" s="34"/>
      <c r="CU981" s="34"/>
      <c r="CV981" s="34"/>
      <c r="CW981" s="34"/>
      <c r="CX981" s="34"/>
      <c r="CY981" s="34"/>
      <c r="CZ981" s="34"/>
      <c r="DA981" s="34"/>
      <c r="DB981" s="34"/>
      <c r="DC981" s="34"/>
      <c r="DD981" s="34"/>
      <c r="DE981" s="34"/>
      <c r="DF981" s="34"/>
      <c r="DG981" s="34"/>
      <c r="DH981" s="34"/>
      <c r="DI981" s="34"/>
      <c r="DJ981" s="34"/>
      <c r="DK981" s="34"/>
      <c r="DL981" s="34"/>
      <c r="DM981" s="34"/>
      <c r="DN981" s="34"/>
      <c r="DO981" s="34"/>
      <c r="DP981" s="34"/>
      <c r="DQ981" s="34"/>
      <c r="DR981" s="34"/>
      <c r="DS981" s="34"/>
      <c r="DT981" s="34"/>
      <c r="DU981" s="34"/>
      <c r="DV981" s="34"/>
      <c r="DW981" s="34"/>
      <c r="DX981" s="34"/>
      <c r="DY981" s="34"/>
      <c r="DZ981" s="34"/>
      <c r="EA981" s="34"/>
    </row>
    <row r="982" spans="1:131" ht="11.25" hidden="1">
      <c r="A982" s="22" t="s">
        <v>5</v>
      </c>
      <c r="B982" s="4"/>
      <c r="C982" s="4"/>
      <c r="D982" s="32"/>
      <c r="E982" s="139"/>
      <c r="F982" s="139"/>
      <c r="G982" s="48"/>
      <c r="H982" s="49"/>
      <c r="I982" s="48"/>
      <c r="J982" s="49"/>
      <c r="K982" s="48"/>
      <c r="L982" s="48"/>
      <c r="M982" s="48"/>
      <c r="N982" s="48"/>
      <c r="O982" s="49"/>
      <c r="P982" s="49"/>
      <c r="Q982" s="14"/>
      <c r="R982" s="34"/>
      <c r="S982" s="34"/>
      <c r="T982" s="34"/>
      <c r="U982" s="34"/>
      <c r="V982" s="34"/>
      <c r="W982" s="34"/>
      <c r="X982" s="34"/>
      <c r="Y982" s="34"/>
      <c r="Z982" s="34"/>
      <c r="AA982" s="34"/>
      <c r="AB982" s="34"/>
      <c r="AC982" s="34"/>
      <c r="AD982" s="34"/>
      <c r="AE982" s="34"/>
      <c r="AF982" s="34"/>
      <c r="AG982" s="34"/>
      <c r="AH982" s="34"/>
      <c r="AI982" s="34"/>
      <c r="AJ982" s="34"/>
      <c r="AK982" s="34"/>
      <c r="AL982" s="34"/>
      <c r="AM982" s="34"/>
      <c r="AN982" s="34"/>
      <c r="AO982" s="34"/>
      <c r="AP982" s="34"/>
      <c r="AQ982" s="34"/>
      <c r="AR982" s="34"/>
      <c r="AS982" s="34"/>
      <c r="AT982" s="34"/>
      <c r="AU982" s="34"/>
      <c r="AV982" s="34"/>
      <c r="AW982" s="34"/>
      <c r="AX982" s="34"/>
      <c r="AY982" s="34"/>
      <c r="AZ982" s="34"/>
      <c r="BA982" s="34"/>
      <c r="BB982" s="34"/>
      <c r="BC982" s="34"/>
      <c r="BD982" s="34"/>
      <c r="BE982" s="34"/>
      <c r="BF982" s="34"/>
      <c r="BG982" s="34"/>
      <c r="BH982" s="34"/>
      <c r="BI982" s="34"/>
      <c r="BJ982" s="34"/>
      <c r="BK982" s="34"/>
      <c r="BL982" s="34"/>
      <c r="BM982" s="34"/>
      <c r="BN982" s="34"/>
      <c r="BO982" s="34"/>
      <c r="BP982" s="34"/>
      <c r="BQ982" s="34"/>
      <c r="BR982" s="34"/>
      <c r="BS982" s="34"/>
      <c r="BT982" s="34"/>
      <c r="BU982" s="34"/>
      <c r="BV982" s="34"/>
      <c r="BW982" s="34"/>
      <c r="BX982" s="34"/>
      <c r="BY982" s="34"/>
      <c r="BZ982" s="34"/>
      <c r="CA982" s="34"/>
      <c r="CB982" s="34"/>
      <c r="CC982" s="34"/>
      <c r="CD982" s="34"/>
      <c r="CE982" s="34"/>
      <c r="CF982" s="34"/>
      <c r="CG982" s="34"/>
      <c r="CH982" s="34"/>
      <c r="CI982" s="34"/>
      <c r="CJ982" s="34"/>
      <c r="CK982" s="34"/>
      <c r="CL982" s="34"/>
      <c r="CM982" s="34"/>
      <c r="CN982" s="34"/>
      <c r="CO982" s="34"/>
      <c r="CP982" s="34"/>
      <c r="CQ982" s="34"/>
      <c r="CR982" s="34"/>
      <c r="CS982" s="34"/>
      <c r="CT982" s="34"/>
      <c r="CU982" s="34"/>
      <c r="CV982" s="34"/>
      <c r="CW982" s="34"/>
      <c r="CX982" s="34"/>
      <c r="CY982" s="34"/>
      <c r="CZ982" s="34"/>
      <c r="DA982" s="34"/>
      <c r="DB982" s="34"/>
      <c r="DC982" s="34"/>
      <c r="DD982" s="34"/>
      <c r="DE982" s="34"/>
      <c r="DF982" s="34"/>
      <c r="DG982" s="34"/>
      <c r="DH982" s="34"/>
      <c r="DI982" s="34"/>
      <c r="DJ982" s="34"/>
      <c r="DK982" s="34"/>
      <c r="DL982" s="34"/>
      <c r="DM982" s="34"/>
      <c r="DN982" s="34"/>
      <c r="DO982" s="34"/>
      <c r="DP982" s="34"/>
      <c r="DQ982" s="34"/>
      <c r="DR982" s="34"/>
      <c r="DS982" s="34"/>
      <c r="DT982" s="34"/>
      <c r="DU982" s="34"/>
      <c r="DV982" s="34"/>
      <c r="DW982" s="34"/>
      <c r="DX982" s="34"/>
      <c r="DY982" s="34"/>
      <c r="DZ982" s="34"/>
      <c r="EA982" s="34"/>
    </row>
    <row r="983" spans="1:131" ht="11.25" hidden="1">
      <c r="A983" s="28" t="s">
        <v>531</v>
      </c>
      <c r="B983" s="4"/>
      <c r="C983" s="4"/>
      <c r="D983" s="32"/>
      <c r="E983" s="139">
        <v>2131000</v>
      </c>
      <c r="F983" s="139">
        <f>D983+E983</f>
        <v>2131000</v>
      </c>
      <c r="G983" s="48"/>
      <c r="H983" s="48"/>
      <c r="I983" s="48"/>
      <c r="J983" s="48"/>
      <c r="K983" s="48"/>
      <c r="L983" s="48"/>
      <c r="M983" s="48"/>
      <c r="N983" s="48"/>
      <c r="O983" s="49"/>
      <c r="P983" s="49"/>
      <c r="Q983" s="14"/>
      <c r="R983" s="34"/>
      <c r="S983" s="34"/>
      <c r="T983" s="34"/>
      <c r="U983" s="34"/>
      <c r="V983" s="34"/>
      <c r="W983" s="34"/>
      <c r="X983" s="34"/>
      <c r="Y983" s="34"/>
      <c r="Z983" s="34"/>
      <c r="AA983" s="34"/>
      <c r="AB983" s="34"/>
      <c r="AC983" s="34"/>
      <c r="AD983" s="34"/>
      <c r="AE983" s="34"/>
      <c r="AF983" s="34"/>
      <c r="AG983" s="34"/>
      <c r="AH983" s="34"/>
      <c r="AI983" s="34"/>
      <c r="AJ983" s="34"/>
      <c r="AK983" s="34"/>
      <c r="AL983" s="34"/>
      <c r="AM983" s="34"/>
      <c r="AN983" s="34"/>
      <c r="AO983" s="34"/>
      <c r="AP983" s="34"/>
      <c r="AQ983" s="34"/>
      <c r="AR983" s="34"/>
      <c r="AS983" s="34"/>
      <c r="AT983" s="34"/>
      <c r="AU983" s="34"/>
      <c r="AV983" s="34"/>
      <c r="AW983" s="34"/>
      <c r="AX983" s="34"/>
      <c r="AY983" s="34"/>
      <c r="AZ983" s="34"/>
      <c r="BA983" s="34"/>
      <c r="BB983" s="34"/>
      <c r="BC983" s="34"/>
      <c r="BD983" s="34"/>
      <c r="BE983" s="34"/>
      <c r="BF983" s="34"/>
      <c r="BG983" s="34"/>
      <c r="BH983" s="34"/>
      <c r="BI983" s="34"/>
      <c r="BJ983" s="34"/>
      <c r="BK983" s="34"/>
      <c r="BL983" s="34"/>
      <c r="BM983" s="34"/>
      <c r="BN983" s="34"/>
      <c r="BO983" s="34"/>
      <c r="BP983" s="34"/>
      <c r="BQ983" s="34"/>
      <c r="BR983" s="34"/>
      <c r="BS983" s="34"/>
      <c r="BT983" s="34"/>
      <c r="BU983" s="34"/>
      <c r="BV983" s="34"/>
      <c r="BW983" s="34"/>
      <c r="BX983" s="34"/>
      <c r="BY983" s="34"/>
      <c r="BZ983" s="34"/>
      <c r="CA983" s="34"/>
      <c r="CB983" s="34"/>
      <c r="CC983" s="34"/>
      <c r="CD983" s="34"/>
      <c r="CE983" s="34"/>
      <c r="CF983" s="34"/>
      <c r="CG983" s="34"/>
      <c r="CH983" s="34"/>
      <c r="CI983" s="34"/>
      <c r="CJ983" s="34"/>
      <c r="CK983" s="34"/>
      <c r="CL983" s="34"/>
      <c r="CM983" s="34"/>
      <c r="CN983" s="34"/>
      <c r="CO983" s="34"/>
      <c r="CP983" s="34"/>
      <c r="CQ983" s="34"/>
      <c r="CR983" s="34"/>
      <c r="CS983" s="34"/>
      <c r="CT983" s="34"/>
      <c r="CU983" s="34"/>
      <c r="CV983" s="34"/>
      <c r="CW983" s="34"/>
      <c r="CX983" s="34"/>
      <c r="CY983" s="34"/>
      <c r="CZ983" s="34"/>
      <c r="DA983" s="34"/>
      <c r="DB983" s="34"/>
      <c r="DC983" s="34"/>
      <c r="DD983" s="34"/>
      <c r="DE983" s="34"/>
      <c r="DF983" s="34"/>
      <c r="DG983" s="34"/>
      <c r="DH983" s="34"/>
      <c r="DI983" s="34"/>
      <c r="DJ983" s="34"/>
      <c r="DK983" s="34"/>
      <c r="DL983" s="34"/>
      <c r="DM983" s="34"/>
      <c r="DN983" s="34"/>
      <c r="DO983" s="34"/>
      <c r="DP983" s="34"/>
      <c r="DQ983" s="34"/>
      <c r="DR983" s="34"/>
      <c r="DS983" s="34"/>
      <c r="DT983" s="34"/>
      <c r="DU983" s="34"/>
      <c r="DV983" s="34"/>
      <c r="DW983" s="34"/>
      <c r="DX983" s="34"/>
      <c r="DY983" s="34"/>
      <c r="DZ983" s="34"/>
      <c r="EA983" s="34"/>
    </row>
    <row r="984" spans="1:131" ht="25.5" hidden="1">
      <c r="A984" s="194" t="s">
        <v>534</v>
      </c>
      <c r="B984" s="190"/>
      <c r="C984" s="190"/>
      <c r="D984" s="222"/>
      <c r="E984" s="223">
        <f>E986</f>
        <v>3400000</v>
      </c>
      <c r="F984" s="223">
        <f>E984</f>
        <v>3400000</v>
      </c>
      <c r="G984" s="193"/>
      <c r="H984" s="193"/>
      <c r="I984" s="193"/>
      <c r="J984" s="193"/>
      <c r="K984" s="238"/>
      <c r="L984" s="238"/>
      <c r="M984" s="238"/>
      <c r="N984" s="238"/>
      <c r="O984" s="246"/>
      <c r="P984" s="246"/>
      <c r="Q984" s="14"/>
      <c r="R984" s="34"/>
      <c r="S984" s="34"/>
      <c r="T984" s="34"/>
      <c r="U984" s="34"/>
      <c r="V984" s="34"/>
      <c r="W984" s="34"/>
      <c r="X984" s="34"/>
      <c r="Y984" s="34"/>
      <c r="Z984" s="34"/>
      <c r="AA984" s="34"/>
      <c r="AB984" s="34"/>
      <c r="AC984" s="34"/>
      <c r="AD984" s="34"/>
      <c r="AE984" s="34"/>
      <c r="AF984" s="34"/>
      <c r="AG984" s="34"/>
      <c r="AH984" s="34"/>
      <c r="AI984" s="34"/>
      <c r="AJ984" s="34"/>
      <c r="AK984" s="34"/>
      <c r="AL984" s="34"/>
      <c r="AM984" s="34"/>
      <c r="AN984" s="34"/>
      <c r="AO984" s="34"/>
      <c r="AP984" s="34"/>
      <c r="AQ984" s="34"/>
      <c r="AR984" s="34"/>
      <c r="AS984" s="34"/>
      <c r="AT984" s="34"/>
      <c r="AU984" s="34"/>
      <c r="AV984" s="34"/>
      <c r="AW984" s="34"/>
      <c r="AX984" s="34"/>
      <c r="AY984" s="34"/>
      <c r="AZ984" s="34"/>
      <c r="BA984" s="34"/>
      <c r="BB984" s="34"/>
      <c r="BC984" s="34"/>
      <c r="BD984" s="34"/>
      <c r="BE984" s="34"/>
      <c r="BF984" s="34"/>
      <c r="BG984" s="34"/>
      <c r="BH984" s="34"/>
      <c r="BI984" s="34"/>
      <c r="BJ984" s="34"/>
      <c r="BK984" s="34"/>
      <c r="BL984" s="34"/>
      <c r="BM984" s="34"/>
      <c r="BN984" s="34"/>
      <c r="BO984" s="34"/>
      <c r="BP984" s="34"/>
      <c r="BQ984" s="34"/>
      <c r="BR984" s="34"/>
      <c r="BS984" s="34"/>
      <c r="BT984" s="34"/>
      <c r="BU984" s="34"/>
      <c r="BV984" s="34"/>
      <c r="BW984" s="34"/>
      <c r="BX984" s="34"/>
      <c r="BY984" s="34"/>
      <c r="BZ984" s="34"/>
      <c r="CA984" s="34"/>
      <c r="CB984" s="34"/>
      <c r="CC984" s="34"/>
      <c r="CD984" s="34"/>
      <c r="CE984" s="34"/>
      <c r="CF984" s="34"/>
      <c r="CG984" s="34"/>
      <c r="CH984" s="34"/>
      <c r="CI984" s="34"/>
      <c r="CJ984" s="34"/>
      <c r="CK984" s="34"/>
      <c r="CL984" s="34"/>
      <c r="CM984" s="34"/>
      <c r="CN984" s="34"/>
      <c r="CO984" s="34"/>
      <c r="CP984" s="34"/>
      <c r="CQ984" s="34"/>
      <c r="CR984" s="34"/>
      <c r="CS984" s="34"/>
      <c r="CT984" s="34"/>
      <c r="CU984" s="34"/>
      <c r="CV984" s="34"/>
      <c r="CW984" s="34"/>
      <c r="CX984" s="34"/>
      <c r="CY984" s="34"/>
      <c r="CZ984" s="34"/>
      <c r="DA984" s="34"/>
      <c r="DB984" s="34"/>
      <c r="DC984" s="34"/>
      <c r="DD984" s="34"/>
      <c r="DE984" s="34"/>
      <c r="DF984" s="34"/>
      <c r="DG984" s="34"/>
      <c r="DH984" s="34"/>
      <c r="DI984" s="34"/>
      <c r="DJ984" s="34"/>
      <c r="DK984" s="34"/>
      <c r="DL984" s="34"/>
      <c r="DM984" s="34"/>
      <c r="DN984" s="34"/>
      <c r="DO984" s="34"/>
      <c r="DP984" s="34"/>
      <c r="DQ984" s="34"/>
      <c r="DR984" s="34"/>
      <c r="DS984" s="34"/>
      <c r="DT984" s="34"/>
      <c r="DU984" s="34"/>
      <c r="DV984" s="34"/>
      <c r="DW984" s="34"/>
      <c r="DX984" s="34"/>
      <c r="DY984" s="34"/>
      <c r="DZ984" s="34"/>
      <c r="EA984" s="34"/>
    </row>
    <row r="985" spans="1:131" ht="11.25" hidden="1">
      <c r="A985" s="3" t="s">
        <v>2</v>
      </c>
      <c r="B985" s="4"/>
      <c r="C985" s="4"/>
      <c r="D985" s="32"/>
      <c r="E985" s="139"/>
      <c r="F985" s="139"/>
      <c r="G985" s="5"/>
      <c r="H985" s="5"/>
      <c r="I985" s="5"/>
      <c r="J985" s="5"/>
      <c r="K985" s="48"/>
      <c r="L985" s="48"/>
      <c r="M985" s="48"/>
      <c r="N985" s="48"/>
      <c r="O985" s="49"/>
      <c r="P985" s="49"/>
      <c r="Q985" s="14"/>
      <c r="R985" s="34"/>
      <c r="S985" s="34"/>
      <c r="T985" s="34"/>
      <c r="U985" s="34"/>
      <c r="V985" s="34"/>
      <c r="W985" s="34"/>
      <c r="X985" s="34"/>
      <c r="Y985" s="34"/>
      <c r="Z985" s="34"/>
      <c r="AA985" s="34"/>
      <c r="AB985" s="34"/>
      <c r="AC985" s="34"/>
      <c r="AD985" s="34"/>
      <c r="AE985" s="34"/>
      <c r="AF985" s="34"/>
      <c r="AG985" s="34"/>
      <c r="AH985" s="34"/>
      <c r="AI985" s="34"/>
      <c r="AJ985" s="34"/>
      <c r="AK985" s="34"/>
      <c r="AL985" s="34"/>
      <c r="AM985" s="34"/>
      <c r="AN985" s="34"/>
      <c r="AO985" s="34"/>
      <c r="AP985" s="34"/>
      <c r="AQ985" s="34"/>
      <c r="AR985" s="34"/>
      <c r="AS985" s="34"/>
      <c r="AT985" s="34"/>
      <c r="AU985" s="34"/>
      <c r="AV985" s="34"/>
      <c r="AW985" s="34"/>
      <c r="AX985" s="34"/>
      <c r="AY985" s="34"/>
      <c r="AZ985" s="34"/>
      <c r="BA985" s="34"/>
      <c r="BB985" s="34"/>
      <c r="BC985" s="34"/>
      <c r="BD985" s="34"/>
      <c r="BE985" s="34"/>
      <c r="BF985" s="34"/>
      <c r="BG985" s="34"/>
      <c r="BH985" s="34"/>
      <c r="BI985" s="34"/>
      <c r="BJ985" s="34"/>
      <c r="BK985" s="34"/>
      <c r="BL985" s="34"/>
      <c r="BM985" s="34"/>
      <c r="BN985" s="34"/>
      <c r="BO985" s="34"/>
      <c r="BP985" s="34"/>
      <c r="BQ985" s="34"/>
      <c r="BR985" s="34"/>
      <c r="BS985" s="34"/>
      <c r="BT985" s="34"/>
      <c r="BU985" s="34"/>
      <c r="BV985" s="34"/>
      <c r="BW985" s="34"/>
      <c r="BX985" s="34"/>
      <c r="BY985" s="34"/>
      <c r="BZ985" s="34"/>
      <c r="CA985" s="34"/>
      <c r="CB985" s="34"/>
      <c r="CC985" s="34"/>
      <c r="CD985" s="34"/>
      <c r="CE985" s="34"/>
      <c r="CF985" s="34"/>
      <c r="CG985" s="34"/>
      <c r="CH985" s="34"/>
      <c r="CI985" s="34"/>
      <c r="CJ985" s="34"/>
      <c r="CK985" s="34"/>
      <c r="CL985" s="34"/>
      <c r="CM985" s="34"/>
      <c r="CN985" s="34"/>
      <c r="CO985" s="34"/>
      <c r="CP985" s="34"/>
      <c r="CQ985" s="34"/>
      <c r="CR985" s="34"/>
      <c r="CS985" s="34"/>
      <c r="CT985" s="34"/>
      <c r="CU985" s="34"/>
      <c r="CV985" s="34"/>
      <c r="CW985" s="34"/>
      <c r="CX985" s="34"/>
      <c r="CY985" s="34"/>
      <c r="CZ985" s="34"/>
      <c r="DA985" s="34"/>
      <c r="DB985" s="34"/>
      <c r="DC985" s="34"/>
      <c r="DD985" s="34"/>
      <c r="DE985" s="34"/>
      <c r="DF985" s="34"/>
      <c r="DG985" s="34"/>
      <c r="DH985" s="34"/>
      <c r="DI985" s="34"/>
      <c r="DJ985" s="34"/>
      <c r="DK985" s="34"/>
      <c r="DL985" s="34"/>
      <c r="DM985" s="34"/>
      <c r="DN985" s="34"/>
      <c r="DO985" s="34"/>
      <c r="DP985" s="34"/>
      <c r="DQ985" s="34"/>
      <c r="DR985" s="34"/>
      <c r="DS985" s="34"/>
      <c r="DT985" s="34"/>
      <c r="DU985" s="34"/>
      <c r="DV985" s="34"/>
      <c r="DW985" s="34"/>
      <c r="DX985" s="34"/>
      <c r="DY985" s="34"/>
      <c r="DZ985" s="34"/>
      <c r="EA985" s="34"/>
    </row>
    <row r="986" spans="1:131" ht="11.25" hidden="1">
      <c r="A986" s="6" t="s">
        <v>23</v>
      </c>
      <c r="B986" s="4"/>
      <c r="C986" s="4"/>
      <c r="D986" s="32"/>
      <c r="E986" s="136">
        <f>E988*E990</f>
        <v>3400000</v>
      </c>
      <c r="F986" s="136">
        <f>E986</f>
        <v>3400000</v>
      </c>
      <c r="G986" s="48"/>
      <c r="H986" s="48"/>
      <c r="I986" s="48"/>
      <c r="J986" s="48"/>
      <c r="K986" s="48"/>
      <c r="L986" s="48"/>
      <c r="M986" s="48"/>
      <c r="N986" s="48"/>
      <c r="O986" s="49"/>
      <c r="P986" s="49"/>
      <c r="Q986" s="1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  <c r="AB986" s="34"/>
      <c r="AC986" s="34"/>
      <c r="AD986" s="34"/>
      <c r="AE986" s="34"/>
      <c r="AF986" s="34"/>
      <c r="AG986" s="34"/>
      <c r="AH986" s="34"/>
      <c r="AI986" s="34"/>
      <c r="AJ986" s="34"/>
      <c r="AK986" s="34"/>
      <c r="AL986" s="34"/>
      <c r="AM986" s="34"/>
      <c r="AN986" s="34"/>
      <c r="AO986" s="34"/>
      <c r="AP986" s="34"/>
      <c r="AQ986" s="34"/>
      <c r="AR986" s="34"/>
      <c r="AS986" s="34"/>
      <c r="AT986" s="34"/>
      <c r="AU986" s="34"/>
      <c r="AV986" s="34"/>
      <c r="AW986" s="34"/>
      <c r="AX986" s="34"/>
      <c r="AY986" s="34"/>
      <c r="AZ986" s="34"/>
      <c r="BA986" s="34"/>
      <c r="BB986" s="34"/>
      <c r="BC986" s="34"/>
      <c r="BD986" s="34"/>
      <c r="BE986" s="34"/>
      <c r="BF986" s="34"/>
      <c r="BG986" s="34"/>
      <c r="BH986" s="34"/>
      <c r="BI986" s="34"/>
      <c r="BJ986" s="34"/>
      <c r="BK986" s="34"/>
      <c r="BL986" s="34"/>
      <c r="BM986" s="34"/>
      <c r="BN986" s="34"/>
      <c r="BO986" s="34"/>
      <c r="BP986" s="34"/>
      <c r="BQ986" s="34"/>
      <c r="BR986" s="34"/>
      <c r="BS986" s="34"/>
      <c r="BT986" s="34"/>
      <c r="BU986" s="34"/>
      <c r="BV986" s="34"/>
      <c r="BW986" s="34"/>
      <c r="BX986" s="34"/>
      <c r="BY986" s="34"/>
      <c r="BZ986" s="34"/>
      <c r="CA986" s="34"/>
      <c r="CB986" s="34"/>
      <c r="CC986" s="34"/>
      <c r="CD986" s="34"/>
      <c r="CE986" s="34"/>
      <c r="CF986" s="34"/>
      <c r="CG986" s="34"/>
      <c r="CH986" s="34"/>
      <c r="CI986" s="34"/>
      <c r="CJ986" s="34"/>
      <c r="CK986" s="34"/>
      <c r="CL986" s="34"/>
      <c r="CM986" s="34"/>
      <c r="CN986" s="34"/>
      <c r="CO986" s="34"/>
      <c r="CP986" s="34"/>
      <c r="CQ986" s="34"/>
      <c r="CR986" s="34"/>
      <c r="CS986" s="34"/>
      <c r="CT986" s="34"/>
      <c r="CU986" s="34"/>
      <c r="CV986" s="34"/>
      <c r="CW986" s="34"/>
      <c r="CX986" s="34"/>
      <c r="CY986" s="34"/>
      <c r="CZ986" s="34"/>
      <c r="DA986" s="34"/>
      <c r="DB986" s="34"/>
      <c r="DC986" s="34"/>
      <c r="DD986" s="34"/>
      <c r="DE986" s="34"/>
      <c r="DF986" s="34"/>
      <c r="DG986" s="34"/>
      <c r="DH986" s="34"/>
      <c r="DI986" s="34"/>
      <c r="DJ986" s="34"/>
      <c r="DK986" s="34"/>
      <c r="DL986" s="34"/>
      <c r="DM986" s="34"/>
      <c r="DN986" s="34"/>
      <c r="DO986" s="34"/>
      <c r="DP986" s="34"/>
      <c r="DQ986" s="34"/>
      <c r="DR986" s="34"/>
      <c r="DS986" s="34"/>
      <c r="DT986" s="34"/>
      <c r="DU986" s="34"/>
      <c r="DV986" s="34"/>
      <c r="DW986" s="34"/>
      <c r="DX986" s="34"/>
      <c r="DY986" s="34"/>
      <c r="DZ986" s="34"/>
      <c r="EA986" s="34"/>
    </row>
    <row r="987" spans="1:131" ht="11.25" hidden="1">
      <c r="A987" s="3" t="s">
        <v>3</v>
      </c>
      <c r="B987" s="4"/>
      <c r="C987" s="4"/>
      <c r="D987" s="32"/>
      <c r="E987" s="136"/>
      <c r="F987" s="136"/>
      <c r="G987" s="48"/>
      <c r="H987" s="48"/>
      <c r="I987" s="48"/>
      <c r="J987" s="48"/>
      <c r="K987" s="48"/>
      <c r="L987" s="48"/>
      <c r="M987" s="48"/>
      <c r="N987" s="48"/>
      <c r="O987" s="49"/>
      <c r="P987" s="49"/>
      <c r="Q987" s="1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  <c r="AB987" s="34"/>
      <c r="AC987" s="34"/>
      <c r="AD987" s="34"/>
      <c r="AE987" s="34"/>
      <c r="AF987" s="34"/>
      <c r="AG987" s="34"/>
      <c r="AH987" s="34"/>
      <c r="AI987" s="34"/>
      <c r="AJ987" s="34"/>
      <c r="AK987" s="34"/>
      <c r="AL987" s="34"/>
      <c r="AM987" s="34"/>
      <c r="AN987" s="34"/>
      <c r="AO987" s="34"/>
      <c r="AP987" s="34"/>
      <c r="AQ987" s="34"/>
      <c r="AR987" s="34"/>
      <c r="AS987" s="34"/>
      <c r="AT987" s="34"/>
      <c r="AU987" s="34"/>
      <c r="AV987" s="34"/>
      <c r="AW987" s="34"/>
      <c r="AX987" s="34"/>
      <c r="AY987" s="34"/>
      <c r="AZ987" s="34"/>
      <c r="BA987" s="34"/>
      <c r="BB987" s="34"/>
      <c r="BC987" s="34"/>
      <c r="BD987" s="34"/>
      <c r="BE987" s="34"/>
      <c r="BF987" s="34"/>
      <c r="BG987" s="34"/>
      <c r="BH987" s="34"/>
      <c r="BI987" s="34"/>
      <c r="BJ987" s="34"/>
      <c r="BK987" s="34"/>
      <c r="BL987" s="34"/>
      <c r="BM987" s="34"/>
      <c r="BN987" s="34"/>
      <c r="BO987" s="34"/>
      <c r="BP987" s="34"/>
      <c r="BQ987" s="34"/>
      <c r="BR987" s="34"/>
      <c r="BS987" s="34"/>
      <c r="BT987" s="34"/>
      <c r="BU987" s="34"/>
      <c r="BV987" s="34"/>
      <c r="BW987" s="34"/>
      <c r="BX987" s="34"/>
      <c r="BY987" s="34"/>
      <c r="BZ987" s="34"/>
      <c r="CA987" s="34"/>
      <c r="CB987" s="34"/>
      <c r="CC987" s="34"/>
      <c r="CD987" s="34"/>
      <c r="CE987" s="34"/>
      <c r="CF987" s="34"/>
      <c r="CG987" s="34"/>
      <c r="CH987" s="34"/>
      <c r="CI987" s="34"/>
      <c r="CJ987" s="34"/>
      <c r="CK987" s="34"/>
      <c r="CL987" s="34"/>
      <c r="CM987" s="34"/>
      <c r="CN987" s="34"/>
      <c r="CO987" s="34"/>
      <c r="CP987" s="34"/>
      <c r="CQ987" s="34"/>
      <c r="CR987" s="34"/>
      <c r="CS987" s="34"/>
      <c r="CT987" s="34"/>
      <c r="CU987" s="34"/>
      <c r="CV987" s="34"/>
      <c r="CW987" s="34"/>
      <c r="CX987" s="34"/>
      <c r="CY987" s="34"/>
      <c r="CZ987" s="34"/>
      <c r="DA987" s="34"/>
      <c r="DB987" s="34"/>
      <c r="DC987" s="34"/>
      <c r="DD987" s="34"/>
      <c r="DE987" s="34"/>
      <c r="DF987" s="34"/>
      <c r="DG987" s="34"/>
      <c r="DH987" s="34"/>
      <c r="DI987" s="34"/>
      <c r="DJ987" s="34"/>
      <c r="DK987" s="34"/>
      <c r="DL987" s="34"/>
      <c r="DM987" s="34"/>
      <c r="DN987" s="34"/>
      <c r="DO987" s="34"/>
      <c r="DP987" s="34"/>
      <c r="DQ987" s="34"/>
      <c r="DR987" s="34"/>
      <c r="DS987" s="34"/>
      <c r="DT987" s="34"/>
      <c r="DU987" s="34"/>
      <c r="DV987" s="34"/>
      <c r="DW987" s="34"/>
      <c r="DX987" s="34"/>
      <c r="DY987" s="34"/>
      <c r="DZ987" s="34"/>
      <c r="EA987" s="34"/>
    </row>
    <row r="988" spans="1:131" ht="11.25" hidden="1">
      <c r="A988" s="6" t="s">
        <v>530</v>
      </c>
      <c r="B988" s="4"/>
      <c r="C988" s="4"/>
      <c r="D988" s="32"/>
      <c r="E988" s="173" t="s">
        <v>533</v>
      </c>
      <c r="F988" s="160" t="str">
        <f>E988</f>
        <v>1</v>
      </c>
      <c r="G988" s="48"/>
      <c r="H988" s="49"/>
      <c r="I988" s="48"/>
      <c r="J988" s="49"/>
      <c r="K988" s="48"/>
      <c r="L988" s="48"/>
      <c r="M988" s="48"/>
      <c r="N988" s="48"/>
      <c r="O988" s="49"/>
      <c r="P988" s="49"/>
      <c r="Q988" s="1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  <c r="AB988" s="34"/>
      <c r="AC988" s="34"/>
      <c r="AD988" s="34"/>
      <c r="AE988" s="34"/>
      <c r="AF988" s="34"/>
      <c r="AG988" s="34"/>
      <c r="AH988" s="34"/>
      <c r="AI988" s="34"/>
      <c r="AJ988" s="34"/>
      <c r="AK988" s="34"/>
      <c r="AL988" s="34"/>
      <c r="AM988" s="34"/>
      <c r="AN988" s="34"/>
      <c r="AO988" s="34"/>
      <c r="AP988" s="34"/>
      <c r="AQ988" s="34"/>
      <c r="AR988" s="34"/>
      <c r="AS988" s="34"/>
      <c r="AT988" s="34"/>
      <c r="AU988" s="34"/>
      <c r="AV988" s="34"/>
      <c r="AW988" s="34"/>
      <c r="AX988" s="34"/>
      <c r="AY988" s="34"/>
      <c r="AZ988" s="34"/>
      <c r="BA988" s="34"/>
      <c r="BB988" s="34"/>
      <c r="BC988" s="34"/>
      <c r="BD988" s="34"/>
      <c r="BE988" s="34"/>
      <c r="BF988" s="34"/>
      <c r="BG988" s="34"/>
      <c r="BH988" s="34"/>
      <c r="BI988" s="34"/>
      <c r="BJ988" s="34"/>
      <c r="BK988" s="34"/>
      <c r="BL988" s="34"/>
      <c r="BM988" s="34"/>
      <c r="BN988" s="34"/>
      <c r="BO988" s="34"/>
      <c r="BP988" s="34"/>
      <c r="BQ988" s="34"/>
      <c r="BR988" s="34"/>
      <c r="BS988" s="34"/>
      <c r="BT988" s="34"/>
      <c r="BU988" s="34"/>
      <c r="BV988" s="34"/>
      <c r="BW988" s="34"/>
      <c r="BX988" s="34"/>
      <c r="BY988" s="34"/>
      <c r="BZ988" s="34"/>
      <c r="CA988" s="34"/>
      <c r="CB988" s="34"/>
      <c r="CC988" s="34"/>
      <c r="CD988" s="34"/>
      <c r="CE988" s="34"/>
      <c r="CF988" s="34"/>
      <c r="CG988" s="34"/>
      <c r="CH988" s="34"/>
      <c r="CI988" s="34"/>
      <c r="CJ988" s="34"/>
      <c r="CK988" s="34"/>
      <c r="CL988" s="34"/>
      <c r="CM988" s="34"/>
      <c r="CN988" s="34"/>
      <c r="CO988" s="34"/>
      <c r="CP988" s="34"/>
      <c r="CQ988" s="34"/>
      <c r="CR988" s="34"/>
      <c r="CS988" s="34"/>
      <c r="CT988" s="34"/>
      <c r="CU988" s="34"/>
      <c r="CV988" s="34"/>
      <c r="CW988" s="34"/>
      <c r="CX988" s="34"/>
      <c r="CY988" s="34"/>
      <c r="CZ988" s="34"/>
      <c r="DA988" s="34"/>
      <c r="DB988" s="34"/>
      <c r="DC988" s="34"/>
      <c r="DD988" s="34"/>
      <c r="DE988" s="34"/>
      <c r="DF988" s="34"/>
      <c r="DG988" s="34"/>
      <c r="DH988" s="34"/>
      <c r="DI988" s="34"/>
      <c r="DJ988" s="34"/>
      <c r="DK988" s="34"/>
      <c r="DL988" s="34"/>
      <c r="DM988" s="34"/>
      <c r="DN988" s="34"/>
      <c r="DO988" s="34"/>
      <c r="DP988" s="34"/>
      <c r="DQ988" s="34"/>
      <c r="DR988" s="34"/>
      <c r="DS988" s="34"/>
      <c r="DT988" s="34"/>
      <c r="DU988" s="34"/>
      <c r="DV988" s="34"/>
      <c r="DW988" s="34"/>
      <c r="DX988" s="34"/>
      <c r="DY988" s="34"/>
      <c r="DZ988" s="34"/>
      <c r="EA988" s="34"/>
    </row>
    <row r="989" spans="1:131" ht="11.25" hidden="1">
      <c r="A989" s="22" t="s">
        <v>5</v>
      </c>
      <c r="B989" s="4"/>
      <c r="C989" s="4"/>
      <c r="D989" s="32"/>
      <c r="E989" s="139"/>
      <c r="F989" s="139"/>
      <c r="G989" s="48"/>
      <c r="H989" s="49"/>
      <c r="I989" s="48"/>
      <c r="J989" s="49"/>
      <c r="K989" s="48"/>
      <c r="L989" s="48"/>
      <c r="M989" s="48"/>
      <c r="N989" s="48"/>
      <c r="O989" s="49"/>
      <c r="P989" s="49"/>
      <c r="Q989" s="1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  <c r="AC989" s="34"/>
      <c r="AD989" s="34"/>
      <c r="AE989" s="34"/>
      <c r="AF989" s="34"/>
      <c r="AG989" s="34"/>
      <c r="AH989" s="34"/>
      <c r="AI989" s="34"/>
      <c r="AJ989" s="34"/>
      <c r="AK989" s="34"/>
      <c r="AL989" s="34"/>
      <c r="AM989" s="34"/>
      <c r="AN989" s="34"/>
      <c r="AO989" s="34"/>
      <c r="AP989" s="34"/>
      <c r="AQ989" s="34"/>
      <c r="AR989" s="34"/>
      <c r="AS989" s="34"/>
      <c r="AT989" s="34"/>
      <c r="AU989" s="34"/>
      <c r="AV989" s="34"/>
      <c r="AW989" s="34"/>
      <c r="AX989" s="34"/>
      <c r="AY989" s="34"/>
      <c r="AZ989" s="34"/>
      <c r="BA989" s="34"/>
      <c r="BB989" s="34"/>
      <c r="BC989" s="34"/>
      <c r="BD989" s="34"/>
      <c r="BE989" s="34"/>
      <c r="BF989" s="34"/>
      <c r="BG989" s="34"/>
      <c r="BH989" s="34"/>
      <c r="BI989" s="34"/>
      <c r="BJ989" s="34"/>
      <c r="BK989" s="34"/>
      <c r="BL989" s="34"/>
      <c r="BM989" s="34"/>
      <c r="BN989" s="34"/>
      <c r="BO989" s="34"/>
      <c r="BP989" s="34"/>
      <c r="BQ989" s="34"/>
      <c r="BR989" s="34"/>
      <c r="BS989" s="34"/>
      <c r="BT989" s="34"/>
      <c r="BU989" s="34"/>
      <c r="BV989" s="34"/>
      <c r="BW989" s="34"/>
      <c r="BX989" s="34"/>
      <c r="BY989" s="34"/>
      <c r="BZ989" s="34"/>
      <c r="CA989" s="34"/>
      <c r="CB989" s="34"/>
      <c r="CC989" s="34"/>
      <c r="CD989" s="34"/>
      <c r="CE989" s="34"/>
      <c r="CF989" s="34"/>
      <c r="CG989" s="34"/>
      <c r="CH989" s="34"/>
      <c r="CI989" s="34"/>
      <c r="CJ989" s="34"/>
      <c r="CK989" s="34"/>
      <c r="CL989" s="34"/>
      <c r="CM989" s="34"/>
      <c r="CN989" s="34"/>
      <c r="CO989" s="34"/>
      <c r="CP989" s="34"/>
      <c r="CQ989" s="34"/>
      <c r="CR989" s="34"/>
      <c r="CS989" s="34"/>
      <c r="CT989" s="34"/>
      <c r="CU989" s="34"/>
      <c r="CV989" s="34"/>
      <c r="CW989" s="34"/>
      <c r="CX989" s="34"/>
      <c r="CY989" s="34"/>
      <c r="CZ989" s="34"/>
      <c r="DA989" s="34"/>
      <c r="DB989" s="34"/>
      <c r="DC989" s="34"/>
      <c r="DD989" s="34"/>
      <c r="DE989" s="34"/>
      <c r="DF989" s="34"/>
      <c r="DG989" s="34"/>
      <c r="DH989" s="34"/>
      <c r="DI989" s="34"/>
      <c r="DJ989" s="34"/>
      <c r="DK989" s="34"/>
      <c r="DL989" s="34"/>
      <c r="DM989" s="34"/>
      <c r="DN989" s="34"/>
      <c r="DO989" s="34"/>
      <c r="DP989" s="34"/>
      <c r="DQ989" s="34"/>
      <c r="DR989" s="34"/>
      <c r="DS989" s="34"/>
      <c r="DT989" s="34"/>
      <c r="DU989" s="34"/>
      <c r="DV989" s="34"/>
      <c r="DW989" s="34"/>
      <c r="DX989" s="34"/>
      <c r="DY989" s="34"/>
      <c r="DZ989" s="34"/>
      <c r="EA989" s="34"/>
    </row>
    <row r="990" spans="1:131" ht="11.25" hidden="1">
      <c r="A990" s="28" t="s">
        <v>531</v>
      </c>
      <c r="B990" s="4"/>
      <c r="C990" s="4"/>
      <c r="D990" s="32"/>
      <c r="E990" s="139">
        <f>2800000+600000</f>
        <v>3400000</v>
      </c>
      <c r="F990" s="139">
        <f>D990+E990</f>
        <v>3400000</v>
      </c>
      <c r="G990" s="48"/>
      <c r="H990" s="48"/>
      <c r="I990" s="48"/>
      <c r="J990" s="48"/>
      <c r="K990" s="48"/>
      <c r="L990" s="48"/>
      <c r="M990" s="48"/>
      <c r="N990" s="48"/>
      <c r="O990" s="49"/>
      <c r="P990" s="49"/>
      <c r="Q990" s="14"/>
      <c r="R990" s="34"/>
      <c r="S990" s="34"/>
      <c r="T990" s="34"/>
      <c r="U990" s="34"/>
      <c r="V990" s="34"/>
      <c r="W990" s="34"/>
      <c r="X990" s="34"/>
      <c r="Y990" s="34"/>
      <c r="Z990" s="34"/>
      <c r="AA990" s="34"/>
      <c r="AB990" s="34"/>
      <c r="AC990" s="34"/>
      <c r="AD990" s="34"/>
      <c r="AE990" s="34"/>
      <c r="AF990" s="34"/>
      <c r="AG990" s="34"/>
      <c r="AH990" s="34"/>
      <c r="AI990" s="34"/>
      <c r="AJ990" s="34"/>
      <c r="AK990" s="34"/>
      <c r="AL990" s="34"/>
      <c r="AM990" s="34"/>
      <c r="AN990" s="34"/>
      <c r="AO990" s="34"/>
      <c r="AP990" s="34"/>
      <c r="AQ990" s="34"/>
      <c r="AR990" s="34"/>
      <c r="AS990" s="34"/>
      <c r="AT990" s="34"/>
      <c r="AU990" s="34"/>
      <c r="AV990" s="34"/>
      <c r="AW990" s="34"/>
      <c r="AX990" s="34"/>
      <c r="AY990" s="34"/>
      <c r="AZ990" s="34"/>
      <c r="BA990" s="34"/>
      <c r="BB990" s="34"/>
      <c r="BC990" s="34"/>
      <c r="BD990" s="34"/>
      <c r="BE990" s="34"/>
      <c r="BF990" s="34"/>
      <c r="BG990" s="34"/>
      <c r="BH990" s="34"/>
      <c r="BI990" s="34"/>
      <c r="BJ990" s="34"/>
      <c r="BK990" s="34"/>
      <c r="BL990" s="34"/>
      <c r="BM990" s="34"/>
      <c r="BN990" s="34"/>
      <c r="BO990" s="34"/>
      <c r="BP990" s="34"/>
      <c r="BQ990" s="34"/>
      <c r="BR990" s="34"/>
      <c r="BS990" s="34"/>
      <c r="BT990" s="34"/>
      <c r="BU990" s="34"/>
      <c r="BV990" s="34"/>
      <c r="BW990" s="34"/>
      <c r="BX990" s="34"/>
      <c r="BY990" s="34"/>
      <c r="BZ990" s="34"/>
      <c r="CA990" s="34"/>
      <c r="CB990" s="34"/>
      <c r="CC990" s="34"/>
      <c r="CD990" s="34"/>
      <c r="CE990" s="34"/>
      <c r="CF990" s="34"/>
      <c r="CG990" s="34"/>
      <c r="CH990" s="34"/>
      <c r="CI990" s="34"/>
      <c r="CJ990" s="34"/>
      <c r="CK990" s="34"/>
      <c r="CL990" s="34"/>
      <c r="CM990" s="34"/>
      <c r="CN990" s="34"/>
      <c r="CO990" s="34"/>
      <c r="CP990" s="34"/>
      <c r="CQ990" s="34"/>
      <c r="CR990" s="34"/>
      <c r="CS990" s="34"/>
      <c r="CT990" s="34"/>
      <c r="CU990" s="34"/>
      <c r="CV990" s="34"/>
      <c r="CW990" s="34"/>
      <c r="CX990" s="34"/>
      <c r="CY990" s="34"/>
      <c r="CZ990" s="34"/>
      <c r="DA990" s="34"/>
      <c r="DB990" s="34"/>
      <c r="DC990" s="34"/>
      <c r="DD990" s="34"/>
      <c r="DE990" s="34"/>
      <c r="DF990" s="34"/>
      <c r="DG990" s="34"/>
      <c r="DH990" s="34"/>
      <c r="DI990" s="34"/>
      <c r="DJ990" s="34"/>
      <c r="DK990" s="34"/>
      <c r="DL990" s="34"/>
      <c r="DM990" s="34"/>
      <c r="DN990" s="34"/>
      <c r="DO990" s="34"/>
      <c r="DP990" s="34"/>
      <c r="DQ990" s="34"/>
      <c r="DR990" s="34"/>
      <c r="DS990" s="34"/>
      <c r="DT990" s="34"/>
      <c r="DU990" s="34"/>
      <c r="DV990" s="34"/>
      <c r="DW990" s="34"/>
      <c r="DX990" s="34"/>
      <c r="DY990" s="34"/>
      <c r="DZ990" s="34"/>
      <c r="EA990" s="34"/>
    </row>
    <row r="991" spans="1:131" ht="12.75" hidden="1">
      <c r="A991" s="200" t="s">
        <v>543</v>
      </c>
      <c r="B991" s="231"/>
      <c r="C991" s="231"/>
      <c r="D991" s="220">
        <f>D992</f>
        <v>200000</v>
      </c>
      <c r="E991" s="220">
        <f>E992</f>
        <v>200000</v>
      </c>
      <c r="F991" s="220">
        <f>F992</f>
        <v>400000</v>
      </c>
      <c r="G991" s="243"/>
      <c r="H991" s="243"/>
      <c r="I991" s="243"/>
      <c r="J991" s="243"/>
      <c r="K991" s="244"/>
      <c r="L991" s="244"/>
      <c r="M991" s="244"/>
      <c r="N991" s="244"/>
      <c r="O991" s="245"/>
      <c r="P991" s="245"/>
      <c r="Q991" s="14"/>
      <c r="R991" s="34"/>
      <c r="S991" s="34"/>
      <c r="T991" s="34"/>
      <c r="U991" s="34"/>
      <c r="V991" s="34"/>
      <c r="W991" s="34"/>
      <c r="X991" s="34"/>
      <c r="Y991" s="34"/>
      <c r="Z991" s="34"/>
      <c r="AA991" s="34"/>
      <c r="AB991" s="34"/>
      <c r="AC991" s="34"/>
      <c r="AD991" s="34"/>
      <c r="AE991" s="34"/>
      <c r="AF991" s="34"/>
      <c r="AG991" s="34"/>
      <c r="AH991" s="34"/>
      <c r="AI991" s="34"/>
      <c r="AJ991" s="34"/>
      <c r="AK991" s="34"/>
      <c r="AL991" s="34"/>
      <c r="AM991" s="34"/>
      <c r="AN991" s="34"/>
      <c r="AO991" s="34"/>
      <c r="AP991" s="34"/>
      <c r="AQ991" s="34"/>
      <c r="AR991" s="34"/>
      <c r="AS991" s="34"/>
      <c r="AT991" s="34"/>
      <c r="AU991" s="34"/>
      <c r="AV991" s="34"/>
      <c r="AW991" s="34"/>
      <c r="AX991" s="34"/>
      <c r="AY991" s="34"/>
      <c r="AZ991" s="34"/>
      <c r="BA991" s="34"/>
      <c r="BB991" s="34"/>
      <c r="BC991" s="34"/>
      <c r="BD991" s="34"/>
      <c r="BE991" s="34"/>
      <c r="BF991" s="34"/>
      <c r="BG991" s="34"/>
      <c r="BH991" s="34"/>
      <c r="BI991" s="34"/>
      <c r="BJ991" s="34"/>
      <c r="BK991" s="34"/>
      <c r="BL991" s="34"/>
      <c r="BM991" s="34"/>
      <c r="BN991" s="34"/>
      <c r="BO991" s="34"/>
      <c r="BP991" s="34"/>
      <c r="BQ991" s="34"/>
      <c r="BR991" s="34"/>
      <c r="BS991" s="34"/>
      <c r="BT991" s="34"/>
      <c r="BU991" s="34"/>
      <c r="BV991" s="34"/>
      <c r="BW991" s="34"/>
      <c r="BX991" s="34"/>
      <c r="BY991" s="34"/>
      <c r="BZ991" s="34"/>
      <c r="CA991" s="34"/>
      <c r="CB991" s="34"/>
      <c r="CC991" s="34"/>
      <c r="CD991" s="34"/>
      <c r="CE991" s="34"/>
      <c r="CF991" s="34"/>
      <c r="CG991" s="34"/>
      <c r="CH991" s="34"/>
      <c r="CI991" s="34"/>
      <c r="CJ991" s="34"/>
      <c r="CK991" s="34"/>
      <c r="CL991" s="34"/>
      <c r="CM991" s="34"/>
      <c r="CN991" s="34"/>
      <c r="CO991" s="34"/>
      <c r="CP991" s="34"/>
      <c r="CQ991" s="34"/>
      <c r="CR991" s="34"/>
      <c r="CS991" s="34"/>
      <c r="CT991" s="34"/>
      <c r="CU991" s="34"/>
      <c r="CV991" s="34"/>
      <c r="CW991" s="34"/>
      <c r="CX991" s="34"/>
      <c r="CY991" s="34"/>
      <c r="CZ991" s="34"/>
      <c r="DA991" s="34"/>
      <c r="DB991" s="34"/>
      <c r="DC991" s="34"/>
      <c r="DD991" s="34"/>
      <c r="DE991" s="34"/>
      <c r="DF991" s="34"/>
      <c r="DG991" s="34"/>
      <c r="DH991" s="34"/>
      <c r="DI991" s="34"/>
      <c r="DJ991" s="34"/>
      <c r="DK991" s="34"/>
      <c r="DL991" s="34"/>
      <c r="DM991" s="34"/>
      <c r="DN991" s="34"/>
      <c r="DO991" s="34"/>
      <c r="DP991" s="34"/>
      <c r="DQ991" s="34"/>
      <c r="DR991" s="34"/>
      <c r="DS991" s="34"/>
      <c r="DT991" s="34"/>
      <c r="DU991" s="34"/>
      <c r="DV991" s="34"/>
      <c r="DW991" s="34"/>
      <c r="DX991" s="34"/>
      <c r="DY991" s="34"/>
      <c r="DZ991" s="34"/>
      <c r="EA991" s="34"/>
    </row>
    <row r="992" spans="1:131" ht="15" hidden="1">
      <c r="A992" s="194" t="s">
        <v>542</v>
      </c>
      <c r="B992" s="190"/>
      <c r="C992" s="190"/>
      <c r="D992" s="223">
        <f>D994</f>
        <v>200000</v>
      </c>
      <c r="E992" s="223">
        <f>E994</f>
        <v>200000</v>
      </c>
      <c r="F992" s="223">
        <f>E992+D992</f>
        <v>400000</v>
      </c>
      <c r="G992" s="274"/>
      <c r="H992" s="274"/>
      <c r="I992" s="274"/>
      <c r="J992" s="274"/>
      <c r="K992" s="274"/>
      <c r="L992" s="274"/>
      <c r="M992" s="274"/>
      <c r="N992" s="274"/>
      <c r="O992" s="275"/>
      <c r="P992" s="275"/>
      <c r="Q992" s="14"/>
      <c r="R992" s="34"/>
      <c r="S992" s="34"/>
      <c r="T992" s="34"/>
      <c r="U992" s="34"/>
      <c r="V992" s="34"/>
      <c r="W992" s="34"/>
      <c r="X992" s="34"/>
      <c r="Y992" s="34"/>
      <c r="Z992" s="34"/>
      <c r="AA992" s="34"/>
      <c r="AB992" s="34"/>
      <c r="AC992" s="34"/>
      <c r="AD992" s="34"/>
      <c r="AE992" s="34"/>
      <c r="AF992" s="34"/>
      <c r="AG992" s="34"/>
      <c r="AH992" s="34"/>
      <c r="AI992" s="34"/>
      <c r="AJ992" s="34"/>
      <c r="AK992" s="34"/>
      <c r="AL992" s="34"/>
      <c r="AM992" s="34"/>
      <c r="AN992" s="34"/>
      <c r="AO992" s="34"/>
      <c r="AP992" s="34"/>
      <c r="AQ992" s="34"/>
      <c r="AR992" s="34"/>
      <c r="AS992" s="34"/>
      <c r="AT992" s="34"/>
      <c r="AU992" s="34"/>
      <c r="AV992" s="34"/>
      <c r="AW992" s="34"/>
      <c r="AX992" s="34"/>
      <c r="AY992" s="34"/>
      <c r="AZ992" s="34"/>
      <c r="BA992" s="34"/>
      <c r="BB992" s="34"/>
      <c r="BC992" s="34"/>
      <c r="BD992" s="34"/>
      <c r="BE992" s="34"/>
      <c r="BF992" s="34"/>
      <c r="BG992" s="34"/>
      <c r="BH992" s="34"/>
      <c r="BI992" s="34"/>
      <c r="BJ992" s="34"/>
      <c r="BK992" s="34"/>
      <c r="BL992" s="34"/>
      <c r="BM992" s="34"/>
      <c r="BN992" s="34"/>
      <c r="BO992" s="34"/>
      <c r="BP992" s="34"/>
      <c r="BQ992" s="34"/>
      <c r="BR992" s="34"/>
      <c r="BS992" s="34"/>
      <c r="BT992" s="34"/>
      <c r="BU992" s="34"/>
      <c r="BV992" s="34"/>
      <c r="BW992" s="34"/>
      <c r="BX992" s="34"/>
      <c r="BY992" s="34"/>
      <c r="BZ992" s="34"/>
      <c r="CA992" s="34"/>
      <c r="CB992" s="34"/>
      <c r="CC992" s="34"/>
      <c r="CD992" s="34"/>
      <c r="CE992" s="34"/>
      <c r="CF992" s="34"/>
      <c r="CG992" s="34"/>
      <c r="CH992" s="34"/>
      <c r="CI992" s="34"/>
      <c r="CJ992" s="34"/>
      <c r="CK992" s="34"/>
      <c r="CL992" s="34"/>
      <c r="CM992" s="34"/>
      <c r="CN992" s="34"/>
      <c r="CO992" s="34"/>
      <c r="CP992" s="34"/>
      <c r="CQ992" s="34"/>
      <c r="CR992" s="34"/>
      <c r="CS992" s="34"/>
      <c r="CT992" s="34"/>
      <c r="CU992" s="34"/>
      <c r="CV992" s="34"/>
      <c r="CW992" s="34"/>
      <c r="CX992" s="34"/>
      <c r="CY992" s="34"/>
      <c r="CZ992" s="34"/>
      <c r="DA992" s="34"/>
      <c r="DB992" s="34"/>
      <c r="DC992" s="34"/>
      <c r="DD992" s="34"/>
      <c r="DE992" s="34"/>
      <c r="DF992" s="34"/>
      <c r="DG992" s="34"/>
      <c r="DH992" s="34"/>
      <c r="DI992" s="34"/>
      <c r="DJ992" s="34"/>
      <c r="DK992" s="34"/>
      <c r="DL992" s="34"/>
      <c r="DM992" s="34"/>
      <c r="DN992" s="34"/>
      <c r="DO992" s="34"/>
      <c r="DP992" s="34"/>
      <c r="DQ992" s="34"/>
      <c r="DR992" s="34"/>
      <c r="DS992" s="34"/>
      <c r="DT992" s="34"/>
      <c r="DU992" s="34"/>
      <c r="DV992" s="34"/>
      <c r="DW992" s="34"/>
      <c r="DX992" s="34"/>
      <c r="DY992" s="34"/>
      <c r="DZ992" s="34"/>
      <c r="EA992" s="34"/>
    </row>
    <row r="993" spans="1:131" ht="11.25" hidden="1">
      <c r="A993" s="3" t="s">
        <v>2</v>
      </c>
      <c r="B993" s="4"/>
      <c r="C993" s="4"/>
      <c r="D993" s="32"/>
      <c r="E993" s="139"/>
      <c r="F993" s="136">
        <f>E993+D993</f>
        <v>0</v>
      </c>
      <c r="G993" s="48"/>
      <c r="H993" s="48"/>
      <c r="I993" s="48"/>
      <c r="J993" s="48"/>
      <c r="K993" s="48"/>
      <c r="L993" s="48"/>
      <c r="M993" s="48"/>
      <c r="N993" s="48"/>
      <c r="O993" s="49"/>
      <c r="P993" s="49"/>
      <c r="Q993" s="14"/>
      <c r="R993" s="34"/>
      <c r="S993" s="34"/>
      <c r="T993" s="34"/>
      <c r="U993" s="34"/>
      <c r="V993" s="34"/>
      <c r="W993" s="34"/>
      <c r="X993" s="34"/>
      <c r="Y993" s="34"/>
      <c r="Z993" s="34"/>
      <c r="AA993" s="34"/>
      <c r="AB993" s="34"/>
      <c r="AC993" s="34"/>
      <c r="AD993" s="34"/>
      <c r="AE993" s="34"/>
      <c r="AF993" s="34"/>
      <c r="AG993" s="34"/>
      <c r="AH993" s="34"/>
      <c r="AI993" s="34"/>
      <c r="AJ993" s="34"/>
      <c r="AK993" s="34"/>
      <c r="AL993" s="34"/>
      <c r="AM993" s="34"/>
      <c r="AN993" s="34"/>
      <c r="AO993" s="34"/>
      <c r="AP993" s="34"/>
      <c r="AQ993" s="34"/>
      <c r="AR993" s="34"/>
      <c r="AS993" s="34"/>
      <c r="AT993" s="34"/>
      <c r="AU993" s="34"/>
      <c r="AV993" s="34"/>
      <c r="AW993" s="34"/>
      <c r="AX993" s="34"/>
      <c r="AY993" s="34"/>
      <c r="AZ993" s="34"/>
      <c r="BA993" s="34"/>
      <c r="BB993" s="34"/>
      <c r="BC993" s="34"/>
      <c r="BD993" s="34"/>
      <c r="BE993" s="34"/>
      <c r="BF993" s="34"/>
      <c r="BG993" s="34"/>
      <c r="BH993" s="34"/>
      <c r="BI993" s="34"/>
      <c r="BJ993" s="34"/>
      <c r="BK993" s="34"/>
      <c r="BL993" s="34"/>
      <c r="BM993" s="34"/>
      <c r="BN993" s="34"/>
      <c r="BO993" s="34"/>
      <c r="BP993" s="34"/>
      <c r="BQ993" s="34"/>
      <c r="BR993" s="34"/>
      <c r="BS993" s="34"/>
      <c r="BT993" s="34"/>
      <c r="BU993" s="34"/>
      <c r="BV993" s="34"/>
      <c r="BW993" s="34"/>
      <c r="BX993" s="34"/>
      <c r="BY993" s="34"/>
      <c r="BZ993" s="34"/>
      <c r="CA993" s="34"/>
      <c r="CB993" s="34"/>
      <c r="CC993" s="34"/>
      <c r="CD993" s="34"/>
      <c r="CE993" s="34"/>
      <c r="CF993" s="34"/>
      <c r="CG993" s="34"/>
      <c r="CH993" s="34"/>
      <c r="CI993" s="34"/>
      <c r="CJ993" s="34"/>
      <c r="CK993" s="34"/>
      <c r="CL993" s="34"/>
      <c r="CM993" s="34"/>
      <c r="CN993" s="34"/>
      <c r="CO993" s="34"/>
      <c r="CP993" s="34"/>
      <c r="CQ993" s="34"/>
      <c r="CR993" s="34"/>
      <c r="CS993" s="34"/>
      <c r="CT993" s="34"/>
      <c r="CU993" s="34"/>
      <c r="CV993" s="34"/>
      <c r="CW993" s="34"/>
      <c r="CX993" s="34"/>
      <c r="CY993" s="34"/>
      <c r="CZ993" s="34"/>
      <c r="DA993" s="34"/>
      <c r="DB993" s="34"/>
      <c r="DC993" s="34"/>
      <c r="DD993" s="34"/>
      <c r="DE993" s="34"/>
      <c r="DF993" s="34"/>
      <c r="DG993" s="34"/>
      <c r="DH993" s="34"/>
      <c r="DI993" s="34"/>
      <c r="DJ993" s="34"/>
      <c r="DK993" s="34"/>
      <c r="DL993" s="34"/>
      <c r="DM993" s="34"/>
      <c r="DN993" s="34"/>
      <c r="DO993" s="34"/>
      <c r="DP993" s="34"/>
      <c r="DQ993" s="34"/>
      <c r="DR993" s="34"/>
      <c r="DS993" s="34"/>
      <c r="DT993" s="34"/>
      <c r="DU993" s="34"/>
      <c r="DV993" s="34"/>
      <c r="DW993" s="34"/>
      <c r="DX993" s="34"/>
      <c r="DY993" s="34"/>
      <c r="DZ993" s="34"/>
      <c r="EA993" s="34"/>
    </row>
    <row r="994" spans="1:131" ht="11.25" hidden="1">
      <c r="A994" s="6" t="s">
        <v>23</v>
      </c>
      <c r="B994" s="4"/>
      <c r="C994" s="4"/>
      <c r="D994" s="30">
        <v>200000</v>
      </c>
      <c r="E994" s="136">
        <v>200000</v>
      </c>
      <c r="F994" s="136">
        <f>E994+D994</f>
        <v>400000</v>
      </c>
      <c r="G994" s="48"/>
      <c r="H994" s="48"/>
      <c r="I994" s="48"/>
      <c r="J994" s="48"/>
      <c r="K994" s="48"/>
      <c r="L994" s="48"/>
      <c r="M994" s="48"/>
      <c r="N994" s="48"/>
      <c r="O994" s="49"/>
      <c r="P994" s="49"/>
      <c r="Q994" s="14"/>
      <c r="R994" s="34"/>
      <c r="S994" s="34"/>
      <c r="T994" s="34"/>
      <c r="U994" s="34"/>
      <c r="V994" s="34"/>
      <c r="W994" s="34"/>
      <c r="X994" s="34"/>
      <c r="Y994" s="34"/>
      <c r="Z994" s="34"/>
      <c r="AA994" s="34"/>
      <c r="AB994" s="34"/>
      <c r="AC994" s="34"/>
      <c r="AD994" s="34"/>
      <c r="AE994" s="34"/>
      <c r="AF994" s="34"/>
      <c r="AG994" s="34"/>
      <c r="AH994" s="34"/>
      <c r="AI994" s="34"/>
      <c r="AJ994" s="34"/>
      <c r="AK994" s="34"/>
      <c r="AL994" s="34"/>
      <c r="AM994" s="34"/>
      <c r="AN994" s="34"/>
      <c r="AO994" s="34"/>
      <c r="AP994" s="34"/>
      <c r="AQ994" s="34"/>
      <c r="AR994" s="34"/>
      <c r="AS994" s="34"/>
      <c r="AT994" s="34"/>
      <c r="AU994" s="34"/>
      <c r="AV994" s="34"/>
      <c r="AW994" s="34"/>
      <c r="AX994" s="34"/>
      <c r="AY994" s="34"/>
      <c r="AZ994" s="34"/>
      <c r="BA994" s="34"/>
      <c r="BB994" s="34"/>
      <c r="BC994" s="34"/>
      <c r="BD994" s="34"/>
      <c r="BE994" s="34"/>
      <c r="BF994" s="34"/>
      <c r="BG994" s="34"/>
      <c r="BH994" s="34"/>
      <c r="BI994" s="34"/>
      <c r="BJ994" s="34"/>
      <c r="BK994" s="34"/>
      <c r="BL994" s="34"/>
      <c r="BM994" s="34"/>
      <c r="BN994" s="34"/>
      <c r="BO994" s="34"/>
      <c r="BP994" s="34"/>
      <c r="BQ994" s="34"/>
      <c r="BR994" s="34"/>
      <c r="BS994" s="34"/>
      <c r="BT994" s="34"/>
      <c r="BU994" s="34"/>
      <c r="BV994" s="34"/>
      <c r="BW994" s="34"/>
      <c r="BX994" s="34"/>
      <c r="BY994" s="34"/>
      <c r="BZ994" s="34"/>
      <c r="CA994" s="34"/>
      <c r="CB994" s="34"/>
      <c r="CC994" s="34"/>
      <c r="CD994" s="34"/>
      <c r="CE994" s="34"/>
      <c r="CF994" s="34"/>
      <c r="CG994" s="34"/>
      <c r="CH994" s="34"/>
      <c r="CI994" s="34"/>
      <c r="CJ994" s="34"/>
      <c r="CK994" s="34"/>
      <c r="CL994" s="34"/>
      <c r="CM994" s="34"/>
      <c r="CN994" s="34"/>
      <c r="CO994" s="34"/>
      <c r="CP994" s="34"/>
      <c r="CQ994" s="34"/>
      <c r="CR994" s="34"/>
      <c r="CS994" s="34"/>
      <c r="CT994" s="34"/>
      <c r="CU994" s="34"/>
      <c r="CV994" s="34"/>
      <c r="CW994" s="34"/>
      <c r="CX994" s="34"/>
      <c r="CY994" s="34"/>
      <c r="CZ994" s="34"/>
      <c r="DA994" s="34"/>
      <c r="DB994" s="34"/>
      <c r="DC994" s="34"/>
      <c r="DD994" s="34"/>
      <c r="DE994" s="34"/>
      <c r="DF994" s="34"/>
      <c r="DG994" s="34"/>
      <c r="DH994" s="34"/>
      <c r="DI994" s="34"/>
      <c r="DJ994" s="34"/>
      <c r="DK994" s="34"/>
      <c r="DL994" s="34"/>
      <c r="DM994" s="34"/>
      <c r="DN994" s="34"/>
      <c r="DO994" s="34"/>
      <c r="DP994" s="34"/>
      <c r="DQ994" s="34"/>
      <c r="DR994" s="34"/>
      <c r="DS994" s="34"/>
      <c r="DT994" s="34"/>
      <c r="DU994" s="34"/>
      <c r="DV994" s="34"/>
      <c r="DW994" s="34"/>
      <c r="DX994" s="34"/>
      <c r="DY994" s="34"/>
      <c r="DZ994" s="34"/>
      <c r="EA994" s="34"/>
    </row>
    <row r="995" spans="1:131" ht="11.25" hidden="1">
      <c r="A995" s="3" t="s">
        <v>3</v>
      </c>
      <c r="B995" s="4"/>
      <c r="C995" s="4"/>
      <c r="D995" s="32"/>
      <c r="E995" s="136"/>
      <c r="F995" s="136"/>
      <c r="G995" s="48"/>
      <c r="H995" s="48"/>
      <c r="I995" s="48"/>
      <c r="J995" s="48"/>
      <c r="K995" s="48"/>
      <c r="L995" s="48"/>
      <c r="M995" s="48"/>
      <c r="N995" s="48"/>
      <c r="O995" s="49"/>
      <c r="P995" s="49"/>
      <c r="Q995" s="14"/>
      <c r="R995" s="34"/>
      <c r="S995" s="34"/>
      <c r="T995" s="34"/>
      <c r="U995" s="34"/>
      <c r="V995" s="34"/>
      <c r="W995" s="34"/>
      <c r="X995" s="34"/>
      <c r="Y995" s="34"/>
      <c r="Z995" s="34"/>
      <c r="AA995" s="34"/>
      <c r="AB995" s="34"/>
      <c r="AC995" s="34"/>
      <c r="AD995" s="34"/>
      <c r="AE995" s="34"/>
      <c r="AF995" s="34"/>
      <c r="AG995" s="34"/>
      <c r="AH995" s="34"/>
      <c r="AI995" s="34"/>
      <c r="AJ995" s="34"/>
      <c r="AK995" s="34"/>
      <c r="AL995" s="34"/>
      <c r="AM995" s="34"/>
      <c r="AN995" s="34"/>
      <c r="AO995" s="34"/>
      <c r="AP995" s="34"/>
      <c r="AQ995" s="34"/>
      <c r="AR995" s="34"/>
      <c r="AS995" s="34"/>
      <c r="AT995" s="34"/>
      <c r="AU995" s="34"/>
      <c r="AV995" s="34"/>
      <c r="AW995" s="34"/>
      <c r="AX995" s="34"/>
      <c r="AY995" s="34"/>
      <c r="AZ995" s="34"/>
      <c r="BA995" s="34"/>
      <c r="BB995" s="34"/>
      <c r="BC995" s="34"/>
      <c r="BD995" s="34"/>
      <c r="BE995" s="34"/>
      <c r="BF995" s="34"/>
      <c r="BG995" s="34"/>
      <c r="BH995" s="34"/>
      <c r="BI995" s="34"/>
      <c r="BJ995" s="34"/>
      <c r="BK995" s="34"/>
      <c r="BL995" s="34"/>
      <c r="BM995" s="34"/>
      <c r="BN995" s="34"/>
      <c r="BO995" s="34"/>
      <c r="BP995" s="34"/>
      <c r="BQ995" s="34"/>
      <c r="BR995" s="34"/>
      <c r="BS995" s="34"/>
      <c r="BT995" s="34"/>
      <c r="BU995" s="34"/>
      <c r="BV995" s="34"/>
      <c r="BW995" s="34"/>
      <c r="BX995" s="34"/>
      <c r="BY995" s="34"/>
      <c r="BZ995" s="34"/>
      <c r="CA995" s="34"/>
      <c r="CB995" s="34"/>
      <c r="CC995" s="34"/>
      <c r="CD995" s="34"/>
      <c r="CE995" s="34"/>
      <c r="CF995" s="34"/>
      <c r="CG995" s="34"/>
      <c r="CH995" s="34"/>
      <c r="CI995" s="34"/>
      <c r="CJ995" s="34"/>
      <c r="CK995" s="34"/>
      <c r="CL995" s="34"/>
      <c r="CM995" s="34"/>
      <c r="CN995" s="34"/>
      <c r="CO995" s="34"/>
      <c r="CP995" s="34"/>
      <c r="CQ995" s="34"/>
      <c r="CR995" s="34"/>
      <c r="CS995" s="34"/>
      <c r="CT995" s="34"/>
      <c r="CU995" s="34"/>
      <c r="CV995" s="34"/>
      <c r="CW995" s="34"/>
      <c r="CX995" s="34"/>
      <c r="CY995" s="34"/>
      <c r="CZ995" s="34"/>
      <c r="DA995" s="34"/>
      <c r="DB995" s="34"/>
      <c r="DC995" s="34"/>
      <c r="DD995" s="34"/>
      <c r="DE995" s="34"/>
      <c r="DF995" s="34"/>
      <c r="DG995" s="34"/>
      <c r="DH995" s="34"/>
      <c r="DI995" s="34"/>
      <c r="DJ995" s="34"/>
      <c r="DK995" s="34"/>
      <c r="DL995" s="34"/>
      <c r="DM995" s="34"/>
      <c r="DN995" s="34"/>
      <c r="DO995" s="34"/>
      <c r="DP995" s="34"/>
      <c r="DQ995" s="34"/>
      <c r="DR995" s="34"/>
      <c r="DS995" s="34"/>
      <c r="DT995" s="34"/>
      <c r="DU995" s="34"/>
      <c r="DV995" s="34"/>
      <c r="DW995" s="34"/>
      <c r="DX995" s="34"/>
      <c r="DY995" s="34"/>
      <c r="DZ995" s="34"/>
      <c r="EA995" s="34"/>
    </row>
    <row r="996" spans="1:131" ht="11.25" hidden="1">
      <c r="A996" s="6" t="s">
        <v>530</v>
      </c>
      <c r="B996" s="4"/>
      <c r="C996" s="4"/>
      <c r="D996" s="32">
        <v>1</v>
      </c>
      <c r="E996" s="173" t="s">
        <v>533</v>
      </c>
      <c r="F996" s="160" t="str">
        <f>E996</f>
        <v>1</v>
      </c>
      <c r="G996" s="48"/>
      <c r="H996" s="48"/>
      <c r="I996" s="48"/>
      <c r="J996" s="48"/>
      <c r="K996" s="48"/>
      <c r="L996" s="48"/>
      <c r="M996" s="48"/>
      <c r="N996" s="48"/>
      <c r="O996" s="49"/>
      <c r="P996" s="49"/>
      <c r="Q996" s="14"/>
      <c r="R996" s="34"/>
      <c r="S996" s="34"/>
      <c r="T996" s="34"/>
      <c r="U996" s="34"/>
      <c r="V996" s="34"/>
      <c r="W996" s="34"/>
      <c r="X996" s="34"/>
      <c r="Y996" s="34"/>
      <c r="Z996" s="34"/>
      <c r="AA996" s="34"/>
      <c r="AB996" s="34"/>
      <c r="AC996" s="34"/>
      <c r="AD996" s="34"/>
      <c r="AE996" s="34"/>
      <c r="AF996" s="34"/>
      <c r="AG996" s="34"/>
      <c r="AH996" s="34"/>
      <c r="AI996" s="34"/>
      <c r="AJ996" s="34"/>
      <c r="AK996" s="34"/>
      <c r="AL996" s="34"/>
      <c r="AM996" s="34"/>
      <c r="AN996" s="34"/>
      <c r="AO996" s="34"/>
      <c r="AP996" s="34"/>
      <c r="AQ996" s="34"/>
      <c r="AR996" s="34"/>
      <c r="AS996" s="34"/>
      <c r="AT996" s="34"/>
      <c r="AU996" s="34"/>
      <c r="AV996" s="34"/>
      <c r="AW996" s="34"/>
      <c r="AX996" s="34"/>
      <c r="AY996" s="34"/>
      <c r="AZ996" s="34"/>
      <c r="BA996" s="34"/>
      <c r="BB996" s="34"/>
      <c r="BC996" s="34"/>
      <c r="BD996" s="34"/>
      <c r="BE996" s="34"/>
      <c r="BF996" s="34"/>
      <c r="BG996" s="34"/>
      <c r="BH996" s="34"/>
      <c r="BI996" s="34"/>
      <c r="BJ996" s="34"/>
      <c r="BK996" s="34"/>
      <c r="BL996" s="34"/>
      <c r="BM996" s="34"/>
      <c r="BN996" s="34"/>
      <c r="BO996" s="34"/>
      <c r="BP996" s="34"/>
      <c r="BQ996" s="34"/>
      <c r="BR996" s="34"/>
      <c r="BS996" s="34"/>
      <c r="BT996" s="34"/>
      <c r="BU996" s="34"/>
      <c r="BV996" s="34"/>
      <c r="BW996" s="34"/>
      <c r="BX996" s="34"/>
      <c r="BY996" s="34"/>
      <c r="BZ996" s="34"/>
      <c r="CA996" s="34"/>
      <c r="CB996" s="34"/>
      <c r="CC996" s="34"/>
      <c r="CD996" s="34"/>
      <c r="CE996" s="34"/>
      <c r="CF996" s="34"/>
      <c r="CG996" s="34"/>
      <c r="CH996" s="34"/>
      <c r="CI996" s="34"/>
      <c r="CJ996" s="34"/>
      <c r="CK996" s="34"/>
      <c r="CL996" s="34"/>
      <c r="CM996" s="34"/>
      <c r="CN996" s="34"/>
      <c r="CO996" s="34"/>
      <c r="CP996" s="34"/>
      <c r="CQ996" s="34"/>
      <c r="CR996" s="34"/>
      <c r="CS996" s="34"/>
      <c r="CT996" s="34"/>
      <c r="CU996" s="34"/>
      <c r="CV996" s="34"/>
      <c r="CW996" s="34"/>
      <c r="CX996" s="34"/>
      <c r="CY996" s="34"/>
      <c r="CZ996" s="34"/>
      <c r="DA996" s="34"/>
      <c r="DB996" s="34"/>
      <c r="DC996" s="34"/>
      <c r="DD996" s="34"/>
      <c r="DE996" s="34"/>
      <c r="DF996" s="34"/>
      <c r="DG996" s="34"/>
      <c r="DH996" s="34"/>
      <c r="DI996" s="34"/>
      <c r="DJ996" s="34"/>
      <c r="DK996" s="34"/>
      <c r="DL996" s="34"/>
      <c r="DM996" s="34"/>
      <c r="DN996" s="34"/>
      <c r="DO996" s="34"/>
      <c r="DP996" s="34"/>
      <c r="DQ996" s="34"/>
      <c r="DR996" s="34"/>
      <c r="DS996" s="34"/>
      <c r="DT996" s="34"/>
      <c r="DU996" s="34"/>
      <c r="DV996" s="34"/>
      <c r="DW996" s="34"/>
      <c r="DX996" s="34"/>
      <c r="DY996" s="34"/>
      <c r="DZ996" s="34"/>
      <c r="EA996" s="34"/>
    </row>
    <row r="997" spans="1:131" ht="11.25" hidden="1">
      <c r="A997" s="22" t="s">
        <v>5</v>
      </c>
      <c r="B997" s="4"/>
      <c r="C997" s="4"/>
      <c r="D997" s="32"/>
      <c r="E997" s="139"/>
      <c r="F997" s="139"/>
      <c r="G997" s="48"/>
      <c r="H997" s="48"/>
      <c r="I997" s="48"/>
      <c r="J997" s="48"/>
      <c r="K997" s="48"/>
      <c r="L997" s="48"/>
      <c r="M997" s="48"/>
      <c r="N997" s="48"/>
      <c r="O997" s="49"/>
      <c r="P997" s="49"/>
      <c r="Q997" s="14"/>
      <c r="R997" s="34"/>
      <c r="S997" s="34"/>
      <c r="T997" s="34"/>
      <c r="U997" s="34"/>
      <c r="V997" s="34"/>
      <c r="W997" s="34"/>
      <c r="X997" s="34"/>
      <c r="Y997" s="34"/>
      <c r="Z997" s="34"/>
      <c r="AA997" s="34"/>
      <c r="AB997" s="34"/>
      <c r="AC997" s="34"/>
      <c r="AD997" s="34"/>
      <c r="AE997" s="34"/>
      <c r="AF997" s="34"/>
      <c r="AG997" s="34"/>
      <c r="AH997" s="34"/>
      <c r="AI997" s="34"/>
      <c r="AJ997" s="34"/>
      <c r="AK997" s="34"/>
      <c r="AL997" s="34"/>
      <c r="AM997" s="34"/>
      <c r="AN997" s="34"/>
      <c r="AO997" s="34"/>
      <c r="AP997" s="34"/>
      <c r="AQ997" s="34"/>
      <c r="AR997" s="34"/>
      <c r="AS997" s="34"/>
      <c r="AT997" s="34"/>
      <c r="AU997" s="34"/>
      <c r="AV997" s="34"/>
      <c r="AW997" s="34"/>
      <c r="AX997" s="34"/>
      <c r="AY997" s="34"/>
      <c r="AZ997" s="34"/>
      <c r="BA997" s="34"/>
      <c r="BB997" s="34"/>
      <c r="BC997" s="34"/>
      <c r="BD997" s="34"/>
      <c r="BE997" s="34"/>
      <c r="BF997" s="34"/>
      <c r="BG997" s="34"/>
      <c r="BH997" s="34"/>
      <c r="BI997" s="34"/>
      <c r="BJ997" s="34"/>
      <c r="BK997" s="34"/>
      <c r="BL997" s="34"/>
      <c r="BM997" s="34"/>
      <c r="BN997" s="34"/>
      <c r="BO997" s="34"/>
      <c r="BP997" s="34"/>
      <c r="BQ997" s="34"/>
      <c r="BR997" s="34"/>
      <c r="BS997" s="34"/>
      <c r="BT997" s="34"/>
      <c r="BU997" s="34"/>
      <c r="BV997" s="34"/>
      <c r="BW997" s="34"/>
      <c r="BX997" s="34"/>
      <c r="BY997" s="34"/>
      <c r="BZ997" s="34"/>
      <c r="CA997" s="34"/>
      <c r="CB997" s="34"/>
      <c r="CC997" s="34"/>
      <c r="CD997" s="34"/>
      <c r="CE997" s="34"/>
      <c r="CF997" s="34"/>
      <c r="CG997" s="34"/>
      <c r="CH997" s="34"/>
      <c r="CI997" s="34"/>
      <c r="CJ997" s="34"/>
      <c r="CK997" s="34"/>
      <c r="CL997" s="34"/>
      <c r="CM997" s="34"/>
      <c r="CN997" s="34"/>
      <c r="CO997" s="34"/>
      <c r="CP997" s="34"/>
      <c r="CQ997" s="34"/>
      <c r="CR997" s="34"/>
      <c r="CS997" s="34"/>
      <c r="CT997" s="34"/>
      <c r="CU997" s="34"/>
      <c r="CV997" s="34"/>
      <c r="CW997" s="34"/>
      <c r="CX997" s="34"/>
      <c r="CY997" s="34"/>
      <c r="CZ997" s="34"/>
      <c r="DA997" s="34"/>
      <c r="DB997" s="34"/>
      <c r="DC997" s="34"/>
      <c r="DD997" s="34"/>
      <c r="DE997" s="34"/>
      <c r="DF997" s="34"/>
      <c r="DG997" s="34"/>
      <c r="DH997" s="34"/>
      <c r="DI997" s="34"/>
      <c r="DJ997" s="34"/>
      <c r="DK997" s="34"/>
      <c r="DL997" s="34"/>
      <c r="DM997" s="34"/>
      <c r="DN997" s="34"/>
      <c r="DO997" s="34"/>
      <c r="DP997" s="34"/>
      <c r="DQ997" s="34"/>
      <c r="DR997" s="34"/>
      <c r="DS997" s="34"/>
      <c r="DT997" s="34"/>
      <c r="DU997" s="34"/>
      <c r="DV997" s="34"/>
      <c r="DW997" s="34"/>
      <c r="DX997" s="34"/>
      <c r="DY997" s="34"/>
      <c r="DZ997" s="34"/>
      <c r="EA997" s="34"/>
    </row>
    <row r="998" spans="1:131" ht="11.25" hidden="1">
      <c r="A998" s="28" t="s">
        <v>531</v>
      </c>
      <c r="B998" s="4"/>
      <c r="C998" s="4"/>
      <c r="D998" s="136">
        <f>D994</f>
        <v>200000</v>
      </c>
      <c r="E998" s="136">
        <f>E994</f>
        <v>200000</v>
      </c>
      <c r="F998" s="136">
        <f>D998+E998</f>
        <v>400000</v>
      </c>
      <c r="G998" s="48"/>
      <c r="H998" s="48"/>
      <c r="I998" s="48"/>
      <c r="J998" s="48"/>
      <c r="K998" s="48"/>
      <c r="L998" s="48"/>
      <c r="M998" s="48"/>
      <c r="N998" s="48"/>
      <c r="O998" s="49"/>
      <c r="P998" s="49"/>
      <c r="Q998" s="14"/>
      <c r="R998" s="34"/>
      <c r="S998" s="34"/>
      <c r="T998" s="34"/>
      <c r="U998" s="34"/>
      <c r="V998" s="34"/>
      <c r="W998" s="34"/>
      <c r="X998" s="34"/>
      <c r="Y998" s="34"/>
      <c r="Z998" s="34"/>
      <c r="AA998" s="34"/>
      <c r="AB998" s="34"/>
      <c r="AC998" s="34"/>
      <c r="AD998" s="34"/>
      <c r="AE998" s="34"/>
      <c r="AF998" s="34"/>
      <c r="AG998" s="34"/>
      <c r="AH998" s="34"/>
      <c r="AI998" s="34"/>
      <c r="AJ998" s="34"/>
      <c r="AK998" s="34"/>
      <c r="AL998" s="34"/>
      <c r="AM998" s="34"/>
      <c r="AN998" s="34"/>
      <c r="AO998" s="34"/>
      <c r="AP998" s="34"/>
      <c r="AQ998" s="34"/>
      <c r="AR998" s="34"/>
      <c r="AS998" s="34"/>
      <c r="AT998" s="34"/>
      <c r="AU998" s="34"/>
      <c r="AV998" s="34"/>
      <c r="AW998" s="34"/>
      <c r="AX998" s="34"/>
      <c r="AY998" s="34"/>
      <c r="AZ998" s="34"/>
      <c r="BA998" s="34"/>
      <c r="BB998" s="34"/>
      <c r="BC998" s="34"/>
      <c r="BD998" s="34"/>
      <c r="BE998" s="34"/>
      <c r="BF998" s="34"/>
      <c r="BG998" s="34"/>
      <c r="BH998" s="34"/>
      <c r="BI998" s="34"/>
      <c r="BJ998" s="34"/>
      <c r="BK998" s="34"/>
      <c r="BL998" s="34"/>
      <c r="BM998" s="34"/>
      <c r="BN998" s="34"/>
      <c r="BO998" s="34"/>
      <c r="BP998" s="34"/>
      <c r="BQ998" s="34"/>
      <c r="BR998" s="34"/>
      <c r="BS998" s="34"/>
      <c r="BT998" s="34"/>
      <c r="BU998" s="34"/>
      <c r="BV998" s="34"/>
      <c r="BW998" s="34"/>
      <c r="BX998" s="34"/>
      <c r="BY998" s="34"/>
      <c r="BZ998" s="34"/>
      <c r="CA998" s="34"/>
      <c r="CB998" s="34"/>
      <c r="CC998" s="34"/>
      <c r="CD998" s="34"/>
      <c r="CE998" s="34"/>
      <c r="CF998" s="34"/>
      <c r="CG998" s="34"/>
      <c r="CH998" s="34"/>
      <c r="CI998" s="34"/>
      <c r="CJ998" s="34"/>
      <c r="CK998" s="34"/>
      <c r="CL998" s="34"/>
      <c r="CM998" s="34"/>
      <c r="CN998" s="34"/>
      <c r="CO998" s="34"/>
      <c r="CP998" s="34"/>
      <c r="CQ998" s="34"/>
      <c r="CR998" s="34"/>
      <c r="CS998" s="34"/>
      <c r="CT998" s="34"/>
      <c r="CU998" s="34"/>
      <c r="CV998" s="34"/>
      <c r="CW998" s="34"/>
      <c r="CX998" s="34"/>
      <c r="CY998" s="34"/>
      <c r="CZ998" s="34"/>
      <c r="DA998" s="34"/>
      <c r="DB998" s="34"/>
      <c r="DC998" s="34"/>
      <c r="DD998" s="34"/>
      <c r="DE998" s="34"/>
      <c r="DF998" s="34"/>
      <c r="DG998" s="34"/>
      <c r="DH998" s="34"/>
      <c r="DI998" s="34"/>
      <c r="DJ998" s="34"/>
      <c r="DK998" s="34"/>
      <c r="DL998" s="34"/>
      <c r="DM998" s="34"/>
      <c r="DN998" s="34"/>
      <c r="DO998" s="34"/>
      <c r="DP998" s="34"/>
      <c r="DQ998" s="34"/>
      <c r="DR998" s="34"/>
      <c r="DS998" s="34"/>
      <c r="DT998" s="34"/>
      <c r="DU998" s="34"/>
      <c r="DV998" s="34"/>
      <c r="DW998" s="34"/>
      <c r="DX998" s="34"/>
      <c r="DY998" s="34"/>
      <c r="DZ998" s="34"/>
      <c r="EA998" s="34"/>
    </row>
    <row r="999" spans="1:131" ht="12.75">
      <c r="A999" s="200" t="s">
        <v>566</v>
      </c>
      <c r="B999" s="231"/>
      <c r="C999" s="231"/>
      <c r="D999" s="220">
        <f>D1000</f>
        <v>0</v>
      </c>
      <c r="E999" s="220">
        <f>E1000</f>
        <v>194791961</v>
      </c>
      <c r="F999" s="220">
        <f>F1000</f>
        <v>194791961</v>
      </c>
      <c r="G999" s="243"/>
      <c r="H999" s="243"/>
      <c r="I999" s="243"/>
      <c r="J999" s="243"/>
      <c r="K999" s="244"/>
      <c r="L999" s="244"/>
      <c r="M999" s="244"/>
      <c r="N999" s="244"/>
      <c r="O999" s="245"/>
      <c r="P999" s="245"/>
      <c r="Q999" s="14"/>
      <c r="R999" s="34"/>
      <c r="S999" s="34"/>
      <c r="T999" s="34"/>
      <c r="U999" s="34"/>
      <c r="V999" s="34"/>
      <c r="W999" s="34"/>
      <c r="X999" s="34"/>
      <c r="Y999" s="34"/>
      <c r="Z999" s="34"/>
      <c r="AA999" s="34"/>
      <c r="AB999" s="34"/>
      <c r="AC999" s="34"/>
      <c r="AD999" s="34"/>
      <c r="AE999" s="34"/>
      <c r="AF999" s="34"/>
      <c r="AG999" s="34"/>
      <c r="AH999" s="34"/>
      <c r="AI999" s="34"/>
      <c r="AJ999" s="34"/>
      <c r="AK999" s="34"/>
      <c r="AL999" s="34"/>
      <c r="AM999" s="34"/>
      <c r="AN999" s="34"/>
      <c r="AO999" s="34"/>
      <c r="AP999" s="34"/>
      <c r="AQ999" s="34"/>
      <c r="AR999" s="34"/>
      <c r="AS999" s="34"/>
      <c r="AT999" s="34"/>
      <c r="AU999" s="34"/>
      <c r="AV999" s="34"/>
      <c r="AW999" s="34"/>
      <c r="AX999" s="34"/>
      <c r="AY999" s="34"/>
      <c r="AZ999" s="34"/>
      <c r="BA999" s="34"/>
      <c r="BB999" s="34"/>
      <c r="BC999" s="34"/>
      <c r="BD999" s="34"/>
      <c r="BE999" s="34"/>
      <c r="BF999" s="34"/>
      <c r="BG999" s="34"/>
      <c r="BH999" s="34"/>
      <c r="BI999" s="34"/>
      <c r="BJ999" s="34"/>
      <c r="BK999" s="34"/>
      <c r="BL999" s="34"/>
      <c r="BM999" s="34"/>
      <c r="BN999" s="34"/>
      <c r="BO999" s="34"/>
      <c r="BP999" s="34"/>
      <c r="BQ999" s="34"/>
      <c r="BR999" s="34"/>
      <c r="BS999" s="34"/>
      <c r="BT999" s="34"/>
      <c r="BU999" s="34"/>
      <c r="BV999" s="34"/>
      <c r="BW999" s="34"/>
      <c r="BX999" s="34"/>
      <c r="BY999" s="34"/>
      <c r="BZ999" s="34"/>
      <c r="CA999" s="34"/>
      <c r="CB999" s="34"/>
      <c r="CC999" s="34"/>
      <c r="CD999" s="34"/>
      <c r="CE999" s="34"/>
      <c r="CF999" s="34"/>
      <c r="CG999" s="34"/>
      <c r="CH999" s="34"/>
      <c r="CI999" s="34"/>
      <c r="CJ999" s="34"/>
      <c r="CK999" s="34"/>
      <c r="CL999" s="34"/>
      <c r="CM999" s="34"/>
      <c r="CN999" s="34"/>
      <c r="CO999" s="34"/>
      <c r="CP999" s="34"/>
      <c r="CQ999" s="34"/>
      <c r="CR999" s="34"/>
      <c r="CS999" s="34"/>
      <c r="CT999" s="34"/>
      <c r="CU999" s="34"/>
      <c r="CV999" s="34"/>
      <c r="CW999" s="34"/>
      <c r="CX999" s="34"/>
      <c r="CY999" s="34"/>
      <c r="CZ999" s="34"/>
      <c r="DA999" s="34"/>
      <c r="DB999" s="34"/>
      <c r="DC999" s="34"/>
      <c r="DD999" s="34"/>
      <c r="DE999" s="34"/>
      <c r="DF999" s="34"/>
      <c r="DG999" s="34"/>
      <c r="DH999" s="34"/>
      <c r="DI999" s="34"/>
      <c r="DJ999" s="34"/>
      <c r="DK999" s="34"/>
      <c r="DL999" s="34"/>
      <c r="DM999" s="34"/>
      <c r="DN999" s="34"/>
      <c r="DO999" s="34"/>
      <c r="DP999" s="34"/>
      <c r="DQ999" s="34"/>
      <c r="DR999" s="34"/>
      <c r="DS999" s="34"/>
      <c r="DT999" s="34"/>
      <c r="DU999" s="34"/>
      <c r="DV999" s="34"/>
      <c r="DW999" s="34"/>
      <c r="DX999" s="34"/>
      <c r="DY999" s="34"/>
      <c r="DZ999" s="34"/>
      <c r="EA999" s="34"/>
    </row>
    <row r="1000" spans="1:131" ht="89.25">
      <c r="A1000" s="194" t="s">
        <v>567</v>
      </c>
      <c r="B1000" s="190"/>
      <c r="C1000" s="190"/>
      <c r="D1000" s="223">
        <f>D1002</f>
        <v>0</v>
      </c>
      <c r="E1000" s="223">
        <f>E1002</f>
        <v>194791961</v>
      </c>
      <c r="F1000" s="223">
        <f>E1000+D1000</f>
        <v>194791961</v>
      </c>
      <c r="G1000" s="274"/>
      <c r="H1000" s="274"/>
      <c r="I1000" s="274"/>
      <c r="J1000" s="274"/>
      <c r="K1000" s="274"/>
      <c r="L1000" s="274"/>
      <c r="M1000" s="274"/>
      <c r="N1000" s="274"/>
      <c r="O1000" s="275"/>
      <c r="P1000" s="275"/>
      <c r="Q1000" s="14"/>
      <c r="R1000" s="34"/>
      <c r="S1000" s="34"/>
      <c r="T1000" s="34"/>
      <c r="U1000" s="34"/>
      <c r="V1000" s="34"/>
      <c r="W1000" s="34"/>
      <c r="X1000" s="34"/>
      <c r="Y1000" s="34"/>
      <c r="Z1000" s="34"/>
      <c r="AA1000" s="34"/>
      <c r="AB1000" s="34"/>
      <c r="AC1000" s="34"/>
      <c r="AD1000" s="34"/>
      <c r="AE1000" s="34"/>
      <c r="AF1000" s="34"/>
      <c r="AG1000" s="34"/>
      <c r="AH1000" s="34"/>
      <c r="AI1000" s="34"/>
      <c r="AJ1000" s="34"/>
      <c r="AK1000" s="34"/>
      <c r="AL1000" s="34"/>
      <c r="AM1000" s="34"/>
      <c r="AN1000" s="34"/>
      <c r="AO1000" s="34"/>
      <c r="AP1000" s="34"/>
      <c r="AQ1000" s="34"/>
      <c r="AR1000" s="34"/>
      <c r="AS1000" s="34"/>
      <c r="AT1000" s="34"/>
      <c r="AU1000" s="34"/>
      <c r="AV1000" s="34"/>
      <c r="AW1000" s="34"/>
      <c r="AX1000" s="34"/>
      <c r="AY1000" s="34"/>
      <c r="AZ1000" s="34"/>
      <c r="BA1000" s="34"/>
      <c r="BB1000" s="34"/>
      <c r="BC1000" s="34"/>
      <c r="BD1000" s="34"/>
      <c r="BE1000" s="34"/>
      <c r="BF1000" s="34"/>
      <c r="BG1000" s="34"/>
      <c r="BH1000" s="34"/>
      <c r="BI1000" s="34"/>
      <c r="BJ1000" s="34"/>
      <c r="BK1000" s="34"/>
      <c r="BL1000" s="34"/>
      <c r="BM1000" s="34"/>
      <c r="BN1000" s="34"/>
      <c r="BO1000" s="34"/>
      <c r="BP1000" s="34"/>
      <c r="BQ1000" s="34"/>
      <c r="BR1000" s="34"/>
      <c r="BS1000" s="34"/>
      <c r="BT1000" s="34"/>
      <c r="BU1000" s="34"/>
      <c r="BV1000" s="34"/>
      <c r="BW1000" s="34"/>
      <c r="BX1000" s="34"/>
      <c r="BY1000" s="34"/>
      <c r="BZ1000" s="34"/>
      <c r="CA1000" s="34"/>
      <c r="CB1000" s="34"/>
      <c r="CC1000" s="34"/>
      <c r="CD1000" s="34"/>
      <c r="CE1000" s="34"/>
      <c r="CF1000" s="34"/>
      <c r="CG1000" s="34"/>
      <c r="CH1000" s="34"/>
      <c r="CI1000" s="34"/>
      <c r="CJ1000" s="34"/>
      <c r="CK1000" s="34"/>
      <c r="CL1000" s="34"/>
      <c r="CM1000" s="34"/>
      <c r="CN1000" s="34"/>
      <c r="CO1000" s="34"/>
      <c r="CP1000" s="34"/>
      <c r="CQ1000" s="34"/>
      <c r="CR1000" s="34"/>
      <c r="CS1000" s="34"/>
      <c r="CT1000" s="34"/>
      <c r="CU1000" s="34"/>
      <c r="CV1000" s="34"/>
      <c r="CW1000" s="34"/>
      <c r="CX1000" s="34"/>
      <c r="CY1000" s="34"/>
      <c r="CZ1000" s="34"/>
      <c r="DA1000" s="34"/>
      <c r="DB1000" s="34"/>
      <c r="DC1000" s="34"/>
      <c r="DD1000" s="34"/>
      <c r="DE1000" s="34"/>
      <c r="DF1000" s="34"/>
      <c r="DG1000" s="34"/>
      <c r="DH1000" s="34"/>
      <c r="DI1000" s="34"/>
      <c r="DJ1000" s="34"/>
      <c r="DK1000" s="34"/>
      <c r="DL1000" s="34"/>
      <c r="DM1000" s="34"/>
      <c r="DN1000" s="34"/>
      <c r="DO1000" s="34"/>
      <c r="DP1000" s="34"/>
      <c r="DQ1000" s="34"/>
      <c r="DR1000" s="34"/>
      <c r="DS1000" s="34"/>
      <c r="DT1000" s="34"/>
      <c r="DU1000" s="34"/>
      <c r="DV1000" s="34"/>
      <c r="DW1000" s="34"/>
      <c r="DX1000" s="34"/>
      <c r="DY1000" s="34"/>
      <c r="DZ1000" s="34"/>
      <c r="EA1000" s="34"/>
    </row>
    <row r="1001" spans="1:131" ht="11.25">
      <c r="A1001" s="3" t="s">
        <v>2</v>
      </c>
      <c r="B1001" s="4"/>
      <c r="C1001" s="4"/>
      <c r="D1001" s="32"/>
      <c r="E1001" s="139"/>
      <c r="F1001" s="136"/>
      <c r="G1001" s="48"/>
      <c r="H1001" s="48"/>
      <c r="I1001" s="48"/>
      <c r="J1001" s="48"/>
      <c r="K1001" s="48"/>
      <c r="L1001" s="48"/>
      <c r="M1001" s="48"/>
      <c r="N1001" s="48"/>
      <c r="O1001" s="49"/>
      <c r="P1001" s="49"/>
      <c r="Q1001" s="14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  <c r="AB1001" s="34"/>
      <c r="AC1001" s="34"/>
      <c r="AD1001" s="34"/>
      <c r="AE1001" s="34"/>
      <c r="AF1001" s="34"/>
      <c r="AG1001" s="34"/>
      <c r="AH1001" s="34"/>
      <c r="AI1001" s="34"/>
      <c r="AJ1001" s="34"/>
      <c r="AK1001" s="34"/>
      <c r="AL1001" s="34"/>
      <c r="AM1001" s="34"/>
      <c r="AN1001" s="34"/>
      <c r="AO1001" s="34"/>
      <c r="AP1001" s="34"/>
      <c r="AQ1001" s="34"/>
      <c r="AR1001" s="34"/>
      <c r="AS1001" s="34"/>
      <c r="AT1001" s="34"/>
      <c r="AU1001" s="34"/>
      <c r="AV1001" s="34"/>
      <c r="AW1001" s="34"/>
      <c r="AX1001" s="34"/>
      <c r="AY1001" s="34"/>
      <c r="AZ1001" s="34"/>
      <c r="BA1001" s="34"/>
      <c r="BB1001" s="34"/>
      <c r="BC1001" s="34"/>
      <c r="BD1001" s="34"/>
      <c r="BE1001" s="34"/>
      <c r="BF1001" s="34"/>
      <c r="BG1001" s="34"/>
      <c r="BH1001" s="34"/>
      <c r="BI1001" s="34"/>
      <c r="BJ1001" s="34"/>
      <c r="BK1001" s="34"/>
      <c r="BL1001" s="34"/>
      <c r="BM1001" s="34"/>
      <c r="BN1001" s="34"/>
      <c r="BO1001" s="34"/>
      <c r="BP1001" s="34"/>
      <c r="BQ1001" s="34"/>
      <c r="BR1001" s="34"/>
      <c r="BS1001" s="34"/>
      <c r="BT1001" s="34"/>
      <c r="BU1001" s="34"/>
      <c r="BV1001" s="34"/>
      <c r="BW1001" s="34"/>
      <c r="BX1001" s="34"/>
      <c r="BY1001" s="34"/>
      <c r="BZ1001" s="34"/>
      <c r="CA1001" s="34"/>
      <c r="CB1001" s="34"/>
      <c r="CC1001" s="34"/>
      <c r="CD1001" s="34"/>
      <c r="CE1001" s="34"/>
      <c r="CF1001" s="34"/>
      <c r="CG1001" s="34"/>
      <c r="CH1001" s="34"/>
      <c r="CI1001" s="34"/>
      <c r="CJ1001" s="34"/>
      <c r="CK1001" s="34"/>
      <c r="CL1001" s="34"/>
      <c r="CM1001" s="34"/>
      <c r="CN1001" s="34"/>
      <c r="CO1001" s="34"/>
      <c r="CP1001" s="34"/>
      <c r="CQ1001" s="34"/>
      <c r="CR1001" s="34"/>
      <c r="CS1001" s="34"/>
      <c r="CT1001" s="34"/>
      <c r="CU1001" s="34"/>
      <c r="CV1001" s="34"/>
      <c r="CW1001" s="34"/>
      <c r="CX1001" s="34"/>
      <c r="CY1001" s="34"/>
      <c r="CZ1001" s="34"/>
      <c r="DA1001" s="34"/>
      <c r="DB1001" s="34"/>
      <c r="DC1001" s="34"/>
      <c r="DD1001" s="34"/>
      <c r="DE1001" s="34"/>
      <c r="DF1001" s="34"/>
      <c r="DG1001" s="34"/>
      <c r="DH1001" s="34"/>
      <c r="DI1001" s="34"/>
      <c r="DJ1001" s="34"/>
      <c r="DK1001" s="34"/>
      <c r="DL1001" s="34"/>
      <c r="DM1001" s="34"/>
      <c r="DN1001" s="34"/>
      <c r="DO1001" s="34"/>
      <c r="DP1001" s="34"/>
      <c r="DQ1001" s="34"/>
      <c r="DR1001" s="34"/>
      <c r="DS1001" s="34"/>
      <c r="DT1001" s="34"/>
      <c r="DU1001" s="34"/>
      <c r="DV1001" s="34"/>
      <c r="DW1001" s="34"/>
      <c r="DX1001" s="34"/>
      <c r="DY1001" s="34"/>
      <c r="DZ1001" s="34"/>
      <c r="EA1001" s="34"/>
    </row>
    <row r="1002" spans="1:131" ht="11.25">
      <c r="A1002" s="6" t="s">
        <v>23</v>
      </c>
      <c r="B1002" s="4"/>
      <c r="C1002" s="4"/>
      <c r="D1002" s="30"/>
      <c r="E1002" s="136">
        <v>194791961</v>
      </c>
      <c r="F1002" s="136">
        <f>E1002+D1002</f>
        <v>194791961</v>
      </c>
      <c r="G1002" s="48"/>
      <c r="H1002" s="48"/>
      <c r="I1002" s="48"/>
      <c r="J1002" s="48"/>
      <c r="K1002" s="48"/>
      <c r="L1002" s="48"/>
      <c r="M1002" s="48"/>
      <c r="N1002" s="48"/>
      <c r="O1002" s="49"/>
      <c r="P1002" s="49"/>
      <c r="Q1002" s="14"/>
      <c r="R1002" s="34"/>
      <c r="S1002" s="34"/>
      <c r="T1002" s="34"/>
      <c r="U1002" s="34"/>
      <c r="V1002" s="34"/>
      <c r="W1002" s="34"/>
      <c r="X1002" s="34"/>
      <c r="Y1002" s="34"/>
      <c r="Z1002" s="34"/>
      <c r="AA1002" s="34"/>
      <c r="AB1002" s="34"/>
      <c r="AC1002" s="34"/>
      <c r="AD1002" s="34"/>
      <c r="AE1002" s="34"/>
      <c r="AF1002" s="34"/>
      <c r="AG1002" s="34"/>
      <c r="AH1002" s="34"/>
      <c r="AI1002" s="34"/>
      <c r="AJ1002" s="34"/>
      <c r="AK1002" s="34"/>
      <c r="AL1002" s="34"/>
      <c r="AM1002" s="34"/>
      <c r="AN1002" s="34"/>
      <c r="AO1002" s="34"/>
      <c r="AP1002" s="34"/>
      <c r="AQ1002" s="34"/>
      <c r="AR1002" s="34"/>
      <c r="AS1002" s="34"/>
      <c r="AT1002" s="34"/>
      <c r="AU1002" s="34"/>
      <c r="AV1002" s="34"/>
      <c r="AW1002" s="34"/>
      <c r="AX1002" s="34"/>
      <c r="AY1002" s="34"/>
      <c r="AZ1002" s="34"/>
      <c r="BA1002" s="34"/>
      <c r="BB1002" s="34"/>
      <c r="BC1002" s="34"/>
      <c r="BD1002" s="34"/>
      <c r="BE1002" s="34"/>
      <c r="BF1002" s="34"/>
      <c r="BG1002" s="34"/>
      <c r="BH1002" s="34"/>
      <c r="BI1002" s="34"/>
      <c r="BJ1002" s="34"/>
      <c r="BK1002" s="34"/>
      <c r="BL1002" s="34"/>
      <c r="BM1002" s="34"/>
      <c r="BN1002" s="34"/>
      <c r="BO1002" s="34"/>
      <c r="BP1002" s="34"/>
      <c r="BQ1002" s="34"/>
      <c r="BR1002" s="34"/>
      <c r="BS1002" s="34"/>
      <c r="BT1002" s="34"/>
      <c r="BU1002" s="34"/>
      <c r="BV1002" s="34"/>
      <c r="BW1002" s="34"/>
      <c r="BX1002" s="34"/>
      <c r="BY1002" s="34"/>
      <c r="BZ1002" s="34"/>
      <c r="CA1002" s="34"/>
      <c r="CB1002" s="34"/>
      <c r="CC1002" s="34"/>
      <c r="CD1002" s="34"/>
      <c r="CE1002" s="34"/>
      <c r="CF1002" s="34"/>
      <c r="CG1002" s="34"/>
      <c r="CH1002" s="34"/>
      <c r="CI1002" s="34"/>
      <c r="CJ1002" s="34"/>
      <c r="CK1002" s="34"/>
      <c r="CL1002" s="34"/>
      <c r="CM1002" s="34"/>
      <c r="CN1002" s="34"/>
      <c r="CO1002" s="34"/>
      <c r="CP1002" s="34"/>
      <c r="CQ1002" s="34"/>
      <c r="CR1002" s="34"/>
      <c r="CS1002" s="34"/>
      <c r="CT1002" s="34"/>
      <c r="CU1002" s="34"/>
      <c r="CV1002" s="34"/>
      <c r="CW1002" s="34"/>
      <c r="CX1002" s="34"/>
      <c r="CY1002" s="34"/>
      <c r="CZ1002" s="34"/>
      <c r="DA1002" s="34"/>
      <c r="DB1002" s="34"/>
      <c r="DC1002" s="34"/>
      <c r="DD1002" s="34"/>
      <c r="DE1002" s="34"/>
      <c r="DF1002" s="34"/>
      <c r="DG1002" s="34"/>
      <c r="DH1002" s="34"/>
      <c r="DI1002" s="34"/>
      <c r="DJ1002" s="34"/>
      <c r="DK1002" s="34"/>
      <c r="DL1002" s="34"/>
      <c r="DM1002" s="34"/>
      <c r="DN1002" s="34"/>
      <c r="DO1002" s="34"/>
      <c r="DP1002" s="34"/>
      <c r="DQ1002" s="34"/>
      <c r="DR1002" s="34"/>
      <c r="DS1002" s="34"/>
      <c r="DT1002" s="34"/>
      <c r="DU1002" s="34"/>
      <c r="DV1002" s="34"/>
      <c r="DW1002" s="34"/>
      <c r="DX1002" s="34"/>
      <c r="DY1002" s="34"/>
      <c r="DZ1002" s="34"/>
      <c r="EA1002" s="34"/>
    </row>
    <row r="1003" spans="1:131" ht="11.25">
      <c r="A1003" s="3" t="s">
        <v>3</v>
      </c>
      <c r="B1003" s="4"/>
      <c r="C1003" s="4"/>
      <c r="D1003" s="32"/>
      <c r="E1003" s="136"/>
      <c r="F1003" s="136"/>
      <c r="G1003" s="48"/>
      <c r="H1003" s="48"/>
      <c r="I1003" s="48"/>
      <c r="J1003" s="48"/>
      <c r="K1003" s="48"/>
      <c r="L1003" s="48"/>
      <c r="M1003" s="48"/>
      <c r="N1003" s="48"/>
      <c r="O1003" s="49"/>
      <c r="P1003" s="49"/>
      <c r="Q1003" s="14"/>
      <c r="R1003" s="34"/>
      <c r="S1003" s="34"/>
      <c r="T1003" s="34"/>
      <c r="U1003" s="34"/>
      <c r="V1003" s="34"/>
      <c r="W1003" s="34"/>
      <c r="X1003" s="34"/>
      <c r="Y1003" s="34"/>
      <c r="Z1003" s="34"/>
      <c r="AA1003" s="34"/>
      <c r="AB1003" s="34"/>
      <c r="AC1003" s="34"/>
      <c r="AD1003" s="34"/>
      <c r="AE1003" s="34"/>
      <c r="AF1003" s="34"/>
      <c r="AG1003" s="34"/>
      <c r="AH1003" s="34"/>
      <c r="AI1003" s="34"/>
      <c r="AJ1003" s="34"/>
      <c r="AK1003" s="34"/>
      <c r="AL1003" s="34"/>
      <c r="AM1003" s="34"/>
      <c r="AN1003" s="34"/>
      <c r="AO1003" s="34"/>
      <c r="AP1003" s="34"/>
      <c r="AQ1003" s="34"/>
      <c r="AR1003" s="34"/>
      <c r="AS1003" s="34"/>
      <c r="AT1003" s="34"/>
      <c r="AU1003" s="34"/>
      <c r="AV1003" s="34"/>
      <c r="AW1003" s="34"/>
      <c r="AX1003" s="34"/>
      <c r="AY1003" s="34"/>
      <c r="AZ1003" s="34"/>
      <c r="BA1003" s="34"/>
      <c r="BB1003" s="34"/>
      <c r="BC1003" s="34"/>
      <c r="BD1003" s="34"/>
      <c r="BE1003" s="34"/>
      <c r="BF1003" s="34"/>
      <c r="BG1003" s="34"/>
      <c r="BH1003" s="34"/>
      <c r="BI1003" s="34"/>
      <c r="BJ1003" s="34"/>
      <c r="BK1003" s="34"/>
      <c r="BL1003" s="34"/>
      <c r="BM1003" s="34"/>
      <c r="BN1003" s="34"/>
      <c r="BO1003" s="34"/>
      <c r="BP1003" s="34"/>
      <c r="BQ1003" s="34"/>
      <c r="BR1003" s="34"/>
      <c r="BS1003" s="34"/>
      <c r="BT1003" s="34"/>
      <c r="BU1003" s="34"/>
      <c r="BV1003" s="34"/>
      <c r="BW1003" s="34"/>
      <c r="BX1003" s="34"/>
      <c r="BY1003" s="34"/>
      <c r="BZ1003" s="34"/>
      <c r="CA1003" s="34"/>
      <c r="CB1003" s="34"/>
      <c r="CC1003" s="34"/>
      <c r="CD1003" s="34"/>
      <c r="CE1003" s="34"/>
      <c r="CF1003" s="34"/>
      <c r="CG1003" s="34"/>
      <c r="CH1003" s="34"/>
      <c r="CI1003" s="34"/>
      <c r="CJ1003" s="34"/>
      <c r="CK1003" s="34"/>
      <c r="CL1003" s="34"/>
      <c r="CM1003" s="34"/>
      <c r="CN1003" s="34"/>
      <c r="CO1003" s="34"/>
      <c r="CP1003" s="34"/>
      <c r="CQ1003" s="34"/>
      <c r="CR1003" s="34"/>
      <c r="CS1003" s="34"/>
      <c r="CT1003" s="34"/>
      <c r="CU1003" s="34"/>
      <c r="CV1003" s="34"/>
      <c r="CW1003" s="34"/>
      <c r="CX1003" s="34"/>
      <c r="CY1003" s="34"/>
      <c r="CZ1003" s="34"/>
      <c r="DA1003" s="34"/>
      <c r="DB1003" s="34"/>
      <c r="DC1003" s="34"/>
      <c r="DD1003" s="34"/>
      <c r="DE1003" s="34"/>
      <c r="DF1003" s="34"/>
      <c r="DG1003" s="34"/>
      <c r="DH1003" s="34"/>
      <c r="DI1003" s="34"/>
      <c r="DJ1003" s="34"/>
      <c r="DK1003" s="34"/>
      <c r="DL1003" s="34"/>
      <c r="DM1003" s="34"/>
      <c r="DN1003" s="34"/>
      <c r="DO1003" s="34"/>
      <c r="DP1003" s="34"/>
      <c r="DQ1003" s="34"/>
      <c r="DR1003" s="34"/>
      <c r="DS1003" s="34"/>
      <c r="DT1003" s="34"/>
      <c r="DU1003" s="34"/>
      <c r="DV1003" s="34"/>
      <c r="DW1003" s="34"/>
      <c r="DX1003" s="34"/>
      <c r="DY1003" s="34"/>
      <c r="DZ1003" s="34"/>
      <c r="EA1003" s="34"/>
    </row>
    <row r="1004" spans="1:131" ht="11.25">
      <c r="A1004" s="6" t="s">
        <v>569</v>
      </c>
      <c r="B1004" s="4"/>
      <c r="C1004" s="4"/>
      <c r="D1004" s="32"/>
      <c r="E1004" s="173" t="s">
        <v>568</v>
      </c>
      <c r="F1004" s="160" t="str">
        <f>E1004</f>
        <v>2</v>
      </c>
      <c r="G1004" s="48"/>
      <c r="H1004" s="48"/>
      <c r="I1004" s="48"/>
      <c r="J1004" s="48"/>
      <c r="K1004" s="48"/>
      <c r="L1004" s="48"/>
      <c r="M1004" s="48"/>
      <c r="N1004" s="48"/>
      <c r="O1004" s="49"/>
      <c r="P1004" s="49"/>
      <c r="Q1004" s="14"/>
      <c r="R1004" s="34"/>
      <c r="S1004" s="34"/>
      <c r="T1004" s="34"/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34"/>
      <c r="AF1004" s="34"/>
      <c r="AG1004" s="34"/>
      <c r="AH1004" s="34"/>
      <c r="AI1004" s="34"/>
      <c r="AJ1004" s="34"/>
      <c r="AK1004" s="34"/>
      <c r="AL1004" s="34"/>
      <c r="AM1004" s="34"/>
      <c r="AN1004" s="34"/>
      <c r="AO1004" s="34"/>
      <c r="AP1004" s="34"/>
      <c r="AQ1004" s="34"/>
      <c r="AR1004" s="34"/>
      <c r="AS1004" s="34"/>
      <c r="AT1004" s="34"/>
      <c r="AU1004" s="34"/>
      <c r="AV1004" s="34"/>
      <c r="AW1004" s="34"/>
      <c r="AX1004" s="34"/>
      <c r="AY1004" s="34"/>
      <c r="AZ1004" s="34"/>
      <c r="BA1004" s="34"/>
      <c r="BB1004" s="34"/>
      <c r="BC1004" s="34"/>
      <c r="BD1004" s="34"/>
      <c r="BE1004" s="34"/>
      <c r="BF1004" s="34"/>
      <c r="BG1004" s="34"/>
      <c r="BH1004" s="34"/>
      <c r="BI1004" s="34"/>
      <c r="BJ1004" s="34"/>
      <c r="BK1004" s="34"/>
      <c r="BL1004" s="34"/>
      <c r="BM1004" s="34"/>
      <c r="BN1004" s="34"/>
      <c r="BO1004" s="34"/>
      <c r="BP1004" s="34"/>
      <c r="BQ1004" s="34"/>
      <c r="BR1004" s="34"/>
      <c r="BS1004" s="34"/>
      <c r="BT1004" s="34"/>
      <c r="BU1004" s="34"/>
      <c r="BV1004" s="34"/>
      <c r="BW1004" s="34"/>
      <c r="BX1004" s="34"/>
      <c r="BY1004" s="34"/>
      <c r="BZ1004" s="34"/>
      <c r="CA1004" s="34"/>
      <c r="CB1004" s="34"/>
      <c r="CC1004" s="34"/>
      <c r="CD1004" s="34"/>
      <c r="CE1004" s="34"/>
      <c r="CF1004" s="34"/>
      <c r="CG1004" s="34"/>
      <c r="CH1004" s="34"/>
      <c r="CI1004" s="34"/>
      <c r="CJ1004" s="34"/>
      <c r="CK1004" s="34"/>
      <c r="CL1004" s="34"/>
      <c r="CM1004" s="34"/>
      <c r="CN1004" s="34"/>
      <c r="CO1004" s="34"/>
      <c r="CP1004" s="34"/>
      <c r="CQ1004" s="34"/>
      <c r="CR1004" s="34"/>
      <c r="CS1004" s="34"/>
      <c r="CT1004" s="34"/>
      <c r="CU1004" s="34"/>
      <c r="CV1004" s="34"/>
      <c r="CW1004" s="34"/>
      <c r="CX1004" s="34"/>
      <c r="CY1004" s="34"/>
      <c r="CZ1004" s="34"/>
      <c r="DA1004" s="34"/>
      <c r="DB1004" s="34"/>
      <c r="DC1004" s="34"/>
      <c r="DD1004" s="34"/>
      <c r="DE1004" s="34"/>
      <c r="DF1004" s="34"/>
      <c r="DG1004" s="34"/>
      <c r="DH1004" s="34"/>
      <c r="DI1004" s="34"/>
      <c r="DJ1004" s="34"/>
      <c r="DK1004" s="34"/>
      <c r="DL1004" s="34"/>
      <c r="DM1004" s="34"/>
      <c r="DN1004" s="34"/>
      <c r="DO1004" s="34"/>
      <c r="DP1004" s="34"/>
      <c r="DQ1004" s="34"/>
      <c r="DR1004" s="34"/>
      <c r="DS1004" s="34"/>
      <c r="DT1004" s="34"/>
      <c r="DU1004" s="34"/>
      <c r="DV1004" s="34"/>
      <c r="DW1004" s="34"/>
      <c r="DX1004" s="34"/>
      <c r="DY1004" s="34"/>
      <c r="DZ1004" s="34"/>
      <c r="EA1004" s="34"/>
    </row>
    <row r="1005" spans="1:131" ht="11.25">
      <c r="A1005" s="22" t="s">
        <v>5</v>
      </c>
      <c r="B1005" s="4"/>
      <c r="C1005" s="4"/>
      <c r="D1005" s="32"/>
      <c r="E1005" s="139"/>
      <c r="F1005" s="139"/>
      <c r="G1005" s="48"/>
      <c r="H1005" s="48"/>
      <c r="I1005" s="48"/>
      <c r="J1005" s="48"/>
      <c r="K1005" s="48"/>
      <c r="L1005" s="48"/>
      <c r="M1005" s="48"/>
      <c r="N1005" s="48"/>
      <c r="O1005" s="49"/>
      <c r="P1005" s="49"/>
      <c r="Q1005" s="14"/>
      <c r="R1005" s="34"/>
      <c r="S1005" s="34"/>
      <c r="T1005" s="34"/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F1005" s="34"/>
      <c r="AG1005" s="34"/>
      <c r="AH1005" s="34"/>
      <c r="AI1005" s="34"/>
      <c r="AJ1005" s="34"/>
      <c r="AK1005" s="34"/>
      <c r="AL1005" s="34"/>
      <c r="AM1005" s="34"/>
      <c r="AN1005" s="34"/>
      <c r="AO1005" s="34"/>
      <c r="AP1005" s="34"/>
      <c r="AQ1005" s="34"/>
      <c r="AR1005" s="34"/>
      <c r="AS1005" s="34"/>
      <c r="AT1005" s="34"/>
      <c r="AU1005" s="34"/>
      <c r="AV1005" s="34"/>
      <c r="AW1005" s="34"/>
      <c r="AX1005" s="34"/>
      <c r="AY1005" s="34"/>
      <c r="AZ1005" s="34"/>
      <c r="BA1005" s="34"/>
      <c r="BB1005" s="34"/>
      <c r="BC1005" s="34"/>
      <c r="BD1005" s="34"/>
      <c r="BE1005" s="34"/>
      <c r="BF1005" s="34"/>
      <c r="BG1005" s="34"/>
      <c r="BH1005" s="34"/>
      <c r="BI1005" s="34"/>
      <c r="BJ1005" s="34"/>
      <c r="BK1005" s="34"/>
      <c r="BL1005" s="34"/>
      <c r="BM1005" s="34"/>
      <c r="BN1005" s="34"/>
      <c r="BO1005" s="34"/>
      <c r="BP1005" s="34"/>
      <c r="BQ1005" s="34"/>
      <c r="BR1005" s="34"/>
      <c r="BS1005" s="34"/>
      <c r="BT1005" s="34"/>
      <c r="BU1005" s="34"/>
      <c r="BV1005" s="34"/>
      <c r="BW1005" s="34"/>
      <c r="BX1005" s="34"/>
      <c r="BY1005" s="34"/>
      <c r="BZ1005" s="34"/>
      <c r="CA1005" s="34"/>
      <c r="CB1005" s="34"/>
      <c r="CC1005" s="34"/>
      <c r="CD1005" s="34"/>
      <c r="CE1005" s="34"/>
      <c r="CF1005" s="34"/>
      <c r="CG1005" s="34"/>
      <c r="CH1005" s="34"/>
      <c r="CI1005" s="34"/>
      <c r="CJ1005" s="34"/>
      <c r="CK1005" s="34"/>
      <c r="CL1005" s="34"/>
      <c r="CM1005" s="34"/>
      <c r="CN1005" s="34"/>
      <c r="CO1005" s="34"/>
      <c r="CP1005" s="34"/>
      <c r="CQ1005" s="34"/>
      <c r="CR1005" s="34"/>
      <c r="CS1005" s="34"/>
      <c r="CT1005" s="34"/>
      <c r="CU1005" s="34"/>
      <c r="CV1005" s="34"/>
      <c r="CW1005" s="34"/>
      <c r="CX1005" s="34"/>
      <c r="CY1005" s="34"/>
      <c r="CZ1005" s="34"/>
      <c r="DA1005" s="34"/>
      <c r="DB1005" s="34"/>
      <c r="DC1005" s="34"/>
      <c r="DD1005" s="34"/>
      <c r="DE1005" s="34"/>
      <c r="DF1005" s="34"/>
      <c r="DG1005" s="34"/>
      <c r="DH1005" s="34"/>
      <c r="DI1005" s="34"/>
      <c r="DJ1005" s="34"/>
      <c r="DK1005" s="34"/>
      <c r="DL1005" s="34"/>
      <c r="DM1005" s="34"/>
      <c r="DN1005" s="34"/>
      <c r="DO1005" s="34"/>
      <c r="DP1005" s="34"/>
      <c r="DQ1005" s="34"/>
      <c r="DR1005" s="34"/>
      <c r="DS1005" s="34"/>
      <c r="DT1005" s="34"/>
      <c r="DU1005" s="34"/>
      <c r="DV1005" s="34"/>
      <c r="DW1005" s="34"/>
      <c r="DX1005" s="34"/>
      <c r="DY1005" s="34"/>
      <c r="DZ1005" s="34"/>
      <c r="EA1005" s="34"/>
    </row>
    <row r="1006" spans="1:131" ht="22.5">
      <c r="A1006" s="28" t="s">
        <v>570</v>
      </c>
      <c r="B1006" s="4"/>
      <c r="C1006" s="4"/>
      <c r="D1006" s="136"/>
      <c r="E1006" s="136">
        <f>E1002/E1004</f>
        <v>97395980.5</v>
      </c>
      <c r="F1006" s="136">
        <f>D1006+E1006</f>
        <v>97395980.5</v>
      </c>
      <c r="G1006" s="48"/>
      <c r="H1006" s="48"/>
      <c r="I1006" s="48"/>
      <c r="J1006" s="48"/>
      <c r="K1006" s="48"/>
      <c r="L1006" s="48"/>
      <c r="M1006" s="48"/>
      <c r="N1006" s="48"/>
      <c r="O1006" s="49"/>
      <c r="P1006" s="49"/>
      <c r="Q1006" s="14"/>
      <c r="R1006" s="34"/>
      <c r="S1006" s="34"/>
      <c r="T1006" s="34"/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F1006" s="34"/>
      <c r="AG1006" s="34"/>
      <c r="AH1006" s="34"/>
      <c r="AI1006" s="34"/>
      <c r="AJ1006" s="34"/>
      <c r="AK1006" s="34"/>
      <c r="AL1006" s="34"/>
      <c r="AM1006" s="34"/>
      <c r="AN1006" s="34"/>
      <c r="AO1006" s="34"/>
      <c r="AP1006" s="34"/>
      <c r="AQ1006" s="34"/>
      <c r="AR1006" s="34"/>
      <c r="AS1006" s="34"/>
      <c r="AT1006" s="34"/>
      <c r="AU1006" s="34"/>
      <c r="AV1006" s="34"/>
      <c r="AW1006" s="34"/>
      <c r="AX1006" s="34"/>
      <c r="AY1006" s="34"/>
      <c r="AZ1006" s="34"/>
      <c r="BA1006" s="34"/>
      <c r="BB1006" s="34"/>
      <c r="BC1006" s="34"/>
      <c r="BD1006" s="34"/>
      <c r="BE1006" s="34"/>
      <c r="BF1006" s="34"/>
      <c r="BG1006" s="34"/>
      <c r="BH1006" s="34"/>
      <c r="BI1006" s="34"/>
      <c r="BJ1006" s="34"/>
      <c r="BK1006" s="34"/>
      <c r="BL1006" s="34"/>
      <c r="BM1006" s="34"/>
      <c r="BN1006" s="34"/>
      <c r="BO1006" s="34"/>
      <c r="BP1006" s="34"/>
      <c r="BQ1006" s="34"/>
      <c r="BR1006" s="34"/>
      <c r="BS1006" s="34"/>
      <c r="BT1006" s="34"/>
      <c r="BU1006" s="34"/>
      <c r="BV1006" s="34"/>
      <c r="BW1006" s="34"/>
      <c r="BX1006" s="34"/>
      <c r="BY1006" s="34"/>
      <c r="BZ1006" s="34"/>
      <c r="CA1006" s="34"/>
      <c r="CB1006" s="34"/>
      <c r="CC1006" s="34"/>
      <c r="CD1006" s="34"/>
      <c r="CE1006" s="34"/>
      <c r="CF1006" s="34"/>
      <c r="CG1006" s="34"/>
      <c r="CH1006" s="34"/>
      <c r="CI1006" s="34"/>
      <c r="CJ1006" s="34"/>
      <c r="CK1006" s="34"/>
      <c r="CL1006" s="34"/>
      <c r="CM1006" s="34"/>
      <c r="CN1006" s="34"/>
      <c r="CO1006" s="34"/>
      <c r="CP1006" s="34"/>
      <c r="CQ1006" s="34"/>
      <c r="CR1006" s="34"/>
      <c r="CS1006" s="34"/>
      <c r="CT1006" s="34"/>
      <c r="CU1006" s="34"/>
      <c r="CV1006" s="34"/>
      <c r="CW1006" s="34"/>
      <c r="CX1006" s="34"/>
      <c r="CY1006" s="34"/>
      <c r="CZ1006" s="34"/>
      <c r="DA1006" s="34"/>
      <c r="DB1006" s="34"/>
      <c r="DC1006" s="34"/>
      <c r="DD1006" s="34"/>
      <c r="DE1006" s="34"/>
      <c r="DF1006" s="34"/>
      <c r="DG1006" s="34"/>
      <c r="DH1006" s="34"/>
      <c r="DI1006" s="34"/>
      <c r="DJ1006" s="34"/>
      <c r="DK1006" s="34"/>
      <c r="DL1006" s="34"/>
      <c r="DM1006" s="34"/>
      <c r="DN1006" s="34"/>
      <c r="DO1006" s="34"/>
      <c r="DP1006" s="34"/>
      <c r="DQ1006" s="34"/>
      <c r="DR1006" s="34"/>
      <c r="DS1006" s="34"/>
      <c r="DT1006" s="34"/>
      <c r="DU1006" s="34"/>
      <c r="DV1006" s="34"/>
      <c r="DW1006" s="34"/>
      <c r="DX1006" s="34"/>
      <c r="DY1006" s="34"/>
      <c r="DZ1006" s="34"/>
      <c r="EA1006" s="34"/>
    </row>
    <row r="1007" spans="1:131" ht="8.25" customHeight="1">
      <c r="A1007" s="303"/>
      <c r="B1007" s="303"/>
      <c r="C1007" s="303"/>
      <c r="D1007" s="304"/>
      <c r="E1007" s="304"/>
      <c r="F1007" s="305"/>
      <c r="G1007" s="306"/>
      <c r="H1007" s="306"/>
      <c r="I1007" s="306"/>
      <c r="J1007" s="307"/>
      <c r="K1007" s="307"/>
      <c r="L1007" s="307"/>
      <c r="M1007" s="307"/>
      <c r="N1007" s="306"/>
      <c r="O1007" s="308"/>
      <c r="P1007" s="308"/>
      <c r="Q1007" s="34"/>
      <c r="R1007" s="34"/>
      <c r="S1007" s="34"/>
      <c r="T1007" s="34"/>
      <c r="U1007" s="34"/>
      <c r="V1007" s="34"/>
      <c r="W1007" s="34"/>
      <c r="X1007" s="34"/>
      <c r="Y1007" s="34"/>
      <c r="Z1007" s="34"/>
      <c r="AA1007" s="34"/>
      <c r="AB1007" s="34"/>
      <c r="AC1007" s="34"/>
      <c r="AD1007" s="34"/>
      <c r="AE1007" s="34"/>
      <c r="AF1007" s="34"/>
      <c r="AG1007" s="34"/>
      <c r="AH1007" s="34"/>
      <c r="AI1007" s="34"/>
      <c r="AJ1007" s="34"/>
      <c r="AK1007" s="34"/>
      <c r="AL1007" s="34"/>
      <c r="AM1007" s="34"/>
      <c r="AN1007" s="34"/>
      <c r="AO1007" s="34"/>
      <c r="AP1007" s="34"/>
      <c r="AQ1007" s="34"/>
      <c r="AR1007" s="34"/>
      <c r="AS1007" s="34"/>
      <c r="AT1007" s="34"/>
      <c r="AU1007" s="34"/>
      <c r="AV1007" s="34"/>
      <c r="AW1007" s="34"/>
      <c r="AX1007" s="34"/>
      <c r="AY1007" s="34"/>
      <c r="AZ1007" s="34"/>
      <c r="BA1007" s="34"/>
      <c r="BB1007" s="34"/>
      <c r="BC1007" s="34"/>
      <c r="BD1007" s="34"/>
      <c r="BE1007" s="34"/>
      <c r="BF1007" s="34"/>
      <c r="BG1007" s="34"/>
      <c r="BH1007" s="34"/>
      <c r="BI1007" s="34"/>
      <c r="BJ1007" s="34"/>
      <c r="BK1007" s="34"/>
      <c r="BL1007" s="34"/>
      <c r="BM1007" s="34"/>
      <c r="BN1007" s="34"/>
      <c r="BO1007" s="34"/>
      <c r="BP1007" s="34"/>
      <c r="BQ1007" s="34"/>
      <c r="BR1007" s="34"/>
      <c r="BS1007" s="34"/>
      <c r="BT1007" s="34"/>
      <c r="BU1007" s="34"/>
      <c r="BV1007" s="34"/>
      <c r="BW1007" s="34"/>
      <c r="BX1007" s="34"/>
      <c r="BY1007" s="34"/>
      <c r="BZ1007" s="34"/>
      <c r="CA1007" s="34"/>
      <c r="CB1007" s="34"/>
      <c r="CC1007" s="34"/>
      <c r="CD1007" s="34"/>
      <c r="CE1007" s="34"/>
      <c r="CF1007" s="34"/>
      <c r="CG1007" s="34"/>
      <c r="CH1007" s="34"/>
      <c r="CI1007" s="34"/>
      <c r="CJ1007" s="34"/>
      <c r="CK1007" s="34"/>
      <c r="CL1007" s="34"/>
      <c r="CM1007" s="34"/>
      <c r="CN1007" s="34"/>
      <c r="CO1007" s="34"/>
      <c r="CP1007" s="34"/>
      <c r="CQ1007" s="34"/>
      <c r="CR1007" s="34"/>
      <c r="CS1007" s="34"/>
      <c r="CT1007" s="34"/>
      <c r="CU1007" s="34"/>
      <c r="CV1007" s="34"/>
      <c r="CW1007" s="34"/>
      <c r="CX1007" s="34"/>
      <c r="CY1007" s="34"/>
      <c r="CZ1007" s="34"/>
      <c r="DA1007" s="34"/>
      <c r="DB1007" s="34"/>
      <c r="DC1007" s="34"/>
      <c r="DD1007" s="34"/>
      <c r="DE1007" s="34"/>
      <c r="DF1007" s="34"/>
      <c r="DG1007" s="34"/>
      <c r="DH1007" s="34"/>
      <c r="DI1007" s="34"/>
      <c r="DJ1007" s="34"/>
      <c r="DK1007" s="34"/>
      <c r="DL1007" s="34"/>
      <c r="DM1007" s="34"/>
      <c r="DN1007" s="34"/>
      <c r="DO1007" s="34"/>
      <c r="DP1007" s="34"/>
      <c r="DQ1007" s="34"/>
      <c r="DR1007" s="34"/>
      <c r="DS1007" s="34"/>
      <c r="DT1007" s="34"/>
      <c r="DU1007" s="34"/>
      <c r="DV1007" s="34"/>
      <c r="DW1007" s="34"/>
      <c r="DX1007" s="34"/>
      <c r="DY1007" s="34"/>
      <c r="DZ1007" s="34"/>
      <c r="EA1007" s="34"/>
    </row>
    <row r="1008" spans="1:131" ht="31.5" customHeight="1">
      <c r="A1008" s="280" t="s">
        <v>183</v>
      </c>
      <c r="B1008" s="280"/>
      <c r="C1008" s="280"/>
      <c r="D1008" s="280"/>
      <c r="E1008" s="51"/>
      <c r="F1008" s="52"/>
      <c r="G1008" s="53"/>
      <c r="H1008" s="53"/>
      <c r="I1008" s="53"/>
      <c r="J1008" s="54"/>
      <c r="K1008" s="54"/>
      <c r="L1008" s="54"/>
      <c r="M1008" s="54"/>
      <c r="N1008" s="53"/>
      <c r="O1008" s="279" t="s">
        <v>553</v>
      </c>
      <c r="P1008" s="279"/>
      <c r="Q1008" s="272"/>
      <c r="R1008" s="273"/>
      <c r="S1008" s="273"/>
      <c r="T1008" s="34"/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  <c r="AF1008" s="34"/>
      <c r="AG1008" s="34"/>
      <c r="AH1008" s="34"/>
      <c r="AI1008" s="34"/>
      <c r="AJ1008" s="34"/>
      <c r="AK1008" s="34"/>
      <c r="AL1008" s="34"/>
      <c r="AM1008" s="34"/>
      <c r="AN1008" s="34"/>
      <c r="AO1008" s="34"/>
      <c r="AP1008" s="34"/>
      <c r="AQ1008" s="34"/>
      <c r="AR1008" s="34"/>
      <c r="AS1008" s="34"/>
      <c r="AT1008" s="34"/>
      <c r="AU1008" s="34"/>
      <c r="AV1008" s="34"/>
      <c r="AW1008" s="34"/>
      <c r="AX1008" s="34"/>
      <c r="AY1008" s="34"/>
      <c r="AZ1008" s="34"/>
      <c r="BA1008" s="34"/>
      <c r="BB1008" s="34"/>
      <c r="BC1008" s="34"/>
      <c r="BD1008" s="34"/>
      <c r="BE1008" s="34"/>
      <c r="BF1008" s="34"/>
      <c r="BG1008" s="34"/>
      <c r="BH1008" s="34"/>
      <c r="BI1008" s="34"/>
      <c r="BJ1008" s="34"/>
      <c r="BK1008" s="34"/>
      <c r="BL1008" s="34"/>
      <c r="BM1008" s="34"/>
      <c r="BN1008" s="34"/>
      <c r="BO1008" s="34"/>
      <c r="BP1008" s="34"/>
      <c r="BQ1008" s="34"/>
      <c r="BR1008" s="34"/>
      <c r="BS1008" s="34"/>
      <c r="BT1008" s="34"/>
      <c r="BU1008" s="34"/>
      <c r="BV1008" s="34"/>
      <c r="BW1008" s="34"/>
      <c r="BX1008" s="34"/>
      <c r="BY1008" s="34"/>
      <c r="BZ1008" s="34"/>
      <c r="CA1008" s="34"/>
      <c r="CB1008" s="34"/>
      <c r="CC1008" s="34"/>
      <c r="CD1008" s="34"/>
      <c r="CE1008" s="34"/>
      <c r="CF1008" s="34"/>
      <c r="CG1008" s="34"/>
      <c r="CH1008" s="34"/>
      <c r="CI1008" s="34"/>
      <c r="CJ1008" s="34"/>
      <c r="CK1008" s="34"/>
      <c r="CL1008" s="34"/>
      <c r="CM1008" s="34"/>
      <c r="CN1008" s="34"/>
      <c r="CO1008" s="34"/>
      <c r="CP1008" s="34"/>
      <c r="CQ1008" s="34"/>
      <c r="CR1008" s="34"/>
      <c r="CS1008" s="34"/>
      <c r="CT1008" s="34"/>
      <c r="CU1008" s="34"/>
      <c r="CV1008" s="34"/>
      <c r="CW1008" s="34"/>
      <c r="CX1008" s="34"/>
      <c r="CY1008" s="34"/>
      <c r="CZ1008" s="34"/>
      <c r="DA1008" s="34"/>
      <c r="DB1008" s="34"/>
      <c r="DC1008" s="34"/>
      <c r="DD1008" s="34"/>
      <c r="DE1008" s="34"/>
      <c r="DF1008" s="34"/>
      <c r="DG1008" s="34"/>
      <c r="DH1008" s="34"/>
      <c r="DI1008" s="34"/>
      <c r="DJ1008" s="34"/>
      <c r="DK1008" s="34"/>
      <c r="DL1008" s="34"/>
      <c r="DM1008" s="34"/>
      <c r="DN1008" s="34"/>
      <c r="DO1008" s="34"/>
      <c r="DP1008" s="34"/>
      <c r="DQ1008" s="34"/>
      <c r="DR1008" s="34"/>
      <c r="DS1008" s="34"/>
      <c r="DT1008" s="34"/>
      <c r="DU1008" s="34"/>
      <c r="DV1008" s="34"/>
      <c r="DW1008" s="34"/>
      <c r="DX1008" s="34"/>
      <c r="DY1008" s="34"/>
      <c r="DZ1008" s="34"/>
      <c r="EA1008" s="34"/>
    </row>
    <row r="1009" spans="1:131" ht="18.75" customHeight="1">
      <c r="A1009" s="297" t="s">
        <v>552</v>
      </c>
      <c r="B1009" s="297"/>
      <c r="C1009" s="55"/>
      <c r="D1009" s="56"/>
      <c r="E1009" s="51"/>
      <c r="F1009" s="53"/>
      <c r="G1009" s="51"/>
      <c r="H1009" s="51"/>
      <c r="I1009" s="51"/>
      <c r="J1009" s="57"/>
      <c r="K1009" s="57"/>
      <c r="L1009" s="57"/>
      <c r="M1009" s="57"/>
      <c r="N1009" s="57"/>
      <c r="O1009" s="57"/>
      <c r="P1009" s="57"/>
      <c r="Q1009" s="58"/>
      <c r="R1009" s="34"/>
      <c r="S1009" s="34"/>
      <c r="T1009" s="34"/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34"/>
      <c r="AF1009" s="34"/>
      <c r="AG1009" s="34"/>
      <c r="AH1009" s="34"/>
      <c r="AI1009" s="34"/>
      <c r="AJ1009" s="34"/>
      <c r="AK1009" s="34"/>
      <c r="AL1009" s="34"/>
      <c r="AM1009" s="34"/>
      <c r="AN1009" s="34"/>
      <c r="AO1009" s="34"/>
      <c r="AP1009" s="34"/>
      <c r="AQ1009" s="34"/>
      <c r="AR1009" s="34"/>
      <c r="AS1009" s="34"/>
      <c r="AT1009" s="34"/>
      <c r="AU1009" s="34"/>
      <c r="AV1009" s="34"/>
      <c r="AW1009" s="34"/>
      <c r="AX1009" s="34"/>
      <c r="AY1009" s="34"/>
      <c r="AZ1009" s="34"/>
      <c r="BA1009" s="34"/>
      <c r="BB1009" s="34"/>
      <c r="BC1009" s="34"/>
      <c r="BD1009" s="34"/>
      <c r="BE1009" s="34"/>
      <c r="BF1009" s="34"/>
      <c r="BG1009" s="34"/>
      <c r="BH1009" s="34"/>
      <c r="BI1009" s="34"/>
      <c r="BJ1009" s="34"/>
      <c r="BK1009" s="34"/>
      <c r="BL1009" s="34"/>
      <c r="BM1009" s="34"/>
      <c r="BN1009" s="34"/>
      <c r="BO1009" s="34"/>
      <c r="BP1009" s="34"/>
      <c r="BQ1009" s="34"/>
      <c r="BR1009" s="34"/>
      <c r="BS1009" s="34"/>
      <c r="BT1009" s="34"/>
      <c r="BU1009" s="34"/>
      <c r="BV1009" s="34"/>
      <c r="BW1009" s="34"/>
      <c r="BX1009" s="34"/>
      <c r="BY1009" s="34"/>
      <c r="BZ1009" s="34"/>
      <c r="CA1009" s="34"/>
      <c r="CB1009" s="34"/>
      <c r="CC1009" s="34"/>
      <c r="CD1009" s="34"/>
      <c r="CE1009" s="34"/>
      <c r="CF1009" s="34"/>
      <c r="CG1009" s="34"/>
      <c r="CH1009" s="34"/>
      <c r="CI1009" s="34"/>
      <c r="CJ1009" s="34"/>
      <c r="CK1009" s="34"/>
      <c r="CL1009" s="34"/>
      <c r="CM1009" s="34"/>
      <c r="CN1009" s="34"/>
      <c r="CO1009" s="34"/>
      <c r="CP1009" s="34"/>
      <c r="CQ1009" s="34"/>
      <c r="CR1009" s="34"/>
      <c r="CS1009" s="34"/>
      <c r="CT1009" s="34"/>
      <c r="CU1009" s="34"/>
      <c r="CV1009" s="34"/>
      <c r="CW1009" s="34"/>
      <c r="CX1009" s="34"/>
      <c r="CY1009" s="34"/>
      <c r="CZ1009" s="34"/>
      <c r="DA1009" s="34"/>
      <c r="DB1009" s="34"/>
      <c r="DC1009" s="34"/>
      <c r="DD1009" s="34"/>
      <c r="DE1009" s="34"/>
      <c r="DF1009" s="34"/>
      <c r="DG1009" s="34"/>
      <c r="DH1009" s="34"/>
      <c r="DI1009" s="34"/>
      <c r="DJ1009" s="34"/>
      <c r="DK1009" s="34"/>
      <c r="DL1009" s="34"/>
      <c r="DM1009" s="34"/>
      <c r="DN1009" s="34"/>
      <c r="DO1009" s="34"/>
      <c r="DP1009" s="34"/>
      <c r="DQ1009" s="34"/>
      <c r="DR1009" s="34"/>
      <c r="DS1009" s="34"/>
      <c r="DT1009" s="34"/>
      <c r="DU1009" s="34"/>
      <c r="DV1009" s="34"/>
      <c r="DW1009" s="34"/>
      <c r="DX1009" s="34"/>
      <c r="DY1009" s="34"/>
      <c r="DZ1009" s="34"/>
      <c r="EA1009" s="34"/>
    </row>
    <row r="1010" spans="1:131" ht="0.75" customHeight="1">
      <c r="A1010" s="17" t="s">
        <v>75</v>
      </c>
      <c r="B1010" s="17"/>
      <c r="C1010" s="59"/>
      <c r="D1010" s="53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34"/>
      <c r="R1010" s="34"/>
      <c r="S1010" s="34"/>
      <c r="T1010" s="34"/>
      <c r="U1010" s="34"/>
      <c r="V1010" s="34"/>
      <c r="W1010" s="34"/>
      <c r="X1010" s="34"/>
      <c r="Y1010" s="34"/>
      <c r="Z1010" s="34"/>
      <c r="AA1010" s="34"/>
      <c r="AB1010" s="34"/>
      <c r="AC1010" s="34"/>
      <c r="AD1010" s="34"/>
      <c r="AE1010" s="34"/>
      <c r="AF1010" s="34"/>
      <c r="AG1010" s="34"/>
      <c r="AH1010" s="34"/>
      <c r="AI1010" s="34"/>
      <c r="AJ1010" s="34"/>
      <c r="AK1010" s="34"/>
      <c r="AL1010" s="34"/>
      <c r="AM1010" s="34"/>
      <c r="AN1010" s="34"/>
      <c r="AO1010" s="34"/>
      <c r="AP1010" s="34"/>
      <c r="AQ1010" s="34"/>
      <c r="AR1010" s="34"/>
      <c r="AS1010" s="34"/>
      <c r="AT1010" s="34"/>
      <c r="AU1010" s="34"/>
      <c r="AV1010" s="34"/>
      <c r="AW1010" s="34"/>
      <c r="AX1010" s="34"/>
      <c r="AY1010" s="34"/>
      <c r="AZ1010" s="34"/>
      <c r="BA1010" s="34"/>
      <c r="BB1010" s="34"/>
      <c r="BC1010" s="34"/>
      <c r="BD1010" s="34"/>
      <c r="BE1010" s="34"/>
      <c r="BF1010" s="34"/>
      <c r="BG1010" s="34"/>
      <c r="BH1010" s="34"/>
      <c r="BI1010" s="34"/>
      <c r="BJ1010" s="34"/>
      <c r="BK1010" s="34"/>
      <c r="BL1010" s="34"/>
      <c r="BM1010" s="34"/>
      <c r="BN1010" s="34"/>
      <c r="BO1010" s="34"/>
      <c r="BP1010" s="34"/>
      <c r="BQ1010" s="34"/>
      <c r="BR1010" s="34"/>
      <c r="BS1010" s="34"/>
      <c r="BT1010" s="34"/>
      <c r="BU1010" s="34"/>
      <c r="BV1010" s="34"/>
      <c r="BW1010" s="34"/>
      <c r="BX1010" s="34"/>
      <c r="BY1010" s="34"/>
      <c r="BZ1010" s="34"/>
      <c r="CA1010" s="34"/>
      <c r="CB1010" s="34"/>
      <c r="CC1010" s="34"/>
      <c r="CD1010" s="34"/>
      <c r="CE1010" s="34"/>
      <c r="CF1010" s="34"/>
      <c r="CG1010" s="34"/>
      <c r="CH1010" s="34"/>
      <c r="CI1010" s="34"/>
      <c r="CJ1010" s="34"/>
      <c r="CK1010" s="34"/>
      <c r="CL1010" s="34"/>
      <c r="CM1010" s="34"/>
      <c r="CN1010" s="34"/>
      <c r="CO1010" s="34"/>
      <c r="CP1010" s="34"/>
      <c r="CQ1010" s="34"/>
      <c r="CR1010" s="34"/>
      <c r="CS1010" s="34"/>
      <c r="CT1010" s="34"/>
      <c r="CU1010" s="34"/>
      <c r="CV1010" s="34"/>
      <c r="CW1010" s="34"/>
      <c r="CX1010" s="34"/>
      <c r="CY1010" s="34"/>
      <c r="CZ1010" s="34"/>
      <c r="DA1010" s="34"/>
      <c r="DB1010" s="34"/>
      <c r="DC1010" s="34"/>
      <c r="DD1010" s="34"/>
      <c r="DE1010" s="34"/>
      <c r="DF1010" s="34"/>
      <c r="DG1010" s="34"/>
      <c r="DH1010" s="34"/>
      <c r="DI1010" s="34"/>
      <c r="DJ1010" s="34"/>
      <c r="DK1010" s="34"/>
      <c r="DL1010" s="34"/>
      <c r="DM1010" s="34"/>
      <c r="DN1010" s="34"/>
      <c r="DO1010" s="34"/>
      <c r="DP1010" s="34"/>
      <c r="DQ1010" s="34"/>
      <c r="DR1010" s="34"/>
      <c r="DS1010" s="34"/>
      <c r="DT1010" s="34"/>
      <c r="DU1010" s="34"/>
      <c r="DV1010" s="34"/>
      <c r="DW1010" s="34"/>
      <c r="DX1010" s="34"/>
      <c r="DY1010" s="34"/>
      <c r="DZ1010" s="34"/>
      <c r="EA1010" s="34"/>
    </row>
    <row r="1011" spans="1:131" ht="28.5" customHeight="1">
      <c r="A1011" s="60"/>
      <c r="B1011" s="61"/>
      <c r="C1011" s="62"/>
      <c r="D1011" s="63"/>
      <c r="E1011" s="6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34"/>
      <c r="R1011" s="34"/>
      <c r="S1011" s="34"/>
      <c r="T1011" s="34"/>
      <c r="U1011" s="34"/>
      <c r="V1011" s="34"/>
      <c r="W1011" s="34"/>
      <c r="X1011" s="34"/>
      <c r="Y1011" s="34"/>
      <c r="Z1011" s="34"/>
      <c r="AA1011" s="34"/>
      <c r="AB1011" s="34"/>
      <c r="AC1011" s="34"/>
      <c r="AD1011" s="34"/>
      <c r="AE1011" s="34"/>
      <c r="AF1011" s="34"/>
      <c r="AG1011" s="34"/>
      <c r="AH1011" s="34"/>
      <c r="AI1011" s="34"/>
      <c r="AJ1011" s="34"/>
      <c r="AK1011" s="34"/>
      <c r="AL1011" s="34"/>
      <c r="AM1011" s="34"/>
      <c r="AN1011" s="34"/>
      <c r="AO1011" s="34"/>
      <c r="AP1011" s="34"/>
      <c r="AQ1011" s="34"/>
      <c r="AR1011" s="34"/>
      <c r="AS1011" s="34"/>
      <c r="AT1011" s="34"/>
      <c r="AU1011" s="34"/>
      <c r="AV1011" s="34"/>
      <c r="AW1011" s="34"/>
      <c r="AX1011" s="34"/>
      <c r="AY1011" s="34"/>
      <c r="AZ1011" s="34"/>
      <c r="BA1011" s="34"/>
      <c r="BB1011" s="34"/>
      <c r="BC1011" s="34"/>
      <c r="BD1011" s="34"/>
      <c r="BE1011" s="34"/>
      <c r="BF1011" s="34"/>
      <c r="BG1011" s="34"/>
      <c r="BH1011" s="34"/>
      <c r="BI1011" s="34"/>
      <c r="BJ1011" s="34"/>
      <c r="BK1011" s="34"/>
      <c r="BL1011" s="34"/>
      <c r="BM1011" s="34"/>
      <c r="BN1011" s="34"/>
      <c r="BO1011" s="34"/>
      <c r="BP1011" s="34"/>
      <c r="BQ1011" s="34"/>
      <c r="BR1011" s="34"/>
      <c r="BS1011" s="34"/>
      <c r="BT1011" s="34"/>
      <c r="BU1011" s="34"/>
      <c r="BV1011" s="34"/>
      <c r="BW1011" s="34"/>
      <c r="BX1011" s="34"/>
      <c r="BY1011" s="34"/>
      <c r="BZ1011" s="34"/>
      <c r="CA1011" s="34"/>
      <c r="CB1011" s="34"/>
      <c r="CC1011" s="34"/>
      <c r="CD1011" s="34"/>
      <c r="CE1011" s="34"/>
      <c r="CF1011" s="34"/>
      <c r="CG1011" s="34"/>
      <c r="CH1011" s="34"/>
      <c r="CI1011" s="34"/>
      <c r="CJ1011" s="34"/>
      <c r="CK1011" s="34"/>
      <c r="CL1011" s="34"/>
      <c r="CM1011" s="34"/>
      <c r="CN1011" s="34"/>
      <c r="CO1011" s="34"/>
      <c r="CP1011" s="34"/>
      <c r="CQ1011" s="34"/>
      <c r="CR1011" s="34"/>
      <c r="CS1011" s="34"/>
      <c r="CT1011" s="34"/>
      <c r="CU1011" s="34"/>
      <c r="CV1011" s="34"/>
      <c r="CW1011" s="34"/>
      <c r="CX1011" s="34"/>
      <c r="CY1011" s="34"/>
      <c r="CZ1011" s="34"/>
      <c r="DA1011" s="34"/>
      <c r="DB1011" s="34"/>
      <c r="DC1011" s="34"/>
      <c r="DD1011" s="34"/>
      <c r="DE1011" s="34"/>
      <c r="DF1011" s="34"/>
      <c r="DG1011" s="34"/>
      <c r="DH1011" s="34"/>
      <c r="DI1011" s="34"/>
      <c r="DJ1011" s="34"/>
      <c r="DK1011" s="34"/>
      <c r="DL1011" s="34"/>
      <c r="DM1011" s="34"/>
      <c r="DN1011" s="34"/>
      <c r="DO1011" s="34"/>
      <c r="DP1011" s="34"/>
      <c r="DQ1011" s="34"/>
      <c r="DR1011" s="34"/>
      <c r="DS1011" s="34"/>
      <c r="DT1011" s="34"/>
      <c r="DU1011" s="34"/>
      <c r="DV1011" s="34"/>
      <c r="DW1011" s="34"/>
      <c r="DX1011" s="34"/>
      <c r="DY1011" s="34"/>
      <c r="DZ1011" s="34"/>
      <c r="EA1011" s="34"/>
    </row>
    <row r="1012" spans="1:131" ht="11.25">
      <c r="A1012" s="1"/>
      <c r="B1012" s="1"/>
      <c r="C1012" s="1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R1012" s="34"/>
      <c r="S1012" s="34"/>
      <c r="T1012" s="34"/>
      <c r="U1012" s="34"/>
      <c r="V1012" s="34"/>
      <c r="W1012" s="34"/>
      <c r="X1012" s="34"/>
      <c r="Y1012" s="34"/>
      <c r="Z1012" s="34"/>
      <c r="AA1012" s="34"/>
      <c r="AB1012" s="34"/>
      <c r="AC1012" s="34"/>
      <c r="AD1012" s="34"/>
      <c r="AE1012" s="34"/>
      <c r="AF1012" s="34"/>
      <c r="AG1012" s="34"/>
      <c r="AH1012" s="34"/>
      <c r="AI1012" s="34"/>
      <c r="AJ1012" s="34"/>
      <c r="AK1012" s="34"/>
      <c r="AL1012" s="34"/>
      <c r="AM1012" s="34"/>
      <c r="AN1012" s="34"/>
      <c r="AO1012" s="34"/>
      <c r="AP1012" s="34"/>
      <c r="AQ1012" s="34"/>
      <c r="AR1012" s="34"/>
      <c r="AS1012" s="34"/>
      <c r="AT1012" s="34"/>
      <c r="AU1012" s="34"/>
      <c r="AV1012" s="34"/>
      <c r="AW1012" s="34"/>
      <c r="AX1012" s="34"/>
      <c r="AY1012" s="34"/>
      <c r="AZ1012" s="34"/>
      <c r="BA1012" s="34"/>
      <c r="BB1012" s="34"/>
      <c r="BC1012" s="34"/>
      <c r="BD1012" s="34"/>
      <c r="BE1012" s="34"/>
      <c r="BF1012" s="34"/>
      <c r="BG1012" s="34"/>
      <c r="BH1012" s="34"/>
      <c r="BI1012" s="34"/>
      <c r="BJ1012" s="34"/>
      <c r="BK1012" s="34"/>
      <c r="BL1012" s="34"/>
      <c r="BM1012" s="34"/>
      <c r="BN1012" s="34"/>
      <c r="BO1012" s="34"/>
      <c r="BP1012" s="34"/>
      <c r="BQ1012" s="34"/>
      <c r="BR1012" s="34"/>
      <c r="BS1012" s="34"/>
      <c r="BT1012" s="34"/>
      <c r="BU1012" s="34"/>
      <c r="BV1012" s="34"/>
      <c r="BW1012" s="34"/>
      <c r="BX1012" s="34"/>
      <c r="BY1012" s="34"/>
      <c r="BZ1012" s="34"/>
      <c r="CA1012" s="34"/>
      <c r="CB1012" s="34"/>
      <c r="CC1012" s="34"/>
      <c r="CD1012" s="34"/>
      <c r="CE1012" s="34"/>
      <c r="CF1012" s="34"/>
      <c r="CG1012" s="34"/>
      <c r="CH1012" s="34"/>
      <c r="CI1012" s="34"/>
      <c r="CJ1012" s="34"/>
      <c r="CK1012" s="34"/>
      <c r="CL1012" s="34"/>
      <c r="CM1012" s="34"/>
      <c r="CN1012" s="34"/>
      <c r="CO1012" s="34"/>
      <c r="CP1012" s="34"/>
      <c r="CQ1012" s="34"/>
      <c r="CR1012" s="34"/>
      <c r="CS1012" s="34"/>
      <c r="CT1012" s="34"/>
      <c r="CU1012" s="34"/>
      <c r="CV1012" s="34"/>
      <c r="CW1012" s="34"/>
      <c r="CX1012" s="34"/>
      <c r="CY1012" s="34"/>
      <c r="CZ1012" s="34"/>
      <c r="DA1012" s="34"/>
      <c r="DB1012" s="34"/>
      <c r="DC1012" s="34"/>
      <c r="DD1012" s="34"/>
      <c r="DE1012" s="34"/>
      <c r="DF1012" s="34"/>
      <c r="DG1012" s="34"/>
      <c r="DH1012" s="34"/>
      <c r="DI1012" s="34"/>
      <c r="DJ1012" s="34"/>
      <c r="DK1012" s="34"/>
      <c r="DL1012" s="34"/>
      <c r="DM1012" s="34"/>
      <c r="DN1012" s="34"/>
      <c r="DO1012" s="34"/>
      <c r="DP1012" s="34"/>
      <c r="DQ1012" s="34"/>
      <c r="DR1012" s="34"/>
      <c r="DS1012" s="34"/>
      <c r="DT1012" s="34"/>
      <c r="DU1012" s="34"/>
      <c r="DV1012" s="34"/>
      <c r="DW1012" s="34"/>
      <c r="DX1012" s="34"/>
      <c r="DY1012" s="34"/>
      <c r="DZ1012" s="34"/>
      <c r="EA1012" s="34"/>
    </row>
    <row r="1013" spans="1:131" ht="11.25">
      <c r="A1013" s="1"/>
      <c r="B1013" s="1"/>
      <c r="C1013" s="1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R1013" s="34"/>
      <c r="S1013" s="34"/>
      <c r="T1013" s="34"/>
      <c r="U1013" s="34"/>
      <c r="V1013" s="34"/>
      <c r="W1013" s="34"/>
      <c r="X1013" s="34"/>
      <c r="Y1013" s="34"/>
      <c r="Z1013" s="34"/>
      <c r="AA1013" s="34"/>
      <c r="AB1013" s="34"/>
      <c r="AC1013" s="34"/>
      <c r="AD1013" s="34"/>
      <c r="AE1013" s="34"/>
      <c r="AF1013" s="34"/>
      <c r="AG1013" s="34"/>
      <c r="AH1013" s="34"/>
      <c r="AI1013" s="34"/>
      <c r="AJ1013" s="34"/>
      <c r="AK1013" s="34"/>
      <c r="AL1013" s="34"/>
      <c r="AM1013" s="34"/>
      <c r="AN1013" s="34"/>
      <c r="AO1013" s="34"/>
      <c r="AP1013" s="34"/>
      <c r="AQ1013" s="34"/>
      <c r="AR1013" s="34"/>
      <c r="AS1013" s="34"/>
      <c r="AT1013" s="34"/>
      <c r="AU1013" s="34"/>
      <c r="AV1013" s="34"/>
      <c r="AW1013" s="34"/>
      <c r="AX1013" s="34"/>
      <c r="AY1013" s="34"/>
      <c r="AZ1013" s="34"/>
      <c r="BA1013" s="34"/>
      <c r="BB1013" s="34"/>
      <c r="BC1013" s="34"/>
      <c r="BD1013" s="34"/>
      <c r="BE1013" s="34"/>
      <c r="BF1013" s="34"/>
      <c r="BG1013" s="34"/>
      <c r="BH1013" s="34"/>
      <c r="BI1013" s="34"/>
      <c r="BJ1013" s="34"/>
      <c r="BK1013" s="34"/>
      <c r="BL1013" s="34"/>
      <c r="BM1013" s="34"/>
      <c r="BN1013" s="34"/>
      <c r="BO1013" s="34"/>
      <c r="BP1013" s="34"/>
      <c r="BQ1013" s="34"/>
      <c r="BR1013" s="34"/>
      <c r="BS1013" s="34"/>
      <c r="BT1013" s="34"/>
      <c r="BU1013" s="34"/>
      <c r="BV1013" s="34"/>
      <c r="BW1013" s="34"/>
      <c r="BX1013" s="34"/>
      <c r="BY1013" s="34"/>
      <c r="BZ1013" s="34"/>
      <c r="CA1013" s="34"/>
      <c r="CB1013" s="34"/>
      <c r="CC1013" s="34"/>
      <c r="CD1013" s="34"/>
      <c r="CE1013" s="34"/>
      <c r="CF1013" s="34"/>
      <c r="CG1013" s="34"/>
      <c r="CH1013" s="34"/>
      <c r="CI1013" s="34"/>
      <c r="CJ1013" s="34"/>
      <c r="CK1013" s="34"/>
      <c r="CL1013" s="34"/>
      <c r="CM1013" s="34"/>
      <c r="CN1013" s="34"/>
      <c r="CO1013" s="34"/>
      <c r="CP1013" s="34"/>
      <c r="CQ1013" s="34"/>
      <c r="CR1013" s="34"/>
      <c r="CS1013" s="34"/>
      <c r="CT1013" s="34"/>
      <c r="CU1013" s="34"/>
      <c r="CV1013" s="34"/>
      <c r="CW1013" s="34"/>
      <c r="CX1013" s="34"/>
      <c r="CY1013" s="34"/>
      <c r="CZ1013" s="34"/>
      <c r="DA1013" s="34"/>
      <c r="DB1013" s="34"/>
      <c r="DC1013" s="34"/>
      <c r="DD1013" s="34"/>
      <c r="DE1013" s="34"/>
      <c r="DF1013" s="34"/>
      <c r="DG1013" s="34"/>
      <c r="DH1013" s="34"/>
      <c r="DI1013" s="34"/>
      <c r="DJ1013" s="34"/>
      <c r="DK1013" s="34"/>
      <c r="DL1013" s="34"/>
      <c r="DM1013" s="34"/>
      <c r="DN1013" s="34"/>
      <c r="DO1013" s="34"/>
      <c r="DP1013" s="34"/>
      <c r="DQ1013" s="34"/>
      <c r="DR1013" s="34"/>
      <c r="DS1013" s="34"/>
      <c r="DT1013" s="34"/>
      <c r="DU1013" s="34"/>
      <c r="DV1013" s="34"/>
      <c r="DW1013" s="34"/>
      <c r="DX1013" s="34"/>
      <c r="DY1013" s="34"/>
      <c r="DZ1013" s="34"/>
      <c r="EA1013" s="34"/>
    </row>
    <row r="1014" spans="1:131" ht="11.25">
      <c r="A1014" s="1"/>
      <c r="B1014" s="1"/>
      <c r="C1014" s="1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R1014" s="34"/>
      <c r="S1014" s="34"/>
      <c r="T1014" s="34"/>
      <c r="U1014" s="34"/>
      <c r="V1014" s="34"/>
      <c r="W1014" s="34"/>
      <c r="X1014" s="34"/>
      <c r="Y1014" s="34"/>
      <c r="Z1014" s="34"/>
      <c r="AA1014" s="34"/>
      <c r="AB1014" s="34"/>
      <c r="AC1014" s="34"/>
      <c r="AD1014" s="34"/>
      <c r="AE1014" s="34"/>
      <c r="AF1014" s="34"/>
      <c r="AG1014" s="34"/>
      <c r="AH1014" s="34"/>
      <c r="AI1014" s="34"/>
      <c r="AJ1014" s="34"/>
      <c r="AK1014" s="34"/>
      <c r="AL1014" s="34"/>
      <c r="AM1014" s="34"/>
      <c r="AN1014" s="34"/>
      <c r="AO1014" s="34"/>
      <c r="AP1014" s="34"/>
      <c r="AQ1014" s="34"/>
      <c r="AR1014" s="34"/>
      <c r="AS1014" s="34"/>
      <c r="AT1014" s="34"/>
      <c r="AU1014" s="34"/>
      <c r="AV1014" s="34"/>
      <c r="AW1014" s="34"/>
      <c r="AX1014" s="34"/>
      <c r="AY1014" s="34"/>
      <c r="AZ1014" s="34"/>
      <c r="BA1014" s="34"/>
      <c r="BB1014" s="34"/>
      <c r="BC1014" s="34"/>
      <c r="BD1014" s="34"/>
      <c r="BE1014" s="34"/>
      <c r="BF1014" s="34"/>
      <c r="BG1014" s="34"/>
      <c r="BH1014" s="34"/>
      <c r="BI1014" s="34"/>
      <c r="BJ1014" s="34"/>
      <c r="BK1014" s="34"/>
      <c r="BL1014" s="34"/>
      <c r="BM1014" s="34"/>
      <c r="BN1014" s="34"/>
      <c r="BO1014" s="34"/>
      <c r="BP1014" s="34"/>
      <c r="BQ1014" s="34"/>
      <c r="BR1014" s="34"/>
      <c r="BS1014" s="34"/>
      <c r="BT1014" s="34"/>
      <c r="BU1014" s="34"/>
      <c r="BV1014" s="34"/>
      <c r="BW1014" s="34"/>
      <c r="BX1014" s="34"/>
      <c r="BY1014" s="34"/>
      <c r="BZ1014" s="34"/>
      <c r="CA1014" s="34"/>
      <c r="CB1014" s="34"/>
      <c r="CC1014" s="34"/>
      <c r="CD1014" s="34"/>
      <c r="CE1014" s="34"/>
      <c r="CF1014" s="34"/>
      <c r="CG1014" s="34"/>
      <c r="CH1014" s="34"/>
      <c r="CI1014" s="34"/>
      <c r="CJ1014" s="34"/>
      <c r="CK1014" s="34"/>
      <c r="CL1014" s="34"/>
      <c r="CM1014" s="34"/>
      <c r="CN1014" s="34"/>
      <c r="CO1014" s="34"/>
      <c r="CP1014" s="34"/>
      <c r="CQ1014" s="34"/>
      <c r="CR1014" s="34"/>
      <c r="CS1014" s="34"/>
      <c r="CT1014" s="34"/>
      <c r="CU1014" s="34"/>
      <c r="CV1014" s="34"/>
      <c r="CW1014" s="34"/>
      <c r="CX1014" s="34"/>
      <c r="CY1014" s="34"/>
      <c r="CZ1014" s="34"/>
      <c r="DA1014" s="34"/>
      <c r="DB1014" s="34"/>
      <c r="DC1014" s="34"/>
      <c r="DD1014" s="34"/>
      <c r="DE1014" s="34"/>
      <c r="DF1014" s="34"/>
      <c r="DG1014" s="34"/>
      <c r="DH1014" s="34"/>
      <c r="DI1014" s="34"/>
      <c r="DJ1014" s="34"/>
      <c r="DK1014" s="34"/>
      <c r="DL1014" s="34"/>
      <c r="DM1014" s="34"/>
      <c r="DN1014" s="34"/>
      <c r="DO1014" s="34"/>
      <c r="DP1014" s="34"/>
      <c r="DQ1014" s="34"/>
      <c r="DR1014" s="34"/>
      <c r="DS1014" s="34"/>
      <c r="DT1014" s="34"/>
      <c r="DU1014" s="34"/>
      <c r="DV1014" s="34"/>
      <c r="DW1014" s="34"/>
      <c r="DX1014" s="34"/>
      <c r="DY1014" s="34"/>
      <c r="DZ1014" s="34"/>
      <c r="EA1014" s="34"/>
    </row>
    <row r="1015" spans="1:131" ht="11.25">
      <c r="A1015" s="1"/>
      <c r="B1015" s="1"/>
      <c r="C1015" s="1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R1015" s="34"/>
      <c r="S1015" s="34"/>
      <c r="T1015" s="34"/>
      <c r="U1015" s="34"/>
      <c r="V1015" s="34"/>
      <c r="W1015" s="34"/>
      <c r="X1015" s="34"/>
      <c r="Y1015" s="34"/>
      <c r="Z1015" s="34"/>
      <c r="AA1015" s="34"/>
      <c r="AB1015" s="34"/>
      <c r="AC1015" s="34"/>
      <c r="AD1015" s="34"/>
      <c r="AE1015" s="34"/>
      <c r="AF1015" s="34"/>
      <c r="AG1015" s="34"/>
      <c r="AH1015" s="34"/>
      <c r="AI1015" s="34"/>
      <c r="AJ1015" s="34"/>
      <c r="AK1015" s="34"/>
      <c r="AL1015" s="34"/>
      <c r="AM1015" s="34"/>
      <c r="AN1015" s="34"/>
      <c r="AO1015" s="34"/>
      <c r="AP1015" s="34"/>
      <c r="AQ1015" s="34"/>
      <c r="AR1015" s="34"/>
      <c r="AS1015" s="34"/>
      <c r="AT1015" s="34"/>
      <c r="AU1015" s="34"/>
      <c r="AV1015" s="34"/>
      <c r="AW1015" s="34"/>
      <c r="AX1015" s="34"/>
      <c r="AY1015" s="34"/>
      <c r="AZ1015" s="34"/>
      <c r="BA1015" s="34"/>
      <c r="BB1015" s="34"/>
      <c r="BC1015" s="34"/>
      <c r="BD1015" s="34"/>
      <c r="BE1015" s="34"/>
      <c r="BF1015" s="34"/>
      <c r="BG1015" s="34"/>
      <c r="BH1015" s="34"/>
      <c r="BI1015" s="34"/>
      <c r="BJ1015" s="34"/>
      <c r="BK1015" s="34"/>
      <c r="BL1015" s="34"/>
      <c r="BM1015" s="34"/>
      <c r="BN1015" s="34"/>
      <c r="BO1015" s="34"/>
      <c r="BP1015" s="34"/>
      <c r="BQ1015" s="34"/>
      <c r="BR1015" s="34"/>
      <c r="BS1015" s="34"/>
      <c r="BT1015" s="34"/>
      <c r="BU1015" s="34"/>
      <c r="BV1015" s="34"/>
      <c r="BW1015" s="34"/>
      <c r="BX1015" s="34"/>
      <c r="BY1015" s="34"/>
      <c r="BZ1015" s="34"/>
      <c r="CA1015" s="34"/>
      <c r="CB1015" s="34"/>
      <c r="CC1015" s="34"/>
      <c r="CD1015" s="34"/>
      <c r="CE1015" s="34"/>
      <c r="CF1015" s="34"/>
      <c r="CG1015" s="34"/>
      <c r="CH1015" s="34"/>
      <c r="CI1015" s="34"/>
      <c r="CJ1015" s="34"/>
      <c r="CK1015" s="34"/>
      <c r="CL1015" s="34"/>
      <c r="CM1015" s="34"/>
      <c r="CN1015" s="34"/>
      <c r="CO1015" s="34"/>
      <c r="CP1015" s="34"/>
      <c r="CQ1015" s="34"/>
      <c r="CR1015" s="34"/>
      <c r="CS1015" s="34"/>
      <c r="CT1015" s="34"/>
      <c r="CU1015" s="34"/>
      <c r="CV1015" s="34"/>
      <c r="CW1015" s="34"/>
      <c r="CX1015" s="34"/>
      <c r="CY1015" s="34"/>
      <c r="CZ1015" s="34"/>
      <c r="DA1015" s="34"/>
      <c r="DB1015" s="34"/>
      <c r="DC1015" s="34"/>
      <c r="DD1015" s="34"/>
      <c r="DE1015" s="34"/>
      <c r="DF1015" s="34"/>
      <c r="DG1015" s="34"/>
      <c r="DH1015" s="34"/>
      <c r="DI1015" s="34"/>
      <c r="DJ1015" s="34"/>
      <c r="DK1015" s="34"/>
      <c r="DL1015" s="34"/>
      <c r="DM1015" s="34"/>
      <c r="DN1015" s="34"/>
      <c r="DO1015" s="34"/>
      <c r="DP1015" s="34"/>
      <c r="DQ1015" s="34"/>
      <c r="DR1015" s="34"/>
      <c r="DS1015" s="34"/>
      <c r="DT1015" s="34"/>
      <c r="DU1015" s="34"/>
      <c r="DV1015" s="34"/>
      <c r="DW1015" s="34"/>
      <c r="DX1015" s="34"/>
      <c r="DY1015" s="34"/>
      <c r="DZ1015" s="34"/>
      <c r="EA1015" s="34"/>
    </row>
    <row r="1016" spans="1:131" ht="11.25">
      <c r="A1016" s="1"/>
      <c r="B1016" s="1"/>
      <c r="C1016" s="1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R1016" s="34"/>
      <c r="S1016" s="34"/>
      <c r="T1016" s="34"/>
      <c r="U1016" s="34"/>
      <c r="V1016" s="34"/>
      <c r="W1016" s="34"/>
      <c r="X1016" s="34"/>
      <c r="Y1016" s="34"/>
      <c r="Z1016" s="34"/>
      <c r="AA1016" s="34"/>
      <c r="AB1016" s="34"/>
      <c r="AC1016" s="34"/>
      <c r="AD1016" s="34"/>
      <c r="AE1016" s="34"/>
      <c r="AF1016" s="34"/>
      <c r="AG1016" s="34"/>
      <c r="AH1016" s="34"/>
      <c r="AI1016" s="34"/>
      <c r="AJ1016" s="34"/>
      <c r="AK1016" s="34"/>
      <c r="AL1016" s="34"/>
      <c r="AM1016" s="34"/>
      <c r="AN1016" s="34"/>
      <c r="AO1016" s="34"/>
      <c r="AP1016" s="34"/>
      <c r="AQ1016" s="34"/>
      <c r="AR1016" s="34"/>
      <c r="AS1016" s="34"/>
      <c r="AT1016" s="34"/>
      <c r="AU1016" s="34"/>
      <c r="AV1016" s="34"/>
      <c r="AW1016" s="34"/>
      <c r="AX1016" s="34"/>
      <c r="AY1016" s="34"/>
      <c r="AZ1016" s="34"/>
      <c r="BA1016" s="34"/>
      <c r="BB1016" s="34"/>
      <c r="BC1016" s="34"/>
      <c r="BD1016" s="34"/>
      <c r="BE1016" s="34"/>
      <c r="BF1016" s="34"/>
      <c r="BG1016" s="34"/>
      <c r="BH1016" s="34"/>
      <c r="BI1016" s="34"/>
      <c r="BJ1016" s="34"/>
      <c r="BK1016" s="34"/>
      <c r="BL1016" s="34"/>
      <c r="BM1016" s="34"/>
      <c r="BN1016" s="34"/>
      <c r="BO1016" s="34"/>
      <c r="BP1016" s="34"/>
      <c r="BQ1016" s="34"/>
      <c r="BR1016" s="34"/>
      <c r="BS1016" s="34"/>
      <c r="BT1016" s="34"/>
      <c r="BU1016" s="34"/>
      <c r="BV1016" s="34"/>
      <c r="BW1016" s="34"/>
      <c r="BX1016" s="34"/>
      <c r="BY1016" s="34"/>
      <c r="BZ1016" s="34"/>
      <c r="CA1016" s="34"/>
      <c r="CB1016" s="34"/>
      <c r="CC1016" s="34"/>
      <c r="CD1016" s="34"/>
      <c r="CE1016" s="34"/>
      <c r="CF1016" s="34"/>
      <c r="CG1016" s="34"/>
      <c r="CH1016" s="34"/>
      <c r="CI1016" s="34"/>
      <c r="CJ1016" s="34"/>
      <c r="CK1016" s="34"/>
      <c r="CL1016" s="34"/>
      <c r="CM1016" s="34"/>
      <c r="CN1016" s="34"/>
      <c r="CO1016" s="34"/>
      <c r="CP1016" s="34"/>
      <c r="CQ1016" s="34"/>
      <c r="CR1016" s="34"/>
      <c r="CS1016" s="34"/>
      <c r="CT1016" s="34"/>
      <c r="CU1016" s="34"/>
      <c r="CV1016" s="34"/>
      <c r="CW1016" s="34"/>
      <c r="CX1016" s="34"/>
      <c r="CY1016" s="34"/>
      <c r="CZ1016" s="34"/>
      <c r="DA1016" s="34"/>
      <c r="DB1016" s="34"/>
      <c r="DC1016" s="34"/>
      <c r="DD1016" s="34"/>
      <c r="DE1016" s="34"/>
      <c r="DF1016" s="34"/>
      <c r="DG1016" s="34"/>
      <c r="DH1016" s="34"/>
      <c r="DI1016" s="34"/>
      <c r="DJ1016" s="34"/>
      <c r="DK1016" s="34"/>
      <c r="DL1016" s="34"/>
      <c r="DM1016" s="34"/>
      <c r="DN1016" s="34"/>
      <c r="DO1016" s="34"/>
      <c r="DP1016" s="34"/>
      <c r="DQ1016" s="34"/>
      <c r="DR1016" s="34"/>
      <c r="DS1016" s="34"/>
      <c r="DT1016" s="34"/>
      <c r="DU1016" s="34"/>
      <c r="DV1016" s="34"/>
      <c r="DW1016" s="34"/>
      <c r="DX1016" s="34"/>
      <c r="DY1016" s="34"/>
      <c r="DZ1016" s="34"/>
      <c r="EA1016" s="34"/>
    </row>
    <row r="1017" spans="1:131" ht="11.25">
      <c r="A1017" s="1"/>
      <c r="B1017" s="1"/>
      <c r="C1017" s="1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R1017" s="34"/>
      <c r="S1017" s="34"/>
      <c r="T1017" s="34"/>
      <c r="U1017" s="34"/>
      <c r="V1017" s="34"/>
      <c r="W1017" s="34"/>
      <c r="X1017" s="34"/>
      <c r="Y1017" s="34"/>
      <c r="Z1017" s="34"/>
      <c r="AA1017" s="34"/>
      <c r="AB1017" s="34"/>
      <c r="AC1017" s="34"/>
      <c r="AD1017" s="34"/>
      <c r="AE1017" s="34"/>
      <c r="AF1017" s="34"/>
      <c r="AG1017" s="34"/>
      <c r="AH1017" s="34"/>
      <c r="AI1017" s="34"/>
      <c r="AJ1017" s="34"/>
      <c r="AK1017" s="34"/>
      <c r="AL1017" s="34"/>
      <c r="AM1017" s="34"/>
      <c r="AN1017" s="34"/>
      <c r="AO1017" s="34"/>
      <c r="AP1017" s="34"/>
      <c r="AQ1017" s="34"/>
      <c r="AR1017" s="34"/>
      <c r="AS1017" s="34"/>
      <c r="AT1017" s="34"/>
      <c r="AU1017" s="34"/>
      <c r="AV1017" s="34"/>
      <c r="AW1017" s="34"/>
      <c r="AX1017" s="34"/>
      <c r="AY1017" s="34"/>
      <c r="AZ1017" s="34"/>
      <c r="BA1017" s="34"/>
      <c r="BB1017" s="34"/>
      <c r="BC1017" s="34"/>
      <c r="BD1017" s="34"/>
      <c r="BE1017" s="34"/>
      <c r="BF1017" s="34"/>
      <c r="BG1017" s="34"/>
      <c r="BH1017" s="34"/>
      <c r="BI1017" s="34"/>
      <c r="BJ1017" s="34"/>
      <c r="BK1017" s="34"/>
      <c r="BL1017" s="34"/>
      <c r="BM1017" s="34"/>
      <c r="BN1017" s="34"/>
      <c r="BO1017" s="34"/>
      <c r="BP1017" s="34"/>
      <c r="BQ1017" s="34"/>
      <c r="BR1017" s="34"/>
      <c r="BS1017" s="34"/>
      <c r="BT1017" s="34"/>
      <c r="BU1017" s="34"/>
      <c r="BV1017" s="34"/>
      <c r="BW1017" s="34"/>
      <c r="BX1017" s="34"/>
      <c r="BY1017" s="34"/>
      <c r="BZ1017" s="34"/>
      <c r="CA1017" s="34"/>
      <c r="CB1017" s="34"/>
      <c r="CC1017" s="34"/>
      <c r="CD1017" s="34"/>
      <c r="CE1017" s="34"/>
      <c r="CF1017" s="34"/>
      <c r="CG1017" s="34"/>
      <c r="CH1017" s="34"/>
      <c r="CI1017" s="34"/>
      <c r="CJ1017" s="34"/>
      <c r="CK1017" s="34"/>
      <c r="CL1017" s="34"/>
      <c r="CM1017" s="34"/>
      <c r="CN1017" s="34"/>
      <c r="CO1017" s="34"/>
      <c r="CP1017" s="34"/>
      <c r="CQ1017" s="34"/>
      <c r="CR1017" s="34"/>
      <c r="CS1017" s="34"/>
      <c r="CT1017" s="34"/>
      <c r="CU1017" s="34"/>
      <c r="CV1017" s="34"/>
      <c r="CW1017" s="34"/>
      <c r="CX1017" s="34"/>
      <c r="CY1017" s="34"/>
      <c r="CZ1017" s="34"/>
      <c r="DA1017" s="34"/>
      <c r="DB1017" s="34"/>
      <c r="DC1017" s="34"/>
      <c r="DD1017" s="34"/>
      <c r="DE1017" s="34"/>
      <c r="DF1017" s="34"/>
      <c r="DG1017" s="34"/>
      <c r="DH1017" s="34"/>
      <c r="DI1017" s="34"/>
      <c r="DJ1017" s="34"/>
      <c r="DK1017" s="34"/>
      <c r="DL1017" s="34"/>
      <c r="DM1017" s="34"/>
      <c r="DN1017" s="34"/>
      <c r="DO1017" s="34"/>
      <c r="DP1017" s="34"/>
      <c r="DQ1017" s="34"/>
      <c r="DR1017" s="34"/>
      <c r="DS1017" s="34"/>
      <c r="DT1017" s="34"/>
      <c r="DU1017" s="34"/>
      <c r="DV1017" s="34"/>
      <c r="DW1017" s="34"/>
      <c r="DX1017" s="34"/>
      <c r="DY1017" s="34"/>
      <c r="DZ1017" s="34"/>
      <c r="EA1017" s="34"/>
    </row>
    <row r="1018" spans="1:131" ht="11.25">
      <c r="A1018" s="1"/>
      <c r="B1018" s="1"/>
      <c r="C1018" s="1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R1018" s="34"/>
      <c r="S1018" s="34"/>
      <c r="T1018" s="34"/>
      <c r="U1018" s="34"/>
      <c r="V1018" s="34"/>
      <c r="W1018" s="34"/>
      <c r="X1018" s="34"/>
      <c r="Y1018" s="34"/>
      <c r="Z1018" s="34"/>
      <c r="AA1018" s="34"/>
      <c r="AB1018" s="34"/>
      <c r="AC1018" s="34"/>
      <c r="AD1018" s="34"/>
      <c r="AE1018" s="34"/>
      <c r="AF1018" s="34"/>
      <c r="AG1018" s="34"/>
      <c r="AH1018" s="34"/>
      <c r="AI1018" s="34"/>
      <c r="AJ1018" s="34"/>
      <c r="AK1018" s="34"/>
      <c r="AL1018" s="34"/>
      <c r="AM1018" s="34"/>
      <c r="AN1018" s="34"/>
      <c r="AO1018" s="34"/>
      <c r="AP1018" s="34"/>
      <c r="AQ1018" s="34"/>
      <c r="AR1018" s="34"/>
      <c r="AS1018" s="34"/>
      <c r="AT1018" s="34"/>
      <c r="AU1018" s="34"/>
      <c r="AV1018" s="34"/>
      <c r="AW1018" s="34"/>
      <c r="AX1018" s="34"/>
      <c r="AY1018" s="34"/>
      <c r="AZ1018" s="34"/>
      <c r="BA1018" s="34"/>
      <c r="BB1018" s="34"/>
      <c r="BC1018" s="34"/>
      <c r="BD1018" s="34"/>
      <c r="BE1018" s="34"/>
      <c r="BF1018" s="34"/>
      <c r="BG1018" s="34"/>
      <c r="BH1018" s="34"/>
      <c r="BI1018" s="34"/>
      <c r="BJ1018" s="34"/>
      <c r="BK1018" s="34"/>
      <c r="BL1018" s="34"/>
      <c r="BM1018" s="34"/>
      <c r="BN1018" s="34"/>
      <c r="BO1018" s="34"/>
      <c r="BP1018" s="34"/>
      <c r="BQ1018" s="34"/>
      <c r="BR1018" s="34"/>
      <c r="BS1018" s="34"/>
      <c r="BT1018" s="34"/>
      <c r="BU1018" s="34"/>
      <c r="BV1018" s="34"/>
      <c r="BW1018" s="34"/>
      <c r="BX1018" s="34"/>
      <c r="BY1018" s="34"/>
      <c r="BZ1018" s="34"/>
      <c r="CA1018" s="34"/>
      <c r="CB1018" s="34"/>
      <c r="CC1018" s="34"/>
      <c r="CD1018" s="34"/>
      <c r="CE1018" s="34"/>
      <c r="CF1018" s="34"/>
      <c r="CG1018" s="34"/>
      <c r="CH1018" s="34"/>
      <c r="CI1018" s="34"/>
      <c r="CJ1018" s="34"/>
      <c r="CK1018" s="34"/>
      <c r="CL1018" s="34"/>
      <c r="CM1018" s="34"/>
      <c r="CN1018" s="34"/>
      <c r="CO1018" s="34"/>
      <c r="CP1018" s="34"/>
      <c r="CQ1018" s="34"/>
      <c r="CR1018" s="34"/>
      <c r="CS1018" s="34"/>
      <c r="CT1018" s="34"/>
      <c r="CU1018" s="34"/>
      <c r="CV1018" s="34"/>
      <c r="CW1018" s="34"/>
      <c r="CX1018" s="34"/>
      <c r="CY1018" s="34"/>
      <c r="CZ1018" s="34"/>
      <c r="DA1018" s="34"/>
      <c r="DB1018" s="34"/>
      <c r="DC1018" s="34"/>
      <c r="DD1018" s="34"/>
      <c r="DE1018" s="34"/>
      <c r="DF1018" s="34"/>
      <c r="DG1018" s="34"/>
      <c r="DH1018" s="34"/>
      <c r="DI1018" s="34"/>
      <c r="DJ1018" s="34"/>
      <c r="DK1018" s="34"/>
      <c r="DL1018" s="34"/>
      <c r="DM1018" s="34"/>
      <c r="DN1018" s="34"/>
      <c r="DO1018" s="34"/>
      <c r="DP1018" s="34"/>
      <c r="DQ1018" s="34"/>
      <c r="DR1018" s="34"/>
      <c r="DS1018" s="34"/>
      <c r="DT1018" s="34"/>
      <c r="DU1018" s="34"/>
      <c r="DV1018" s="34"/>
      <c r="DW1018" s="34"/>
      <c r="DX1018" s="34"/>
      <c r="DY1018" s="34"/>
      <c r="DZ1018" s="34"/>
      <c r="EA1018" s="34"/>
    </row>
    <row r="1019" spans="1:131" ht="11.25">
      <c r="A1019" s="1"/>
      <c r="B1019" s="1"/>
      <c r="C1019" s="1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R1019" s="34"/>
      <c r="S1019" s="34"/>
      <c r="T1019" s="34"/>
      <c r="U1019" s="34"/>
      <c r="V1019" s="34"/>
      <c r="W1019" s="34"/>
      <c r="X1019" s="34"/>
      <c r="Y1019" s="34"/>
      <c r="Z1019" s="34"/>
      <c r="AA1019" s="34"/>
      <c r="AB1019" s="34"/>
      <c r="AC1019" s="34"/>
      <c r="AD1019" s="34"/>
      <c r="AE1019" s="34"/>
      <c r="AF1019" s="34"/>
      <c r="AG1019" s="34"/>
      <c r="AH1019" s="34"/>
      <c r="AI1019" s="34"/>
      <c r="AJ1019" s="34"/>
      <c r="AK1019" s="34"/>
      <c r="AL1019" s="34"/>
      <c r="AM1019" s="34"/>
      <c r="AN1019" s="34"/>
      <c r="AO1019" s="34"/>
      <c r="AP1019" s="34"/>
      <c r="AQ1019" s="34"/>
      <c r="AR1019" s="34"/>
      <c r="AS1019" s="34"/>
      <c r="AT1019" s="34"/>
      <c r="AU1019" s="34"/>
      <c r="AV1019" s="34"/>
      <c r="AW1019" s="34"/>
      <c r="AX1019" s="34"/>
      <c r="AY1019" s="34"/>
      <c r="AZ1019" s="34"/>
      <c r="BA1019" s="34"/>
      <c r="BB1019" s="34"/>
      <c r="BC1019" s="34"/>
      <c r="BD1019" s="34"/>
      <c r="BE1019" s="34"/>
      <c r="BF1019" s="34"/>
      <c r="BG1019" s="34"/>
      <c r="BH1019" s="34"/>
      <c r="BI1019" s="34"/>
      <c r="BJ1019" s="34"/>
      <c r="BK1019" s="34"/>
      <c r="BL1019" s="34"/>
      <c r="BM1019" s="34"/>
      <c r="BN1019" s="34"/>
      <c r="BO1019" s="34"/>
      <c r="BP1019" s="34"/>
      <c r="BQ1019" s="34"/>
      <c r="BR1019" s="34"/>
      <c r="BS1019" s="34"/>
      <c r="BT1019" s="34"/>
      <c r="BU1019" s="34"/>
      <c r="BV1019" s="34"/>
      <c r="BW1019" s="34"/>
      <c r="BX1019" s="34"/>
      <c r="BY1019" s="34"/>
      <c r="BZ1019" s="34"/>
      <c r="CA1019" s="34"/>
      <c r="CB1019" s="34"/>
      <c r="CC1019" s="34"/>
      <c r="CD1019" s="34"/>
      <c r="CE1019" s="34"/>
      <c r="CF1019" s="34"/>
      <c r="CG1019" s="34"/>
      <c r="CH1019" s="34"/>
      <c r="CI1019" s="34"/>
      <c r="CJ1019" s="34"/>
      <c r="CK1019" s="34"/>
      <c r="CL1019" s="34"/>
      <c r="CM1019" s="34"/>
      <c r="CN1019" s="34"/>
      <c r="CO1019" s="34"/>
      <c r="CP1019" s="34"/>
      <c r="CQ1019" s="34"/>
      <c r="CR1019" s="34"/>
      <c r="CS1019" s="34"/>
      <c r="CT1019" s="34"/>
      <c r="CU1019" s="34"/>
      <c r="CV1019" s="34"/>
      <c r="CW1019" s="34"/>
      <c r="CX1019" s="34"/>
      <c r="CY1019" s="34"/>
      <c r="CZ1019" s="34"/>
      <c r="DA1019" s="34"/>
      <c r="DB1019" s="34"/>
      <c r="DC1019" s="34"/>
      <c r="DD1019" s="34"/>
      <c r="DE1019" s="34"/>
      <c r="DF1019" s="34"/>
      <c r="DG1019" s="34"/>
      <c r="DH1019" s="34"/>
      <c r="DI1019" s="34"/>
      <c r="DJ1019" s="34"/>
      <c r="DK1019" s="34"/>
      <c r="DL1019" s="34"/>
      <c r="DM1019" s="34"/>
      <c r="DN1019" s="34"/>
      <c r="DO1019" s="34"/>
      <c r="DP1019" s="34"/>
      <c r="DQ1019" s="34"/>
      <c r="DR1019" s="34"/>
      <c r="DS1019" s="34"/>
      <c r="DT1019" s="34"/>
      <c r="DU1019" s="34"/>
      <c r="DV1019" s="34"/>
      <c r="DW1019" s="34"/>
      <c r="DX1019" s="34"/>
      <c r="DY1019" s="34"/>
      <c r="DZ1019" s="34"/>
      <c r="EA1019" s="34"/>
    </row>
    <row r="1020" spans="1:131" ht="11.25">
      <c r="A1020" s="1"/>
      <c r="B1020" s="1"/>
      <c r="C1020" s="1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R1020" s="34"/>
      <c r="S1020" s="34"/>
      <c r="T1020" s="34"/>
      <c r="U1020" s="34"/>
      <c r="V1020" s="34"/>
      <c r="W1020" s="34"/>
      <c r="X1020" s="34"/>
      <c r="Y1020" s="34"/>
      <c r="Z1020" s="34"/>
      <c r="AA1020" s="34"/>
      <c r="AB1020" s="34"/>
      <c r="AC1020" s="34"/>
      <c r="AD1020" s="34"/>
      <c r="AE1020" s="34"/>
      <c r="AF1020" s="34"/>
      <c r="AG1020" s="34"/>
      <c r="AH1020" s="34"/>
      <c r="AI1020" s="34"/>
      <c r="AJ1020" s="34"/>
      <c r="AK1020" s="34"/>
      <c r="AL1020" s="34"/>
      <c r="AM1020" s="34"/>
      <c r="AN1020" s="34"/>
      <c r="AO1020" s="34"/>
      <c r="AP1020" s="34"/>
      <c r="AQ1020" s="34"/>
      <c r="AR1020" s="34"/>
      <c r="AS1020" s="34"/>
      <c r="AT1020" s="34"/>
      <c r="AU1020" s="34"/>
      <c r="AV1020" s="34"/>
      <c r="AW1020" s="34"/>
      <c r="AX1020" s="34"/>
      <c r="AY1020" s="34"/>
      <c r="AZ1020" s="34"/>
      <c r="BA1020" s="34"/>
      <c r="BB1020" s="34"/>
      <c r="BC1020" s="34"/>
      <c r="BD1020" s="34"/>
      <c r="BE1020" s="34"/>
      <c r="BF1020" s="34"/>
      <c r="BG1020" s="34"/>
      <c r="BH1020" s="34"/>
      <c r="BI1020" s="34"/>
      <c r="BJ1020" s="34"/>
      <c r="BK1020" s="34"/>
      <c r="BL1020" s="34"/>
      <c r="BM1020" s="34"/>
      <c r="BN1020" s="34"/>
      <c r="BO1020" s="34"/>
      <c r="BP1020" s="34"/>
      <c r="BQ1020" s="34"/>
      <c r="BR1020" s="34"/>
      <c r="BS1020" s="34"/>
      <c r="BT1020" s="34"/>
      <c r="BU1020" s="34"/>
      <c r="BV1020" s="34"/>
      <c r="BW1020" s="34"/>
      <c r="BX1020" s="34"/>
      <c r="BY1020" s="34"/>
      <c r="BZ1020" s="34"/>
      <c r="CA1020" s="34"/>
      <c r="CB1020" s="34"/>
      <c r="CC1020" s="34"/>
      <c r="CD1020" s="34"/>
      <c r="CE1020" s="34"/>
      <c r="CF1020" s="34"/>
      <c r="CG1020" s="34"/>
      <c r="CH1020" s="34"/>
      <c r="CI1020" s="34"/>
      <c r="CJ1020" s="34"/>
      <c r="CK1020" s="34"/>
      <c r="CL1020" s="34"/>
      <c r="CM1020" s="34"/>
      <c r="CN1020" s="34"/>
      <c r="CO1020" s="34"/>
      <c r="CP1020" s="34"/>
      <c r="CQ1020" s="34"/>
      <c r="CR1020" s="34"/>
      <c r="CS1020" s="34"/>
      <c r="CT1020" s="34"/>
      <c r="CU1020" s="34"/>
      <c r="CV1020" s="34"/>
      <c r="CW1020" s="34"/>
      <c r="CX1020" s="34"/>
      <c r="CY1020" s="34"/>
      <c r="CZ1020" s="34"/>
      <c r="DA1020" s="34"/>
      <c r="DB1020" s="34"/>
      <c r="DC1020" s="34"/>
      <c r="DD1020" s="34"/>
      <c r="DE1020" s="34"/>
      <c r="DF1020" s="34"/>
      <c r="DG1020" s="34"/>
      <c r="DH1020" s="34"/>
      <c r="DI1020" s="34"/>
      <c r="DJ1020" s="34"/>
      <c r="DK1020" s="34"/>
      <c r="DL1020" s="34"/>
      <c r="DM1020" s="34"/>
      <c r="DN1020" s="34"/>
      <c r="DO1020" s="34"/>
      <c r="DP1020" s="34"/>
      <c r="DQ1020" s="34"/>
      <c r="DR1020" s="34"/>
      <c r="DS1020" s="34"/>
      <c r="DT1020" s="34"/>
      <c r="DU1020" s="34"/>
      <c r="DV1020" s="34"/>
      <c r="DW1020" s="34"/>
      <c r="DX1020" s="34"/>
      <c r="DY1020" s="34"/>
      <c r="DZ1020" s="34"/>
      <c r="EA1020" s="34"/>
    </row>
    <row r="1021" spans="1:131" ht="11.25">
      <c r="A1021" s="1"/>
      <c r="B1021" s="1"/>
      <c r="C1021" s="1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R1021" s="34"/>
      <c r="S1021" s="34"/>
      <c r="T1021" s="34"/>
      <c r="U1021" s="34"/>
      <c r="V1021" s="34"/>
      <c r="W1021" s="34"/>
      <c r="X1021" s="34"/>
      <c r="Y1021" s="34"/>
      <c r="Z1021" s="34"/>
      <c r="AA1021" s="34"/>
      <c r="AB1021" s="34"/>
      <c r="AC1021" s="34"/>
      <c r="AD1021" s="34"/>
      <c r="AE1021" s="34"/>
      <c r="AF1021" s="34"/>
      <c r="AG1021" s="34"/>
      <c r="AH1021" s="34"/>
      <c r="AI1021" s="34"/>
      <c r="AJ1021" s="34"/>
      <c r="AK1021" s="34"/>
      <c r="AL1021" s="34"/>
      <c r="AM1021" s="34"/>
      <c r="AN1021" s="34"/>
      <c r="AO1021" s="34"/>
      <c r="AP1021" s="34"/>
      <c r="AQ1021" s="34"/>
      <c r="AR1021" s="34"/>
      <c r="AS1021" s="34"/>
      <c r="AT1021" s="34"/>
      <c r="AU1021" s="34"/>
      <c r="AV1021" s="34"/>
      <c r="AW1021" s="34"/>
      <c r="AX1021" s="34"/>
      <c r="AY1021" s="34"/>
      <c r="AZ1021" s="34"/>
      <c r="BA1021" s="34"/>
      <c r="BB1021" s="34"/>
      <c r="BC1021" s="34"/>
      <c r="BD1021" s="34"/>
      <c r="BE1021" s="34"/>
      <c r="BF1021" s="34"/>
      <c r="BG1021" s="34"/>
      <c r="BH1021" s="34"/>
      <c r="BI1021" s="34"/>
      <c r="BJ1021" s="34"/>
      <c r="BK1021" s="34"/>
      <c r="BL1021" s="34"/>
      <c r="BM1021" s="34"/>
      <c r="BN1021" s="34"/>
      <c r="BO1021" s="34"/>
      <c r="BP1021" s="34"/>
      <c r="BQ1021" s="34"/>
      <c r="BR1021" s="34"/>
      <c r="BS1021" s="34"/>
      <c r="BT1021" s="34"/>
      <c r="BU1021" s="34"/>
      <c r="BV1021" s="34"/>
      <c r="BW1021" s="34"/>
      <c r="BX1021" s="34"/>
      <c r="BY1021" s="34"/>
      <c r="BZ1021" s="34"/>
      <c r="CA1021" s="34"/>
      <c r="CB1021" s="34"/>
      <c r="CC1021" s="34"/>
      <c r="CD1021" s="34"/>
      <c r="CE1021" s="34"/>
      <c r="CF1021" s="34"/>
      <c r="CG1021" s="34"/>
      <c r="CH1021" s="34"/>
      <c r="CI1021" s="34"/>
      <c r="CJ1021" s="34"/>
      <c r="CK1021" s="34"/>
      <c r="CL1021" s="34"/>
      <c r="CM1021" s="34"/>
      <c r="CN1021" s="34"/>
      <c r="CO1021" s="34"/>
      <c r="CP1021" s="34"/>
      <c r="CQ1021" s="34"/>
      <c r="CR1021" s="34"/>
      <c r="CS1021" s="34"/>
      <c r="CT1021" s="34"/>
      <c r="CU1021" s="34"/>
      <c r="CV1021" s="34"/>
      <c r="CW1021" s="34"/>
      <c r="CX1021" s="34"/>
      <c r="CY1021" s="34"/>
      <c r="CZ1021" s="34"/>
      <c r="DA1021" s="34"/>
      <c r="DB1021" s="34"/>
      <c r="DC1021" s="34"/>
      <c r="DD1021" s="34"/>
      <c r="DE1021" s="34"/>
      <c r="DF1021" s="34"/>
      <c r="DG1021" s="34"/>
      <c r="DH1021" s="34"/>
      <c r="DI1021" s="34"/>
      <c r="DJ1021" s="34"/>
      <c r="DK1021" s="34"/>
      <c r="DL1021" s="34"/>
      <c r="DM1021" s="34"/>
      <c r="DN1021" s="34"/>
      <c r="DO1021" s="34"/>
      <c r="DP1021" s="34"/>
      <c r="DQ1021" s="34"/>
      <c r="DR1021" s="34"/>
      <c r="DS1021" s="34"/>
      <c r="DT1021" s="34"/>
      <c r="DU1021" s="34"/>
      <c r="DV1021" s="34"/>
      <c r="DW1021" s="34"/>
      <c r="DX1021" s="34"/>
      <c r="DY1021" s="34"/>
      <c r="DZ1021" s="34"/>
      <c r="EA1021" s="34"/>
    </row>
    <row r="1022" spans="1:131" ht="11.25">
      <c r="A1022" s="1"/>
      <c r="B1022" s="1"/>
      <c r="C1022" s="1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R1022" s="34"/>
      <c r="S1022" s="34"/>
      <c r="T1022" s="34"/>
      <c r="U1022" s="34"/>
      <c r="V1022" s="34"/>
      <c r="W1022" s="34"/>
      <c r="X1022" s="34"/>
      <c r="Y1022" s="34"/>
      <c r="Z1022" s="34"/>
      <c r="AA1022" s="34"/>
      <c r="AB1022" s="34"/>
      <c r="AC1022" s="34"/>
      <c r="AD1022" s="34"/>
      <c r="AE1022" s="34"/>
      <c r="AF1022" s="34"/>
      <c r="AG1022" s="34"/>
      <c r="AH1022" s="34"/>
      <c r="AI1022" s="34"/>
      <c r="AJ1022" s="34"/>
      <c r="AK1022" s="34"/>
      <c r="AL1022" s="34"/>
      <c r="AM1022" s="34"/>
      <c r="AN1022" s="34"/>
      <c r="AO1022" s="34"/>
      <c r="AP1022" s="34"/>
      <c r="AQ1022" s="34"/>
      <c r="AR1022" s="34"/>
      <c r="AS1022" s="34"/>
      <c r="AT1022" s="34"/>
      <c r="AU1022" s="34"/>
      <c r="AV1022" s="34"/>
      <c r="AW1022" s="34"/>
      <c r="AX1022" s="34"/>
      <c r="AY1022" s="34"/>
      <c r="AZ1022" s="34"/>
      <c r="BA1022" s="34"/>
      <c r="BB1022" s="34"/>
      <c r="BC1022" s="34"/>
      <c r="BD1022" s="34"/>
      <c r="BE1022" s="34"/>
      <c r="BF1022" s="34"/>
      <c r="BG1022" s="34"/>
      <c r="BH1022" s="34"/>
      <c r="BI1022" s="34"/>
      <c r="BJ1022" s="34"/>
      <c r="BK1022" s="34"/>
      <c r="BL1022" s="34"/>
      <c r="BM1022" s="34"/>
      <c r="BN1022" s="34"/>
      <c r="BO1022" s="34"/>
      <c r="BP1022" s="34"/>
      <c r="BQ1022" s="34"/>
      <c r="BR1022" s="34"/>
      <c r="BS1022" s="34"/>
      <c r="BT1022" s="34"/>
      <c r="BU1022" s="34"/>
      <c r="BV1022" s="34"/>
      <c r="BW1022" s="34"/>
      <c r="BX1022" s="34"/>
      <c r="BY1022" s="34"/>
      <c r="BZ1022" s="34"/>
      <c r="CA1022" s="34"/>
      <c r="CB1022" s="34"/>
      <c r="CC1022" s="34"/>
      <c r="CD1022" s="34"/>
      <c r="CE1022" s="34"/>
      <c r="CF1022" s="34"/>
      <c r="CG1022" s="34"/>
      <c r="CH1022" s="34"/>
      <c r="CI1022" s="34"/>
      <c r="CJ1022" s="34"/>
      <c r="CK1022" s="34"/>
      <c r="CL1022" s="34"/>
      <c r="CM1022" s="34"/>
      <c r="CN1022" s="34"/>
      <c r="CO1022" s="34"/>
      <c r="CP1022" s="34"/>
      <c r="CQ1022" s="34"/>
      <c r="CR1022" s="34"/>
      <c r="CS1022" s="34"/>
      <c r="CT1022" s="34"/>
      <c r="CU1022" s="34"/>
      <c r="CV1022" s="34"/>
      <c r="CW1022" s="34"/>
      <c r="CX1022" s="34"/>
      <c r="CY1022" s="34"/>
      <c r="CZ1022" s="34"/>
      <c r="DA1022" s="34"/>
      <c r="DB1022" s="34"/>
      <c r="DC1022" s="34"/>
      <c r="DD1022" s="34"/>
      <c r="DE1022" s="34"/>
      <c r="DF1022" s="34"/>
      <c r="DG1022" s="34"/>
      <c r="DH1022" s="34"/>
      <c r="DI1022" s="34"/>
      <c r="DJ1022" s="34"/>
      <c r="DK1022" s="34"/>
      <c r="DL1022" s="34"/>
      <c r="DM1022" s="34"/>
      <c r="DN1022" s="34"/>
      <c r="DO1022" s="34"/>
      <c r="DP1022" s="34"/>
      <c r="DQ1022" s="34"/>
      <c r="DR1022" s="34"/>
      <c r="DS1022" s="34"/>
      <c r="DT1022" s="34"/>
      <c r="DU1022" s="34"/>
      <c r="DV1022" s="34"/>
      <c r="DW1022" s="34"/>
      <c r="DX1022" s="34"/>
      <c r="DY1022" s="34"/>
      <c r="DZ1022" s="34"/>
      <c r="EA1022" s="34"/>
    </row>
    <row r="1023" spans="1:131" ht="11.25">
      <c r="A1023" s="1"/>
      <c r="B1023" s="1"/>
      <c r="C1023" s="1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R1023" s="34"/>
      <c r="S1023" s="34"/>
      <c r="T1023" s="34"/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34"/>
      <c r="AF1023" s="34"/>
      <c r="AG1023" s="34"/>
      <c r="AH1023" s="34"/>
      <c r="AI1023" s="34"/>
      <c r="AJ1023" s="34"/>
      <c r="AK1023" s="34"/>
      <c r="AL1023" s="34"/>
      <c r="AM1023" s="34"/>
      <c r="AN1023" s="34"/>
      <c r="AO1023" s="34"/>
      <c r="AP1023" s="34"/>
      <c r="AQ1023" s="34"/>
      <c r="AR1023" s="34"/>
      <c r="AS1023" s="34"/>
      <c r="AT1023" s="34"/>
      <c r="AU1023" s="34"/>
      <c r="AV1023" s="34"/>
      <c r="AW1023" s="34"/>
      <c r="AX1023" s="34"/>
      <c r="AY1023" s="34"/>
      <c r="AZ1023" s="34"/>
      <c r="BA1023" s="34"/>
      <c r="BB1023" s="34"/>
      <c r="BC1023" s="34"/>
      <c r="BD1023" s="34"/>
      <c r="BE1023" s="34"/>
      <c r="BF1023" s="34"/>
      <c r="BG1023" s="34"/>
      <c r="BH1023" s="34"/>
      <c r="BI1023" s="34"/>
      <c r="BJ1023" s="34"/>
      <c r="BK1023" s="34"/>
      <c r="BL1023" s="34"/>
      <c r="BM1023" s="34"/>
      <c r="BN1023" s="34"/>
      <c r="BO1023" s="34"/>
      <c r="BP1023" s="34"/>
      <c r="BQ1023" s="34"/>
      <c r="BR1023" s="34"/>
      <c r="BS1023" s="34"/>
      <c r="BT1023" s="34"/>
      <c r="BU1023" s="34"/>
      <c r="BV1023" s="34"/>
      <c r="BW1023" s="34"/>
      <c r="BX1023" s="34"/>
      <c r="BY1023" s="34"/>
      <c r="BZ1023" s="34"/>
      <c r="CA1023" s="34"/>
      <c r="CB1023" s="34"/>
      <c r="CC1023" s="34"/>
      <c r="CD1023" s="34"/>
      <c r="CE1023" s="34"/>
      <c r="CF1023" s="34"/>
      <c r="CG1023" s="34"/>
      <c r="CH1023" s="34"/>
      <c r="CI1023" s="34"/>
      <c r="CJ1023" s="34"/>
      <c r="CK1023" s="34"/>
      <c r="CL1023" s="34"/>
      <c r="CM1023" s="34"/>
      <c r="CN1023" s="34"/>
      <c r="CO1023" s="34"/>
      <c r="CP1023" s="34"/>
      <c r="CQ1023" s="34"/>
      <c r="CR1023" s="34"/>
      <c r="CS1023" s="34"/>
      <c r="CT1023" s="34"/>
      <c r="CU1023" s="34"/>
      <c r="CV1023" s="34"/>
      <c r="CW1023" s="34"/>
      <c r="CX1023" s="34"/>
      <c r="CY1023" s="34"/>
      <c r="CZ1023" s="34"/>
      <c r="DA1023" s="34"/>
      <c r="DB1023" s="34"/>
      <c r="DC1023" s="34"/>
      <c r="DD1023" s="34"/>
      <c r="DE1023" s="34"/>
      <c r="DF1023" s="34"/>
      <c r="DG1023" s="34"/>
      <c r="DH1023" s="34"/>
      <c r="DI1023" s="34"/>
      <c r="DJ1023" s="34"/>
      <c r="DK1023" s="34"/>
      <c r="DL1023" s="34"/>
      <c r="DM1023" s="34"/>
      <c r="DN1023" s="34"/>
      <c r="DO1023" s="34"/>
      <c r="DP1023" s="34"/>
      <c r="DQ1023" s="34"/>
      <c r="DR1023" s="34"/>
      <c r="DS1023" s="34"/>
      <c r="DT1023" s="34"/>
      <c r="DU1023" s="34"/>
      <c r="DV1023" s="34"/>
      <c r="DW1023" s="34"/>
      <c r="DX1023" s="34"/>
      <c r="DY1023" s="34"/>
      <c r="DZ1023" s="34"/>
      <c r="EA1023" s="34"/>
    </row>
    <row r="1024" spans="1:131" ht="11.25">
      <c r="A1024" s="1"/>
      <c r="B1024" s="1"/>
      <c r="C1024" s="1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53"/>
      <c r="O1024" s="53"/>
      <c r="P1024" s="53"/>
      <c r="Q1024" s="34"/>
      <c r="R1024" s="34"/>
      <c r="S1024" s="34"/>
      <c r="T1024" s="34"/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34"/>
      <c r="AF1024" s="34"/>
      <c r="AG1024" s="34"/>
      <c r="AH1024" s="34"/>
      <c r="AI1024" s="34"/>
      <c r="AJ1024" s="34"/>
      <c r="AK1024" s="34"/>
      <c r="AL1024" s="34"/>
      <c r="AM1024" s="34"/>
      <c r="AN1024" s="34"/>
      <c r="AO1024" s="34"/>
      <c r="AP1024" s="34"/>
      <c r="AQ1024" s="34"/>
      <c r="AR1024" s="34"/>
      <c r="AS1024" s="34"/>
      <c r="AT1024" s="34"/>
      <c r="AU1024" s="34"/>
      <c r="AV1024" s="34"/>
      <c r="AW1024" s="34"/>
      <c r="AX1024" s="34"/>
      <c r="AY1024" s="34"/>
      <c r="AZ1024" s="34"/>
      <c r="BA1024" s="34"/>
      <c r="BB1024" s="34"/>
      <c r="BC1024" s="34"/>
      <c r="BD1024" s="34"/>
      <c r="BE1024" s="34"/>
      <c r="BF1024" s="34"/>
      <c r="BG1024" s="34"/>
      <c r="BH1024" s="34"/>
      <c r="BI1024" s="34"/>
      <c r="BJ1024" s="34"/>
      <c r="BK1024" s="34"/>
      <c r="BL1024" s="34"/>
      <c r="BM1024" s="34"/>
      <c r="BN1024" s="34"/>
      <c r="BO1024" s="34"/>
      <c r="BP1024" s="34"/>
      <c r="BQ1024" s="34"/>
      <c r="BR1024" s="34"/>
      <c r="BS1024" s="34"/>
      <c r="BT1024" s="34"/>
      <c r="BU1024" s="34"/>
      <c r="BV1024" s="34"/>
      <c r="BW1024" s="34"/>
      <c r="BX1024" s="34"/>
      <c r="BY1024" s="34"/>
      <c r="BZ1024" s="34"/>
      <c r="CA1024" s="34"/>
      <c r="CB1024" s="34"/>
      <c r="CC1024" s="34"/>
      <c r="CD1024" s="34"/>
      <c r="CE1024" s="34"/>
      <c r="CF1024" s="34"/>
      <c r="CG1024" s="34"/>
      <c r="CH1024" s="34"/>
      <c r="CI1024" s="34"/>
      <c r="CJ1024" s="34"/>
      <c r="CK1024" s="34"/>
      <c r="CL1024" s="34"/>
      <c r="CM1024" s="34"/>
      <c r="CN1024" s="34"/>
      <c r="CO1024" s="34"/>
      <c r="CP1024" s="34"/>
      <c r="CQ1024" s="34"/>
      <c r="CR1024" s="34"/>
      <c r="CS1024" s="34"/>
      <c r="CT1024" s="34"/>
      <c r="CU1024" s="34"/>
      <c r="CV1024" s="34"/>
      <c r="CW1024" s="34"/>
      <c r="CX1024" s="34"/>
      <c r="CY1024" s="34"/>
      <c r="CZ1024" s="34"/>
      <c r="DA1024" s="34"/>
      <c r="DB1024" s="34"/>
      <c r="DC1024" s="34"/>
      <c r="DD1024" s="34"/>
      <c r="DE1024" s="34"/>
      <c r="DF1024" s="34"/>
      <c r="DG1024" s="34"/>
      <c r="DH1024" s="34"/>
      <c r="DI1024" s="34"/>
      <c r="DJ1024" s="34"/>
      <c r="DK1024" s="34"/>
      <c r="DL1024" s="34"/>
      <c r="DM1024" s="34"/>
      <c r="DN1024" s="34"/>
      <c r="DO1024" s="34"/>
      <c r="DP1024" s="34"/>
      <c r="DQ1024" s="34"/>
      <c r="DR1024" s="34"/>
      <c r="DS1024" s="34"/>
      <c r="DT1024" s="34"/>
      <c r="DU1024" s="34"/>
      <c r="DV1024" s="34"/>
      <c r="DW1024" s="34"/>
      <c r="DX1024" s="34"/>
      <c r="DY1024" s="34"/>
      <c r="DZ1024" s="34"/>
      <c r="EA1024" s="34"/>
    </row>
    <row r="1025" spans="1:131" ht="11.25">
      <c r="A1025" s="1"/>
      <c r="B1025" s="1"/>
      <c r="C1025" s="1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53"/>
      <c r="O1025" s="53"/>
      <c r="P1025" s="53"/>
      <c r="Q1025" s="34"/>
      <c r="R1025" s="34"/>
      <c r="S1025" s="34"/>
      <c r="T1025" s="34"/>
      <c r="U1025" s="34"/>
      <c r="V1025" s="34"/>
      <c r="W1025" s="34"/>
      <c r="X1025" s="34"/>
      <c r="Y1025" s="34"/>
      <c r="Z1025" s="34"/>
      <c r="AA1025" s="34"/>
      <c r="AB1025" s="34"/>
      <c r="AC1025" s="34"/>
      <c r="AD1025" s="34"/>
      <c r="AE1025" s="34"/>
      <c r="AF1025" s="34"/>
      <c r="AG1025" s="34"/>
      <c r="AH1025" s="34"/>
      <c r="AI1025" s="34"/>
      <c r="AJ1025" s="34"/>
      <c r="AK1025" s="34"/>
      <c r="AL1025" s="34"/>
      <c r="AM1025" s="34"/>
      <c r="AN1025" s="34"/>
      <c r="AO1025" s="34"/>
      <c r="AP1025" s="34"/>
      <c r="AQ1025" s="34"/>
      <c r="AR1025" s="34"/>
      <c r="AS1025" s="34"/>
      <c r="AT1025" s="34"/>
      <c r="AU1025" s="34"/>
      <c r="AV1025" s="34"/>
      <c r="AW1025" s="34"/>
      <c r="AX1025" s="34"/>
      <c r="AY1025" s="34"/>
      <c r="AZ1025" s="34"/>
      <c r="BA1025" s="34"/>
      <c r="BB1025" s="34"/>
      <c r="BC1025" s="34"/>
      <c r="BD1025" s="34"/>
      <c r="BE1025" s="34"/>
      <c r="BF1025" s="34"/>
      <c r="BG1025" s="34"/>
      <c r="BH1025" s="34"/>
      <c r="BI1025" s="34"/>
      <c r="BJ1025" s="34"/>
      <c r="BK1025" s="34"/>
      <c r="BL1025" s="34"/>
      <c r="BM1025" s="34"/>
      <c r="BN1025" s="34"/>
      <c r="BO1025" s="34"/>
      <c r="BP1025" s="34"/>
      <c r="BQ1025" s="34"/>
      <c r="BR1025" s="34"/>
      <c r="BS1025" s="34"/>
      <c r="BT1025" s="34"/>
      <c r="BU1025" s="34"/>
      <c r="BV1025" s="34"/>
      <c r="BW1025" s="34"/>
      <c r="BX1025" s="34"/>
      <c r="BY1025" s="34"/>
      <c r="BZ1025" s="34"/>
      <c r="CA1025" s="34"/>
      <c r="CB1025" s="34"/>
      <c r="CC1025" s="34"/>
      <c r="CD1025" s="34"/>
      <c r="CE1025" s="34"/>
      <c r="CF1025" s="34"/>
      <c r="CG1025" s="34"/>
      <c r="CH1025" s="34"/>
      <c r="CI1025" s="34"/>
      <c r="CJ1025" s="34"/>
      <c r="CK1025" s="34"/>
      <c r="CL1025" s="34"/>
      <c r="CM1025" s="34"/>
      <c r="CN1025" s="34"/>
      <c r="CO1025" s="34"/>
      <c r="CP1025" s="34"/>
      <c r="CQ1025" s="34"/>
      <c r="CR1025" s="34"/>
      <c r="CS1025" s="34"/>
      <c r="CT1025" s="34"/>
      <c r="CU1025" s="34"/>
      <c r="CV1025" s="34"/>
      <c r="CW1025" s="34"/>
      <c r="CX1025" s="34"/>
      <c r="CY1025" s="34"/>
      <c r="CZ1025" s="34"/>
      <c r="DA1025" s="34"/>
      <c r="DB1025" s="34"/>
      <c r="DC1025" s="34"/>
      <c r="DD1025" s="34"/>
      <c r="DE1025" s="34"/>
      <c r="DF1025" s="34"/>
      <c r="DG1025" s="34"/>
      <c r="DH1025" s="34"/>
      <c r="DI1025" s="34"/>
      <c r="DJ1025" s="34"/>
      <c r="DK1025" s="34"/>
      <c r="DL1025" s="34"/>
      <c r="DM1025" s="34"/>
      <c r="DN1025" s="34"/>
      <c r="DO1025" s="34"/>
      <c r="DP1025" s="34"/>
      <c r="DQ1025" s="34"/>
      <c r="DR1025" s="34"/>
      <c r="DS1025" s="34"/>
      <c r="DT1025" s="34"/>
      <c r="DU1025" s="34"/>
      <c r="DV1025" s="34"/>
      <c r="DW1025" s="34"/>
      <c r="DX1025" s="34"/>
      <c r="DY1025" s="34"/>
      <c r="DZ1025" s="34"/>
      <c r="EA1025" s="34"/>
    </row>
    <row r="1026" spans="1:131" ht="11.25">
      <c r="A1026" s="1"/>
      <c r="B1026" s="1"/>
      <c r="C1026" s="1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53"/>
      <c r="O1026" s="53"/>
      <c r="P1026" s="53"/>
      <c r="Q1026" s="34"/>
      <c r="R1026" s="34"/>
      <c r="S1026" s="34"/>
      <c r="T1026" s="34"/>
      <c r="U1026" s="34"/>
      <c r="V1026" s="34"/>
      <c r="W1026" s="34"/>
      <c r="X1026" s="34"/>
      <c r="Y1026" s="34"/>
      <c r="Z1026" s="34"/>
      <c r="AA1026" s="34"/>
      <c r="AB1026" s="34"/>
      <c r="AC1026" s="34"/>
      <c r="AD1026" s="34"/>
      <c r="AE1026" s="34"/>
      <c r="AF1026" s="34"/>
      <c r="AG1026" s="34"/>
      <c r="AH1026" s="34"/>
      <c r="AI1026" s="34"/>
      <c r="AJ1026" s="34"/>
      <c r="AK1026" s="34"/>
      <c r="AL1026" s="34"/>
      <c r="AM1026" s="34"/>
      <c r="AN1026" s="34"/>
      <c r="AO1026" s="34"/>
      <c r="AP1026" s="34"/>
      <c r="AQ1026" s="34"/>
      <c r="AR1026" s="34"/>
      <c r="AS1026" s="34"/>
      <c r="AT1026" s="34"/>
      <c r="AU1026" s="34"/>
      <c r="AV1026" s="34"/>
      <c r="AW1026" s="34"/>
      <c r="AX1026" s="34"/>
      <c r="AY1026" s="34"/>
      <c r="AZ1026" s="34"/>
      <c r="BA1026" s="34"/>
      <c r="BB1026" s="34"/>
      <c r="BC1026" s="34"/>
      <c r="BD1026" s="34"/>
      <c r="BE1026" s="34"/>
      <c r="BF1026" s="34"/>
      <c r="BG1026" s="34"/>
      <c r="BH1026" s="34"/>
      <c r="BI1026" s="34"/>
      <c r="BJ1026" s="34"/>
      <c r="BK1026" s="34"/>
      <c r="BL1026" s="34"/>
      <c r="BM1026" s="34"/>
      <c r="BN1026" s="34"/>
      <c r="BO1026" s="34"/>
      <c r="BP1026" s="34"/>
      <c r="BQ1026" s="34"/>
      <c r="BR1026" s="34"/>
      <c r="BS1026" s="34"/>
      <c r="BT1026" s="34"/>
      <c r="BU1026" s="34"/>
      <c r="BV1026" s="34"/>
      <c r="BW1026" s="34"/>
      <c r="BX1026" s="34"/>
      <c r="BY1026" s="34"/>
      <c r="BZ1026" s="34"/>
      <c r="CA1026" s="34"/>
      <c r="CB1026" s="34"/>
      <c r="CC1026" s="34"/>
      <c r="CD1026" s="34"/>
      <c r="CE1026" s="34"/>
      <c r="CF1026" s="34"/>
      <c r="CG1026" s="34"/>
      <c r="CH1026" s="34"/>
      <c r="CI1026" s="34"/>
      <c r="CJ1026" s="34"/>
      <c r="CK1026" s="34"/>
      <c r="CL1026" s="34"/>
      <c r="CM1026" s="34"/>
      <c r="CN1026" s="34"/>
      <c r="CO1026" s="34"/>
      <c r="CP1026" s="34"/>
      <c r="CQ1026" s="34"/>
      <c r="CR1026" s="34"/>
      <c r="CS1026" s="34"/>
      <c r="CT1026" s="34"/>
      <c r="CU1026" s="34"/>
      <c r="CV1026" s="34"/>
      <c r="CW1026" s="34"/>
      <c r="CX1026" s="34"/>
      <c r="CY1026" s="34"/>
      <c r="CZ1026" s="34"/>
      <c r="DA1026" s="34"/>
      <c r="DB1026" s="34"/>
      <c r="DC1026" s="34"/>
      <c r="DD1026" s="34"/>
      <c r="DE1026" s="34"/>
      <c r="DF1026" s="34"/>
      <c r="DG1026" s="34"/>
      <c r="DH1026" s="34"/>
      <c r="DI1026" s="34"/>
      <c r="DJ1026" s="34"/>
      <c r="DK1026" s="34"/>
      <c r="DL1026" s="34"/>
      <c r="DM1026" s="34"/>
      <c r="DN1026" s="34"/>
      <c r="DO1026" s="34"/>
      <c r="DP1026" s="34"/>
      <c r="DQ1026" s="34"/>
      <c r="DR1026" s="34"/>
      <c r="DS1026" s="34"/>
      <c r="DT1026" s="34"/>
      <c r="DU1026" s="34"/>
      <c r="DV1026" s="34"/>
      <c r="DW1026" s="34"/>
      <c r="DX1026" s="34"/>
      <c r="DY1026" s="34"/>
      <c r="DZ1026" s="34"/>
      <c r="EA1026" s="34"/>
    </row>
    <row r="1027" spans="1:131" ht="11.25">
      <c r="A1027" s="1"/>
      <c r="B1027" s="1"/>
      <c r="C1027" s="1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53"/>
      <c r="O1027" s="53"/>
      <c r="P1027" s="53"/>
      <c r="Q1027" s="34"/>
      <c r="R1027" s="34"/>
      <c r="S1027" s="34"/>
      <c r="T1027" s="34"/>
      <c r="U1027" s="34"/>
      <c r="V1027" s="34"/>
      <c r="W1027" s="34"/>
      <c r="X1027" s="34"/>
      <c r="Y1027" s="34"/>
      <c r="Z1027" s="34"/>
      <c r="AA1027" s="34"/>
      <c r="AB1027" s="34"/>
      <c r="AC1027" s="34"/>
      <c r="AD1027" s="34"/>
      <c r="AE1027" s="34"/>
      <c r="AF1027" s="34"/>
      <c r="AG1027" s="34"/>
      <c r="AH1027" s="34"/>
      <c r="AI1027" s="34"/>
      <c r="AJ1027" s="34"/>
      <c r="AK1027" s="34"/>
      <c r="AL1027" s="34"/>
      <c r="AM1027" s="34"/>
      <c r="AN1027" s="34"/>
      <c r="AO1027" s="34"/>
      <c r="AP1027" s="34"/>
      <c r="AQ1027" s="34"/>
      <c r="AR1027" s="34"/>
      <c r="AS1027" s="34"/>
      <c r="AT1027" s="34"/>
      <c r="AU1027" s="34"/>
      <c r="AV1027" s="34"/>
      <c r="AW1027" s="34"/>
      <c r="AX1027" s="34"/>
      <c r="AY1027" s="34"/>
      <c r="AZ1027" s="34"/>
      <c r="BA1027" s="34"/>
      <c r="BB1027" s="34"/>
      <c r="BC1027" s="34"/>
      <c r="BD1027" s="34"/>
      <c r="BE1027" s="34"/>
      <c r="BF1027" s="34"/>
      <c r="BG1027" s="34"/>
      <c r="BH1027" s="34"/>
      <c r="BI1027" s="34"/>
      <c r="BJ1027" s="34"/>
      <c r="BK1027" s="34"/>
      <c r="BL1027" s="34"/>
      <c r="BM1027" s="34"/>
      <c r="BN1027" s="34"/>
      <c r="BO1027" s="34"/>
      <c r="BP1027" s="34"/>
      <c r="BQ1027" s="34"/>
      <c r="BR1027" s="34"/>
      <c r="BS1027" s="34"/>
      <c r="BT1027" s="34"/>
      <c r="BU1027" s="34"/>
      <c r="BV1027" s="34"/>
      <c r="BW1027" s="34"/>
      <c r="BX1027" s="34"/>
      <c r="BY1027" s="34"/>
      <c r="BZ1027" s="34"/>
      <c r="CA1027" s="34"/>
      <c r="CB1027" s="34"/>
      <c r="CC1027" s="34"/>
      <c r="CD1027" s="34"/>
      <c r="CE1027" s="34"/>
      <c r="CF1027" s="34"/>
      <c r="CG1027" s="34"/>
      <c r="CH1027" s="34"/>
      <c r="CI1027" s="34"/>
      <c r="CJ1027" s="34"/>
      <c r="CK1027" s="34"/>
      <c r="CL1027" s="34"/>
      <c r="CM1027" s="34"/>
      <c r="CN1027" s="34"/>
      <c r="CO1027" s="34"/>
      <c r="CP1027" s="34"/>
      <c r="CQ1027" s="34"/>
      <c r="CR1027" s="34"/>
      <c r="CS1027" s="34"/>
      <c r="CT1027" s="34"/>
      <c r="CU1027" s="34"/>
      <c r="CV1027" s="34"/>
      <c r="CW1027" s="34"/>
      <c r="CX1027" s="34"/>
      <c r="CY1027" s="34"/>
      <c r="CZ1027" s="34"/>
      <c r="DA1027" s="34"/>
      <c r="DB1027" s="34"/>
      <c r="DC1027" s="34"/>
      <c r="DD1027" s="34"/>
      <c r="DE1027" s="34"/>
      <c r="DF1027" s="34"/>
      <c r="DG1027" s="34"/>
      <c r="DH1027" s="34"/>
      <c r="DI1027" s="34"/>
      <c r="DJ1027" s="34"/>
      <c r="DK1027" s="34"/>
      <c r="DL1027" s="34"/>
      <c r="DM1027" s="34"/>
      <c r="DN1027" s="34"/>
      <c r="DO1027" s="34"/>
      <c r="DP1027" s="34"/>
      <c r="DQ1027" s="34"/>
      <c r="DR1027" s="34"/>
      <c r="DS1027" s="34"/>
      <c r="DT1027" s="34"/>
      <c r="DU1027" s="34"/>
      <c r="DV1027" s="34"/>
      <c r="DW1027" s="34"/>
      <c r="DX1027" s="34"/>
      <c r="DY1027" s="34"/>
      <c r="DZ1027" s="34"/>
      <c r="EA1027" s="34"/>
    </row>
    <row r="1028" spans="1:131" ht="11.25">
      <c r="A1028" s="1"/>
      <c r="B1028" s="1"/>
      <c r="C1028" s="1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53"/>
      <c r="O1028" s="53"/>
      <c r="P1028" s="53"/>
      <c r="Q1028" s="34"/>
      <c r="R1028" s="34"/>
      <c r="S1028" s="34"/>
      <c r="T1028" s="34"/>
      <c r="U1028" s="34"/>
      <c r="V1028" s="34"/>
      <c r="W1028" s="34"/>
      <c r="X1028" s="34"/>
      <c r="Y1028" s="34"/>
      <c r="Z1028" s="34"/>
      <c r="AA1028" s="34"/>
      <c r="AB1028" s="34"/>
      <c r="AC1028" s="34"/>
      <c r="AD1028" s="34"/>
      <c r="AE1028" s="34"/>
      <c r="AF1028" s="34"/>
      <c r="AG1028" s="34"/>
      <c r="AH1028" s="34"/>
      <c r="AI1028" s="34"/>
      <c r="AJ1028" s="34"/>
      <c r="AK1028" s="34"/>
      <c r="AL1028" s="34"/>
      <c r="AM1028" s="34"/>
      <c r="AN1028" s="34"/>
      <c r="AO1028" s="34"/>
      <c r="AP1028" s="34"/>
      <c r="AQ1028" s="34"/>
      <c r="AR1028" s="34"/>
      <c r="AS1028" s="34"/>
      <c r="AT1028" s="34"/>
      <c r="AU1028" s="34"/>
      <c r="AV1028" s="34"/>
      <c r="AW1028" s="34"/>
      <c r="AX1028" s="34"/>
      <c r="AY1028" s="34"/>
      <c r="AZ1028" s="34"/>
      <c r="BA1028" s="34"/>
      <c r="BB1028" s="34"/>
      <c r="BC1028" s="34"/>
      <c r="BD1028" s="34"/>
      <c r="BE1028" s="34"/>
      <c r="BF1028" s="34"/>
      <c r="BG1028" s="34"/>
      <c r="BH1028" s="34"/>
      <c r="BI1028" s="34"/>
      <c r="BJ1028" s="34"/>
      <c r="BK1028" s="34"/>
      <c r="BL1028" s="34"/>
      <c r="BM1028" s="34"/>
      <c r="BN1028" s="34"/>
      <c r="BO1028" s="34"/>
      <c r="BP1028" s="34"/>
      <c r="BQ1028" s="34"/>
      <c r="BR1028" s="34"/>
      <c r="BS1028" s="34"/>
      <c r="BT1028" s="34"/>
      <c r="BU1028" s="34"/>
      <c r="BV1028" s="34"/>
      <c r="BW1028" s="34"/>
      <c r="BX1028" s="34"/>
      <c r="BY1028" s="34"/>
      <c r="BZ1028" s="34"/>
      <c r="CA1028" s="34"/>
      <c r="CB1028" s="34"/>
      <c r="CC1028" s="34"/>
      <c r="CD1028" s="34"/>
      <c r="CE1028" s="34"/>
      <c r="CF1028" s="34"/>
      <c r="CG1028" s="34"/>
      <c r="CH1028" s="34"/>
      <c r="CI1028" s="34"/>
      <c r="CJ1028" s="34"/>
      <c r="CK1028" s="34"/>
      <c r="CL1028" s="34"/>
      <c r="CM1028" s="34"/>
      <c r="CN1028" s="34"/>
      <c r="CO1028" s="34"/>
      <c r="CP1028" s="34"/>
      <c r="CQ1028" s="34"/>
      <c r="CR1028" s="34"/>
      <c r="CS1028" s="34"/>
      <c r="CT1028" s="34"/>
      <c r="CU1028" s="34"/>
      <c r="CV1028" s="34"/>
      <c r="CW1028" s="34"/>
      <c r="CX1028" s="34"/>
      <c r="CY1028" s="34"/>
      <c r="CZ1028" s="34"/>
      <c r="DA1028" s="34"/>
      <c r="DB1028" s="34"/>
      <c r="DC1028" s="34"/>
      <c r="DD1028" s="34"/>
      <c r="DE1028" s="34"/>
      <c r="DF1028" s="34"/>
      <c r="DG1028" s="34"/>
      <c r="DH1028" s="34"/>
      <c r="DI1028" s="34"/>
      <c r="DJ1028" s="34"/>
      <c r="DK1028" s="34"/>
      <c r="DL1028" s="34"/>
      <c r="DM1028" s="34"/>
      <c r="DN1028" s="34"/>
      <c r="DO1028" s="34"/>
      <c r="DP1028" s="34"/>
      <c r="DQ1028" s="34"/>
      <c r="DR1028" s="34"/>
      <c r="DS1028" s="34"/>
      <c r="DT1028" s="34"/>
      <c r="DU1028" s="34"/>
      <c r="DV1028" s="34"/>
      <c r="DW1028" s="34"/>
      <c r="DX1028" s="34"/>
      <c r="DY1028" s="34"/>
      <c r="DZ1028" s="34"/>
      <c r="EA1028" s="34"/>
    </row>
    <row r="1029" spans="1:131" ht="11.25">
      <c r="A1029" s="1"/>
      <c r="B1029" s="1"/>
      <c r="C1029" s="1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53"/>
      <c r="O1029" s="53"/>
      <c r="P1029" s="53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F1029" s="34"/>
      <c r="AG1029" s="34"/>
      <c r="AH1029" s="34"/>
      <c r="AI1029" s="34"/>
      <c r="AJ1029" s="34"/>
      <c r="AK1029" s="34"/>
      <c r="AL1029" s="34"/>
      <c r="AM1029" s="34"/>
      <c r="AN1029" s="34"/>
      <c r="AO1029" s="34"/>
      <c r="AP1029" s="34"/>
      <c r="AQ1029" s="34"/>
      <c r="AR1029" s="34"/>
      <c r="AS1029" s="34"/>
      <c r="AT1029" s="34"/>
      <c r="AU1029" s="34"/>
      <c r="AV1029" s="34"/>
      <c r="AW1029" s="34"/>
      <c r="AX1029" s="34"/>
      <c r="AY1029" s="34"/>
      <c r="AZ1029" s="34"/>
      <c r="BA1029" s="34"/>
      <c r="BB1029" s="34"/>
      <c r="BC1029" s="34"/>
      <c r="BD1029" s="34"/>
      <c r="BE1029" s="34"/>
      <c r="BF1029" s="34"/>
      <c r="BG1029" s="34"/>
      <c r="BH1029" s="34"/>
      <c r="BI1029" s="34"/>
      <c r="BJ1029" s="34"/>
      <c r="BK1029" s="34"/>
      <c r="BL1029" s="34"/>
      <c r="BM1029" s="34"/>
      <c r="BN1029" s="34"/>
      <c r="BO1029" s="34"/>
      <c r="BP1029" s="34"/>
      <c r="BQ1029" s="34"/>
      <c r="BR1029" s="34"/>
      <c r="BS1029" s="34"/>
      <c r="BT1029" s="34"/>
      <c r="BU1029" s="34"/>
      <c r="BV1029" s="34"/>
      <c r="BW1029" s="34"/>
      <c r="BX1029" s="34"/>
      <c r="BY1029" s="34"/>
      <c r="BZ1029" s="34"/>
      <c r="CA1029" s="34"/>
      <c r="CB1029" s="34"/>
      <c r="CC1029" s="34"/>
      <c r="CD1029" s="34"/>
      <c r="CE1029" s="34"/>
      <c r="CF1029" s="34"/>
      <c r="CG1029" s="34"/>
      <c r="CH1029" s="34"/>
      <c r="CI1029" s="34"/>
      <c r="CJ1029" s="34"/>
      <c r="CK1029" s="34"/>
      <c r="CL1029" s="34"/>
      <c r="CM1029" s="34"/>
      <c r="CN1029" s="34"/>
      <c r="CO1029" s="34"/>
      <c r="CP1029" s="34"/>
      <c r="CQ1029" s="34"/>
      <c r="CR1029" s="34"/>
      <c r="CS1029" s="34"/>
      <c r="CT1029" s="34"/>
      <c r="CU1029" s="34"/>
      <c r="CV1029" s="34"/>
      <c r="CW1029" s="34"/>
      <c r="CX1029" s="34"/>
      <c r="CY1029" s="34"/>
      <c r="CZ1029" s="34"/>
      <c r="DA1029" s="34"/>
      <c r="DB1029" s="34"/>
      <c r="DC1029" s="34"/>
      <c r="DD1029" s="34"/>
      <c r="DE1029" s="34"/>
      <c r="DF1029" s="34"/>
      <c r="DG1029" s="34"/>
      <c r="DH1029" s="34"/>
      <c r="DI1029" s="34"/>
      <c r="DJ1029" s="34"/>
      <c r="DK1029" s="34"/>
      <c r="DL1029" s="34"/>
      <c r="DM1029" s="34"/>
      <c r="DN1029" s="34"/>
      <c r="DO1029" s="34"/>
      <c r="DP1029" s="34"/>
      <c r="DQ1029" s="34"/>
      <c r="DR1029" s="34"/>
      <c r="DS1029" s="34"/>
      <c r="DT1029" s="34"/>
      <c r="DU1029" s="34"/>
      <c r="DV1029" s="34"/>
      <c r="DW1029" s="34"/>
      <c r="DX1029" s="34"/>
      <c r="DY1029" s="34"/>
      <c r="DZ1029" s="34"/>
      <c r="EA1029" s="34"/>
    </row>
    <row r="1030" spans="1:131" ht="11.25">
      <c r="A1030" s="1"/>
      <c r="B1030" s="1"/>
      <c r="C1030" s="1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53"/>
      <c r="O1030" s="53"/>
      <c r="P1030" s="53"/>
      <c r="Q1030" s="34"/>
      <c r="R1030" s="34"/>
      <c r="S1030" s="34"/>
      <c r="T1030" s="34"/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34"/>
      <c r="AF1030" s="34"/>
      <c r="AG1030" s="34"/>
      <c r="AH1030" s="34"/>
      <c r="AI1030" s="34"/>
      <c r="AJ1030" s="34"/>
      <c r="AK1030" s="34"/>
      <c r="AL1030" s="34"/>
      <c r="AM1030" s="34"/>
      <c r="AN1030" s="34"/>
      <c r="AO1030" s="34"/>
      <c r="AP1030" s="34"/>
      <c r="AQ1030" s="34"/>
      <c r="AR1030" s="34"/>
      <c r="AS1030" s="34"/>
      <c r="AT1030" s="34"/>
      <c r="AU1030" s="34"/>
      <c r="AV1030" s="34"/>
      <c r="AW1030" s="34"/>
      <c r="AX1030" s="34"/>
      <c r="AY1030" s="34"/>
      <c r="AZ1030" s="34"/>
      <c r="BA1030" s="34"/>
      <c r="BB1030" s="34"/>
      <c r="BC1030" s="34"/>
      <c r="BD1030" s="34"/>
      <c r="BE1030" s="34"/>
      <c r="BF1030" s="34"/>
      <c r="BG1030" s="34"/>
      <c r="BH1030" s="34"/>
      <c r="BI1030" s="34"/>
      <c r="BJ1030" s="34"/>
      <c r="BK1030" s="34"/>
      <c r="BL1030" s="34"/>
      <c r="BM1030" s="34"/>
      <c r="BN1030" s="34"/>
      <c r="BO1030" s="34"/>
      <c r="BP1030" s="34"/>
      <c r="BQ1030" s="34"/>
      <c r="BR1030" s="34"/>
      <c r="BS1030" s="34"/>
      <c r="BT1030" s="34"/>
      <c r="BU1030" s="34"/>
      <c r="BV1030" s="34"/>
      <c r="BW1030" s="34"/>
      <c r="BX1030" s="34"/>
      <c r="BY1030" s="34"/>
      <c r="BZ1030" s="34"/>
      <c r="CA1030" s="34"/>
      <c r="CB1030" s="34"/>
      <c r="CC1030" s="34"/>
      <c r="CD1030" s="34"/>
      <c r="CE1030" s="34"/>
      <c r="CF1030" s="34"/>
      <c r="CG1030" s="34"/>
      <c r="CH1030" s="34"/>
      <c r="CI1030" s="34"/>
      <c r="CJ1030" s="34"/>
      <c r="CK1030" s="34"/>
      <c r="CL1030" s="34"/>
      <c r="CM1030" s="34"/>
      <c r="CN1030" s="34"/>
      <c r="CO1030" s="34"/>
      <c r="CP1030" s="34"/>
      <c r="CQ1030" s="34"/>
      <c r="CR1030" s="34"/>
      <c r="CS1030" s="34"/>
      <c r="CT1030" s="34"/>
      <c r="CU1030" s="34"/>
      <c r="CV1030" s="34"/>
      <c r="CW1030" s="34"/>
      <c r="CX1030" s="34"/>
      <c r="CY1030" s="34"/>
      <c r="CZ1030" s="34"/>
      <c r="DA1030" s="34"/>
      <c r="DB1030" s="34"/>
      <c r="DC1030" s="34"/>
      <c r="DD1030" s="34"/>
      <c r="DE1030" s="34"/>
      <c r="DF1030" s="34"/>
      <c r="DG1030" s="34"/>
      <c r="DH1030" s="34"/>
      <c r="DI1030" s="34"/>
      <c r="DJ1030" s="34"/>
      <c r="DK1030" s="34"/>
      <c r="DL1030" s="34"/>
      <c r="DM1030" s="34"/>
      <c r="DN1030" s="34"/>
      <c r="DO1030" s="34"/>
      <c r="DP1030" s="34"/>
      <c r="DQ1030" s="34"/>
      <c r="DR1030" s="34"/>
      <c r="DS1030" s="34"/>
      <c r="DT1030" s="34"/>
      <c r="DU1030" s="34"/>
      <c r="DV1030" s="34"/>
      <c r="DW1030" s="34"/>
      <c r="DX1030" s="34"/>
      <c r="DY1030" s="34"/>
      <c r="DZ1030" s="34"/>
      <c r="EA1030" s="34"/>
    </row>
    <row r="1031" spans="1:131" ht="11.25">
      <c r="A1031" s="1"/>
      <c r="B1031" s="1"/>
      <c r="C1031" s="1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53"/>
      <c r="O1031" s="53"/>
      <c r="P1031" s="53"/>
      <c r="Q1031" s="34"/>
      <c r="R1031" s="34"/>
      <c r="S1031" s="34"/>
      <c r="T1031" s="34"/>
      <c r="U1031" s="34"/>
      <c r="V1031" s="34"/>
      <c r="W1031" s="34"/>
      <c r="X1031" s="34"/>
      <c r="Y1031" s="34"/>
      <c r="Z1031" s="34"/>
      <c r="AA1031" s="34"/>
      <c r="AB1031" s="34"/>
      <c r="AC1031" s="34"/>
      <c r="AD1031" s="34"/>
      <c r="AE1031" s="34"/>
      <c r="AF1031" s="34"/>
      <c r="AG1031" s="34"/>
      <c r="AH1031" s="34"/>
      <c r="AI1031" s="34"/>
      <c r="AJ1031" s="34"/>
      <c r="AK1031" s="34"/>
      <c r="AL1031" s="34"/>
      <c r="AM1031" s="34"/>
      <c r="AN1031" s="34"/>
      <c r="AO1031" s="34"/>
      <c r="AP1031" s="34"/>
      <c r="AQ1031" s="34"/>
      <c r="AR1031" s="34"/>
      <c r="AS1031" s="34"/>
      <c r="AT1031" s="34"/>
      <c r="AU1031" s="34"/>
      <c r="AV1031" s="34"/>
      <c r="AW1031" s="34"/>
      <c r="AX1031" s="34"/>
      <c r="AY1031" s="34"/>
      <c r="AZ1031" s="34"/>
      <c r="BA1031" s="34"/>
      <c r="BB1031" s="34"/>
      <c r="BC1031" s="34"/>
      <c r="BD1031" s="34"/>
      <c r="BE1031" s="34"/>
      <c r="BF1031" s="34"/>
      <c r="BG1031" s="34"/>
      <c r="BH1031" s="34"/>
      <c r="BI1031" s="34"/>
      <c r="BJ1031" s="34"/>
      <c r="BK1031" s="34"/>
      <c r="BL1031" s="34"/>
      <c r="BM1031" s="34"/>
      <c r="BN1031" s="34"/>
      <c r="BO1031" s="34"/>
      <c r="BP1031" s="34"/>
      <c r="BQ1031" s="34"/>
      <c r="BR1031" s="34"/>
      <c r="BS1031" s="34"/>
      <c r="BT1031" s="34"/>
      <c r="BU1031" s="34"/>
      <c r="BV1031" s="34"/>
      <c r="BW1031" s="34"/>
      <c r="BX1031" s="34"/>
      <c r="BY1031" s="34"/>
      <c r="BZ1031" s="34"/>
      <c r="CA1031" s="34"/>
      <c r="CB1031" s="34"/>
      <c r="CC1031" s="34"/>
      <c r="CD1031" s="34"/>
      <c r="CE1031" s="34"/>
      <c r="CF1031" s="34"/>
      <c r="CG1031" s="34"/>
      <c r="CH1031" s="34"/>
      <c r="CI1031" s="34"/>
      <c r="CJ1031" s="34"/>
      <c r="CK1031" s="34"/>
      <c r="CL1031" s="34"/>
      <c r="CM1031" s="34"/>
      <c r="CN1031" s="34"/>
      <c r="CO1031" s="34"/>
      <c r="CP1031" s="34"/>
      <c r="CQ1031" s="34"/>
      <c r="CR1031" s="34"/>
      <c r="CS1031" s="34"/>
      <c r="CT1031" s="34"/>
      <c r="CU1031" s="34"/>
      <c r="CV1031" s="34"/>
      <c r="CW1031" s="34"/>
      <c r="CX1031" s="34"/>
      <c r="CY1031" s="34"/>
      <c r="CZ1031" s="34"/>
      <c r="DA1031" s="34"/>
      <c r="DB1031" s="34"/>
      <c r="DC1031" s="34"/>
      <c r="DD1031" s="34"/>
      <c r="DE1031" s="34"/>
      <c r="DF1031" s="34"/>
      <c r="DG1031" s="34"/>
      <c r="DH1031" s="34"/>
      <c r="DI1031" s="34"/>
      <c r="DJ1031" s="34"/>
      <c r="DK1031" s="34"/>
      <c r="DL1031" s="34"/>
      <c r="DM1031" s="34"/>
      <c r="DN1031" s="34"/>
      <c r="DO1031" s="34"/>
      <c r="DP1031" s="34"/>
      <c r="DQ1031" s="34"/>
      <c r="DR1031" s="34"/>
      <c r="DS1031" s="34"/>
      <c r="DT1031" s="34"/>
      <c r="DU1031" s="34"/>
      <c r="DV1031" s="34"/>
      <c r="DW1031" s="34"/>
      <c r="DX1031" s="34"/>
      <c r="DY1031" s="34"/>
      <c r="DZ1031" s="34"/>
      <c r="EA1031" s="34"/>
    </row>
    <row r="1032" spans="1:131" ht="11.25">
      <c r="A1032" s="1"/>
      <c r="B1032" s="1"/>
      <c r="C1032" s="1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53"/>
      <c r="O1032" s="53"/>
      <c r="P1032" s="53"/>
      <c r="Q1032" s="34"/>
      <c r="R1032" s="34"/>
      <c r="S1032" s="34"/>
      <c r="T1032" s="34"/>
      <c r="U1032" s="34"/>
      <c r="V1032" s="34"/>
      <c r="W1032" s="34"/>
      <c r="X1032" s="34"/>
      <c r="Y1032" s="34"/>
      <c r="Z1032" s="34"/>
      <c r="AA1032" s="34"/>
      <c r="AB1032" s="34"/>
      <c r="AC1032" s="34"/>
      <c r="AD1032" s="34"/>
      <c r="AE1032" s="34"/>
      <c r="AF1032" s="34"/>
      <c r="AG1032" s="34"/>
      <c r="AH1032" s="34"/>
      <c r="AI1032" s="34"/>
      <c r="AJ1032" s="34"/>
      <c r="AK1032" s="34"/>
      <c r="AL1032" s="34"/>
      <c r="AM1032" s="34"/>
      <c r="AN1032" s="34"/>
      <c r="AO1032" s="34"/>
      <c r="AP1032" s="34"/>
      <c r="AQ1032" s="34"/>
      <c r="AR1032" s="34"/>
      <c r="AS1032" s="34"/>
      <c r="AT1032" s="34"/>
      <c r="AU1032" s="34"/>
      <c r="AV1032" s="34"/>
      <c r="AW1032" s="34"/>
      <c r="AX1032" s="34"/>
      <c r="AY1032" s="34"/>
      <c r="AZ1032" s="34"/>
      <c r="BA1032" s="34"/>
      <c r="BB1032" s="34"/>
      <c r="BC1032" s="34"/>
      <c r="BD1032" s="34"/>
      <c r="BE1032" s="34"/>
      <c r="BF1032" s="34"/>
      <c r="BG1032" s="34"/>
      <c r="BH1032" s="34"/>
      <c r="BI1032" s="34"/>
      <c r="BJ1032" s="34"/>
      <c r="BK1032" s="34"/>
      <c r="BL1032" s="34"/>
      <c r="BM1032" s="34"/>
      <c r="BN1032" s="34"/>
      <c r="BO1032" s="34"/>
      <c r="BP1032" s="34"/>
      <c r="BQ1032" s="34"/>
      <c r="BR1032" s="34"/>
      <c r="BS1032" s="34"/>
      <c r="BT1032" s="34"/>
      <c r="BU1032" s="34"/>
      <c r="BV1032" s="34"/>
      <c r="BW1032" s="34"/>
      <c r="BX1032" s="34"/>
      <c r="BY1032" s="34"/>
      <c r="BZ1032" s="34"/>
      <c r="CA1032" s="34"/>
      <c r="CB1032" s="34"/>
      <c r="CC1032" s="34"/>
      <c r="CD1032" s="34"/>
      <c r="CE1032" s="34"/>
      <c r="CF1032" s="34"/>
      <c r="CG1032" s="34"/>
      <c r="CH1032" s="34"/>
      <c r="CI1032" s="34"/>
      <c r="CJ1032" s="34"/>
      <c r="CK1032" s="34"/>
      <c r="CL1032" s="34"/>
      <c r="CM1032" s="34"/>
      <c r="CN1032" s="34"/>
      <c r="CO1032" s="34"/>
      <c r="CP1032" s="34"/>
      <c r="CQ1032" s="34"/>
      <c r="CR1032" s="34"/>
      <c r="CS1032" s="34"/>
      <c r="CT1032" s="34"/>
      <c r="CU1032" s="34"/>
      <c r="CV1032" s="34"/>
      <c r="CW1032" s="34"/>
      <c r="CX1032" s="34"/>
      <c r="CY1032" s="34"/>
      <c r="CZ1032" s="34"/>
      <c r="DA1032" s="34"/>
      <c r="DB1032" s="34"/>
      <c r="DC1032" s="34"/>
      <c r="DD1032" s="34"/>
      <c r="DE1032" s="34"/>
      <c r="DF1032" s="34"/>
      <c r="DG1032" s="34"/>
      <c r="DH1032" s="34"/>
      <c r="DI1032" s="34"/>
      <c r="DJ1032" s="34"/>
      <c r="DK1032" s="34"/>
      <c r="DL1032" s="34"/>
      <c r="DM1032" s="34"/>
      <c r="DN1032" s="34"/>
      <c r="DO1032" s="34"/>
      <c r="DP1032" s="34"/>
      <c r="DQ1032" s="34"/>
      <c r="DR1032" s="34"/>
      <c r="DS1032" s="34"/>
      <c r="DT1032" s="34"/>
      <c r="DU1032" s="34"/>
      <c r="DV1032" s="34"/>
      <c r="DW1032" s="34"/>
      <c r="DX1032" s="34"/>
      <c r="DY1032" s="34"/>
      <c r="DZ1032" s="34"/>
      <c r="EA1032" s="34"/>
    </row>
    <row r="1033" spans="1:131" ht="11.25">
      <c r="A1033" s="1"/>
      <c r="B1033" s="1"/>
      <c r="C1033" s="1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53"/>
      <c r="O1033" s="53"/>
      <c r="P1033" s="53"/>
      <c r="Q1033" s="34"/>
      <c r="R1033" s="34"/>
      <c r="S1033" s="34"/>
      <c r="T1033" s="34"/>
      <c r="U1033" s="34"/>
      <c r="V1033" s="34"/>
      <c r="W1033" s="34"/>
      <c r="X1033" s="34"/>
      <c r="Y1033" s="34"/>
      <c r="Z1033" s="34"/>
      <c r="AA1033" s="34"/>
      <c r="AB1033" s="34"/>
      <c r="AC1033" s="34"/>
      <c r="AD1033" s="34"/>
      <c r="AE1033" s="34"/>
      <c r="AF1033" s="34"/>
      <c r="AG1033" s="34"/>
      <c r="AH1033" s="34"/>
      <c r="AI1033" s="34"/>
      <c r="AJ1033" s="34"/>
      <c r="AK1033" s="34"/>
      <c r="AL1033" s="34"/>
      <c r="AM1033" s="34"/>
      <c r="AN1033" s="34"/>
      <c r="AO1033" s="34"/>
      <c r="AP1033" s="34"/>
      <c r="AQ1033" s="34"/>
      <c r="AR1033" s="34"/>
      <c r="AS1033" s="34"/>
      <c r="AT1033" s="34"/>
      <c r="AU1033" s="34"/>
      <c r="AV1033" s="34"/>
      <c r="AW1033" s="34"/>
      <c r="AX1033" s="34"/>
      <c r="AY1033" s="34"/>
      <c r="AZ1033" s="34"/>
      <c r="BA1033" s="34"/>
      <c r="BB1033" s="34"/>
      <c r="BC1033" s="34"/>
      <c r="BD1033" s="34"/>
      <c r="BE1033" s="34"/>
      <c r="BF1033" s="34"/>
      <c r="BG1033" s="34"/>
      <c r="BH1033" s="34"/>
      <c r="BI1033" s="34"/>
      <c r="BJ1033" s="34"/>
      <c r="BK1033" s="34"/>
      <c r="BL1033" s="34"/>
      <c r="BM1033" s="34"/>
      <c r="BN1033" s="34"/>
      <c r="BO1033" s="34"/>
      <c r="BP1033" s="34"/>
      <c r="BQ1033" s="34"/>
      <c r="BR1033" s="34"/>
      <c r="BS1033" s="34"/>
      <c r="BT1033" s="34"/>
      <c r="BU1033" s="34"/>
      <c r="BV1033" s="34"/>
      <c r="BW1033" s="34"/>
      <c r="BX1033" s="34"/>
      <c r="BY1033" s="34"/>
      <c r="BZ1033" s="34"/>
      <c r="CA1033" s="34"/>
      <c r="CB1033" s="34"/>
      <c r="CC1033" s="34"/>
      <c r="CD1033" s="34"/>
      <c r="CE1033" s="34"/>
      <c r="CF1033" s="34"/>
      <c r="CG1033" s="34"/>
      <c r="CH1033" s="34"/>
      <c r="CI1033" s="34"/>
      <c r="CJ1033" s="34"/>
      <c r="CK1033" s="34"/>
      <c r="CL1033" s="34"/>
      <c r="CM1033" s="34"/>
      <c r="CN1033" s="34"/>
      <c r="CO1033" s="34"/>
      <c r="CP1033" s="34"/>
      <c r="CQ1033" s="34"/>
      <c r="CR1033" s="34"/>
      <c r="CS1033" s="34"/>
      <c r="CT1033" s="34"/>
      <c r="CU1033" s="34"/>
      <c r="CV1033" s="34"/>
      <c r="CW1033" s="34"/>
      <c r="CX1033" s="34"/>
      <c r="CY1033" s="34"/>
      <c r="CZ1033" s="34"/>
      <c r="DA1033" s="34"/>
      <c r="DB1033" s="34"/>
      <c r="DC1033" s="34"/>
      <c r="DD1033" s="34"/>
      <c r="DE1033" s="34"/>
      <c r="DF1033" s="34"/>
      <c r="DG1033" s="34"/>
      <c r="DH1033" s="34"/>
      <c r="DI1033" s="34"/>
      <c r="DJ1033" s="34"/>
      <c r="DK1033" s="34"/>
      <c r="DL1033" s="34"/>
      <c r="DM1033" s="34"/>
      <c r="DN1033" s="34"/>
      <c r="DO1033" s="34"/>
      <c r="DP1033" s="34"/>
      <c r="DQ1033" s="34"/>
      <c r="DR1033" s="34"/>
      <c r="DS1033" s="34"/>
      <c r="DT1033" s="34"/>
      <c r="DU1033" s="34"/>
      <c r="DV1033" s="34"/>
      <c r="DW1033" s="34"/>
      <c r="DX1033" s="34"/>
      <c r="DY1033" s="34"/>
      <c r="DZ1033" s="34"/>
      <c r="EA1033" s="34"/>
    </row>
    <row r="1034" spans="1:131" ht="11.25">
      <c r="A1034" s="1"/>
      <c r="B1034" s="1"/>
      <c r="C1034" s="1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53"/>
      <c r="O1034" s="53"/>
      <c r="P1034" s="53"/>
      <c r="Q1034" s="34"/>
      <c r="R1034" s="34"/>
      <c r="S1034" s="34"/>
      <c r="T1034" s="34"/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  <c r="AF1034" s="34"/>
      <c r="AG1034" s="34"/>
      <c r="AH1034" s="34"/>
      <c r="AI1034" s="34"/>
      <c r="AJ1034" s="34"/>
      <c r="AK1034" s="34"/>
      <c r="AL1034" s="34"/>
      <c r="AM1034" s="34"/>
      <c r="AN1034" s="34"/>
      <c r="AO1034" s="34"/>
      <c r="AP1034" s="34"/>
      <c r="AQ1034" s="34"/>
      <c r="AR1034" s="34"/>
      <c r="AS1034" s="34"/>
      <c r="AT1034" s="34"/>
      <c r="AU1034" s="34"/>
      <c r="AV1034" s="34"/>
      <c r="AW1034" s="34"/>
      <c r="AX1034" s="34"/>
      <c r="AY1034" s="34"/>
      <c r="AZ1034" s="34"/>
      <c r="BA1034" s="34"/>
      <c r="BB1034" s="34"/>
      <c r="BC1034" s="34"/>
      <c r="BD1034" s="34"/>
      <c r="BE1034" s="34"/>
      <c r="BF1034" s="34"/>
      <c r="BG1034" s="34"/>
      <c r="BH1034" s="34"/>
      <c r="BI1034" s="34"/>
      <c r="BJ1034" s="34"/>
      <c r="BK1034" s="34"/>
      <c r="BL1034" s="34"/>
      <c r="BM1034" s="34"/>
      <c r="BN1034" s="34"/>
      <c r="BO1034" s="34"/>
      <c r="BP1034" s="34"/>
      <c r="BQ1034" s="34"/>
      <c r="BR1034" s="34"/>
      <c r="BS1034" s="34"/>
      <c r="BT1034" s="34"/>
      <c r="BU1034" s="34"/>
      <c r="BV1034" s="34"/>
      <c r="BW1034" s="34"/>
      <c r="BX1034" s="34"/>
      <c r="BY1034" s="34"/>
      <c r="BZ1034" s="34"/>
      <c r="CA1034" s="34"/>
      <c r="CB1034" s="34"/>
      <c r="CC1034" s="34"/>
      <c r="CD1034" s="34"/>
      <c r="CE1034" s="34"/>
      <c r="CF1034" s="34"/>
      <c r="CG1034" s="34"/>
      <c r="CH1034" s="34"/>
      <c r="CI1034" s="34"/>
      <c r="CJ1034" s="34"/>
      <c r="CK1034" s="34"/>
      <c r="CL1034" s="34"/>
      <c r="CM1034" s="34"/>
      <c r="CN1034" s="34"/>
      <c r="CO1034" s="34"/>
      <c r="CP1034" s="34"/>
      <c r="CQ1034" s="34"/>
      <c r="CR1034" s="34"/>
      <c r="CS1034" s="34"/>
      <c r="CT1034" s="34"/>
      <c r="CU1034" s="34"/>
      <c r="CV1034" s="34"/>
      <c r="CW1034" s="34"/>
      <c r="CX1034" s="34"/>
      <c r="CY1034" s="34"/>
      <c r="CZ1034" s="34"/>
      <c r="DA1034" s="34"/>
      <c r="DB1034" s="34"/>
      <c r="DC1034" s="34"/>
      <c r="DD1034" s="34"/>
      <c r="DE1034" s="34"/>
      <c r="DF1034" s="34"/>
      <c r="DG1034" s="34"/>
      <c r="DH1034" s="34"/>
      <c r="DI1034" s="34"/>
      <c r="DJ1034" s="34"/>
      <c r="DK1034" s="34"/>
      <c r="DL1034" s="34"/>
      <c r="DM1034" s="34"/>
      <c r="DN1034" s="34"/>
      <c r="DO1034" s="34"/>
      <c r="DP1034" s="34"/>
      <c r="DQ1034" s="34"/>
      <c r="DR1034" s="34"/>
      <c r="DS1034" s="34"/>
      <c r="DT1034" s="34"/>
      <c r="DU1034" s="34"/>
      <c r="DV1034" s="34"/>
      <c r="DW1034" s="34"/>
      <c r="DX1034" s="34"/>
      <c r="DY1034" s="34"/>
      <c r="DZ1034" s="34"/>
      <c r="EA1034" s="34"/>
    </row>
    <row r="1035" spans="1:131" ht="11.25">
      <c r="A1035" s="1"/>
      <c r="B1035" s="1"/>
      <c r="C1035" s="1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53"/>
      <c r="O1035" s="53"/>
      <c r="P1035" s="53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34"/>
      <c r="AF1035" s="34"/>
      <c r="AG1035" s="34"/>
      <c r="AH1035" s="34"/>
      <c r="AI1035" s="34"/>
      <c r="AJ1035" s="34"/>
      <c r="AK1035" s="34"/>
      <c r="AL1035" s="34"/>
      <c r="AM1035" s="34"/>
      <c r="AN1035" s="34"/>
      <c r="AO1035" s="34"/>
      <c r="AP1035" s="34"/>
      <c r="AQ1035" s="34"/>
      <c r="AR1035" s="34"/>
      <c r="AS1035" s="34"/>
      <c r="AT1035" s="34"/>
      <c r="AU1035" s="34"/>
      <c r="AV1035" s="34"/>
      <c r="AW1035" s="34"/>
      <c r="AX1035" s="34"/>
      <c r="AY1035" s="34"/>
      <c r="AZ1035" s="34"/>
      <c r="BA1035" s="34"/>
      <c r="BB1035" s="34"/>
      <c r="BC1035" s="34"/>
      <c r="BD1035" s="34"/>
      <c r="BE1035" s="34"/>
      <c r="BF1035" s="34"/>
      <c r="BG1035" s="34"/>
      <c r="BH1035" s="34"/>
      <c r="BI1035" s="34"/>
      <c r="BJ1035" s="34"/>
      <c r="BK1035" s="34"/>
      <c r="BL1035" s="34"/>
      <c r="BM1035" s="34"/>
      <c r="BN1035" s="34"/>
      <c r="BO1035" s="34"/>
      <c r="BP1035" s="34"/>
      <c r="BQ1035" s="34"/>
      <c r="BR1035" s="34"/>
      <c r="BS1035" s="34"/>
      <c r="BT1035" s="34"/>
      <c r="BU1035" s="34"/>
      <c r="BV1035" s="34"/>
      <c r="BW1035" s="34"/>
      <c r="BX1035" s="34"/>
      <c r="BY1035" s="34"/>
      <c r="BZ1035" s="34"/>
      <c r="CA1035" s="34"/>
      <c r="CB1035" s="34"/>
      <c r="CC1035" s="34"/>
      <c r="CD1035" s="34"/>
      <c r="CE1035" s="34"/>
      <c r="CF1035" s="34"/>
      <c r="CG1035" s="34"/>
      <c r="CH1035" s="34"/>
      <c r="CI1035" s="34"/>
      <c r="CJ1035" s="34"/>
      <c r="CK1035" s="34"/>
      <c r="CL1035" s="34"/>
      <c r="CM1035" s="34"/>
      <c r="CN1035" s="34"/>
      <c r="CO1035" s="34"/>
      <c r="CP1035" s="34"/>
      <c r="CQ1035" s="34"/>
      <c r="CR1035" s="34"/>
      <c r="CS1035" s="34"/>
      <c r="CT1035" s="34"/>
      <c r="CU1035" s="34"/>
      <c r="CV1035" s="34"/>
      <c r="CW1035" s="34"/>
      <c r="CX1035" s="34"/>
      <c r="CY1035" s="34"/>
      <c r="CZ1035" s="34"/>
      <c r="DA1035" s="34"/>
      <c r="DB1035" s="34"/>
      <c r="DC1035" s="34"/>
      <c r="DD1035" s="34"/>
      <c r="DE1035" s="34"/>
      <c r="DF1035" s="34"/>
      <c r="DG1035" s="34"/>
      <c r="DH1035" s="34"/>
      <c r="DI1035" s="34"/>
      <c r="DJ1035" s="34"/>
      <c r="DK1035" s="34"/>
      <c r="DL1035" s="34"/>
      <c r="DM1035" s="34"/>
      <c r="DN1035" s="34"/>
      <c r="DO1035" s="34"/>
      <c r="DP1035" s="34"/>
      <c r="DQ1035" s="34"/>
      <c r="DR1035" s="34"/>
      <c r="DS1035" s="34"/>
      <c r="DT1035" s="34"/>
      <c r="DU1035" s="34"/>
      <c r="DV1035" s="34"/>
      <c r="DW1035" s="34"/>
      <c r="DX1035" s="34"/>
      <c r="DY1035" s="34"/>
      <c r="DZ1035" s="34"/>
      <c r="EA1035" s="34"/>
    </row>
    <row r="1036" spans="1:131" ht="11.25">
      <c r="A1036" s="1"/>
      <c r="B1036" s="1"/>
      <c r="C1036" s="1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53"/>
      <c r="O1036" s="53"/>
      <c r="P1036" s="53"/>
      <c r="Q1036" s="34"/>
      <c r="R1036" s="34"/>
      <c r="S1036" s="34"/>
      <c r="T1036" s="34"/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34"/>
      <c r="AF1036" s="34"/>
      <c r="AG1036" s="34"/>
      <c r="AH1036" s="34"/>
      <c r="AI1036" s="34"/>
      <c r="AJ1036" s="34"/>
      <c r="AK1036" s="34"/>
      <c r="AL1036" s="34"/>
      <c r="AM1036" s="34"/>
      <c r="AN1036" s="34"/>
      <c r="AO1036" s="34"/>
      <c r="AP1036" s="34"/>
      <c r="AQ1036" s="34"/>
      <c r="AR1036" s="34"/>
      <c r="AS1036" s="34"/>
      <c r="AT1036" s="34"/>
      <c r="AU1036" s="34"/>
      <c r="AV1036" s="34"/>
      <c r="AW1036" s="34"/>
      <c r="AX1036" s="34"/>
      <c r="AY1036" s="34"/>
      <c r="AZ1036" s="34"/>
      <c r="BA1036" s="34"/>
      <c r="BB1036" s="34"/>
      <c r="BC1036" s="34"/>
      <c r="BD1036" s="34"/>
      <c r="BE1036" s="34"/>
      <c r="BF1036" s="34"/>
      <c r="BG1036" s="34"/>
      <c r="BH1036" s="34"/>
      <c r="BI1036" s="34"/>
      <c r="BJ1036" s="34"/>
      <c r="BK1036" s="34"/>
      <c r="BL1036" s="34"/>
      <c r="BM1036" s="34"/>
      <c r="BN1036" s="34"/>
      <c r="BO1036" s="34"/>
      <c r="BP1036" s="34"/>
      <c r="BQ1036" s="34"/>
      <c r="BR1036" s="34"/>
      <c r="BS1036" s="34"/>
      <c r="BT1036" s="34"/>
      <c r="BU1036" s="34"/>
      <c r="BV1036" s="34"/>
      <c r="BW1036" s="34"/>
      <c r="BX1036" s="34"/>
      <c r="BY1036" s="34"/>
      <c r="BZ1036" s="34"/>
      <c r="CA1036" s="34"/>
      <c r="CB1036" s="34"/>
      <c r="CC1036" s="34"/>
      <c r="CD1036" s="34"/>
      <c r="CE1036" s="34"/>
      <c r="CF1036" s="34"/>
      <c r="CG1036" s="34"/>
      <c r="CH1036" s="34"/>
      <c r="CI1036" s="34"/>
      <c r="CJ1036" s="34"/>
      <c r="CK1036" s="34"/>
      <c r="CL1036" s="34"/>
      <c r="CM1036" s="34"/>
      <c r="CN1036" s="34"/>
      <c r="CO1036" s="34"/>
      <c r="CP1036" s="34"/>
      <c r="CQ1036" s="34"/>
      <c r="CR1036" s="34"/>
      <c r="CS1036" s="34"/>
      <c r="CT1036" s="34"/>
      <c r="CU1036" s="34"/>
      <c r="CV1036" s="34"/>
      <c r="CW1036" s="34"/>
      <c r="CX1036" s="34"/>
      <c r="CY1036" s="34"/>
      <c r="CZ1036" s="34"/>
      <c r="DA1036" s="34"/>
      <c r="DB1036" s="34"/>
      <c r="DC1036" s="34"/>
      <c r="DD1036" s="34"/>
      <c r="DE1036" s="34"/>
      <c r="DF1036" s="34"/>
      <c r="DG1036" s="34"/>
      <c r="DH1036" s="34"/>
      <c r="DI1036" s="34"/>
      <c r="DJ1036" s="34"/>
      <c r="DK1036" s="34"/>
      <c r="DL1036" s="34"/>
      <c r="DM1036" s="34"/>
      <c r="DN1036" s="34"/>
      <c r="DO1036" s="34"/>
      <c r="DP1036" s="34"/>
      <c r="DQ1036" s="34"/>
      <c r="DR1036" s="34"/>
      <c r="DS1036" s="34"/>
      <c r="DT1036" s="34"/>
      <c r="DU1036" s="34"/>
      <c r="DV1036" s="34"/>
      <c r="DW1036" s="34"/>
      <c r="DX1036" s="34"/>
      <c r="DY1036" s="34"/>
      <c r="DZ1036" s="34"/>
      <c r="EA1036" s="34"/>
    </row>
    <row r="1037" spans="1:131" ht="11.25">
      <c r="A1037" s="1"/>
      <c r="B1037" s="1"/>
      <c r="C1037" s="1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53"/>
      <c r="O1037" s="53"/>
      <c r="P1037" s="53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  <c r="AF1037" s="34"/>
      <c r="AG1037" s="34"/>
      <c r="AH1037" s="34"/>
      <c r="AI1037" s="34"/>
      <c r="AJ1037" s="34"/>
      <c r="AK1037" s="34"/>
      <c r="AL1037" s="34"/>
      <c r="AM1037" s="34"/>
      <c r="AN1037" s="34"/>
      <c r="AO1037" s="34"/>
      <c r="AP1037" s="34"/>
      <c r="AQ1037" s="34"/>
      <c r="AR1037" s="34"/>
      <c r="AS1037" s="34"/>
      <c r="AT1037" s="34"/>
      <c r="AU1037" s="34"/>
      <c r="AV1037" s="34"/>
      <c r="AW1037" s="34"/>
      <c r="AX1037" s="34"/>
      <c r="AY1037" s="34"/>
      <c r="AZ1037" s="34"/>
      <c r="BA1037" s="34"/>
      <c r="BB1037" s="34"/>
      <c r="BC1037" s="34"/>
      <c r="BD1037" s="34"/>
      <c r="BE1037" s="34"/>
      <c r="BF1037" s="34"/>
      <c r="BG1037" s="34"/>
      <c r="BH1037" s="34"/>
      <c r="BI1037" s="34"/>
      <c r="BJ1037" s="34"/>
      <c r="BK1037" s="34"/>
      <c r="BL1037" s="34"/>
      <c r="BM1037" s="34"/>
      <c r="BN1037" s="34"/>
      <c r="BO1037" s="34"/>
      <c r="BP1037" s="34"/>
      <c r="BQ1037" s="34"/>
      <c r="BR1037" s="34"/>
      <c r="BS1037" s="34"/>
      <c r="BT1037" s="34"/>
      <c r="BU1037" s="34"/>
      <c r="BV1037" s="34"/>
      <c r="BW1037" s="34"/>
      <c r="BX1037" s="34"/>
      <c r="BY1037" s="34"/>
      <c r="BZ1037" s="34"/>
      <c r="CA1037" s="34"/>
      <c r="CB1037" s="34"/>
      <c r="CC1037" s="34"/>
      <c r="CD1037" s="34"/>
      <c r="CE1037" s="34"/>
      <c r="CF1037" s="34"/>
      <c r="CG1037" s="34"/>
      <c r="CH1037" s="34"/>
      <c r="CI1037" s="34"/>
      <c r="CJ1037" s="34"/>
      <c r="CK1037" s="34"/>
      <c r="CL1037" s="34"/>
      <c r="CM1037" s="34"/>
      <c r="CN1037" s="34"/>
      <c r="CO1037" s="34"/>
      <c r="CP1037" s="34"/>
      <c r="CQ1037" s="34"/>
      <c r="CR1037" s="34"/>
      <c r="CS1037" s="34"/>
      <c r="CT1037" s="34"/>
      <c r="CU1037" s="34"/>
      <c r="CV1037" s="34"/>
      <c r="CW1037" s="34"/>
      <c r="CX1037" s="34"/>
      <c r="CY1037" s="34"/>
      <c r="CZ1037" s="34"/>
      <c r="DA1037" s="34"/>
      <c r="DB1037" s="34"/>
      <c r="DC1037" s="34"/>
      <c r="DD1037" s="34"/>
      <c r="DE1037" s="34"/>
      <c r="DF1037" s="34"/>
      <c r="DG1037" s="34"/>
      <c r="DH1037" s="34"/>
      <c r="DI1037" s="34"/>
      <c r="DJ1037" s="34"/>
      <c r="DK1037" s="34"/>
      <c r="DL1037" s="34"/>
      <c r="DM1037" s="34"/>
      <c r="DN1037" s="34"/>
      <c r="DO1037" s="34"/>
      <c r="DP1037" s="34"/>
      <c r="DQ1037" s="34"/>
      <c r="DR1037" s="34"/>
      <c r="DS1037" s="34"/>
      <c r="DT1037" s="34"/>
      <c r="DU1037" s="34"/>
      <c r="DV1037" s="34"/>
      <c r="DW1037" s="34"/>
      <c r="DX1037" s="34"/>
      <c r="DY1037" s="34"/>
      <c r="DZ1037" s="34"/>
      <c r="EA1037" s="34"/>
    </row>
    <row r="1038" spans="1:131" ht="11.25">
      <c r="A1038" s="1"/>
      <c r="B1038" s="1"/>
      <c r="C1038" s="1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53"/>
      <c r="O1038" s="53"/>
      <c r="P1038" s="53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34"/>
      <c r="AF1038" s="34"/>
      <c r="AG1038" s="34"/>
      <c r="AH1038" s="34"/>
      <c r="AI1038" s="34"/>
      <c r="AJ1038" s="34"/>
      <c r="AK1038" s="34"/>
      <c r="AL1038" s="34"/>
      <c r="AM1038" s="34"/>
      <c r="AN1038" s="34"/>
      <c r="AO1038" s="34"/>
      <c r="AP1038" s="34"/>
      <c r="AQ1038" s="34"/>
      <c r="AR1038" s="34"/>
      <c r="AS1038" s="34"/>
      <c r="AT1038" s="34"/>
      <c r="AU1038" s="34"/>
      <c r="AV1038" s="34"/>
      <c r="AW1038" s="34"/>
      <c r="AX1038" s="34"/>
      <c r="AY1038" s="34"/>
      <c r="AZ1038" s="34"/>
      <c r="BA1038" s="34"/>
      <c r="BB1038" s="34"/>
      <c r="BC1038" s="34"/>
      <c r="BD1038" s="34"/>
      <c r="BE1038" s="34"/>
      <c r="BF1038" s="34"/>
      <c r="BG1038" s="34"/>
      <c r="BH1038" s="34"/>
      <c r="BI1038" s="34"/>
      <c r="BJ1038" s="34"/>
      <c r="BK1038" s="34"/>
      <c r="BL1038" s="34"/>
      <c r="BM1038" s="34"/>
      <c r="BN1038" s="34"/>
      <c r="BO1038" s="34"/>
      <c r="BP1038" s="34"/>
      <c r="BQ1038" s="34"/>
      <c r="BR1038" s="34"/>
      <c r="BS1038" s="34"/>
      <c r="BT1038" s="34"/>
      <c r="BU1038" s="34"/>
      <c r="BV1038" s="34"/>
      <c r="BW1038" s="34"/>
      <c r="BX1038" s="34"/>
      <c r="BY1038" s="34"/>
      <c r="BZ1038" s="34"/>
      <c r="CA1038" s="34"/>
      <c r="CB1038" s="34"/>
      <c r="CC1038" s="34"/>
      <c r="CD1038" s="34"/>
      <c r="CE1038" s="34"/>
      <c r="CF1038" s="34"/>
      <c r="CG1038" s="34"/>
      <c r="CH1038" s="34"/>
      <c r="CI1038" s="34"/>
      <c r="CJ1038" s="34"/>
      <c r="CK1038" s="34"/>
      <c r="CL1038" s="34"/>
      <c r="CM1038" s="34"/>
      <c r="CN1038" s="34"/>
      <c r="CO1038" s="34"/>
      <c r="CP1038" s="34"/>
      <c r="CQ1038" s="34"/>
      <c r="CR1038" s="34"/>
      <c r="CS1038" s="34"/>
      <c r="CT1038" s="34"/>
      <c r="CU1038" s="34"/>
      <c r="CV1038" s="34"/>
      <c r="CW1038" s="34"/>
      <c r="CX1038" s="34"/>
      <c r="CY1038" s="34"/>
      <c r="CZ1038" s="34"/>
      <c r="DA1038" s="34"/>
      <c r="DB1038" s="34"/>
      <c r="DC1038" s="34"/>
      <c r="DD1038" s="34"/>
      <c r="DE1038" s="34"/>
      <c r="DF1038" s="34"/>
      <c r="DG1038" s="34"/>
      <c r="DH1038" s="34"/>
      <c r="DI1038" s="34"/>
      <c r="DJ1038" s="34"/>
      <c r="DK1038" s="34"/>
      <c r="DL1038" s="34"/>
      <c r="DM1038" s="34"/>
      <c r="DN1038" s="34"/>
      <c r="DO1038" s="34"/>
      <c r="DP1038" s="34"/>
      <c r="DQ1038" s="34"/>
      <c r="DR1038" s="34"/>
      <c r="DS1038" s="34"/>
      <c r="DT1038" s="34"/>
      <c r="DU1038" s="34"/>
      <c r="DV1038" s="34"/>
      <c r="DW1038" s="34"/>
      <c r="DX1038" s="34"/>
      <c r="DY1038" s="34"/>
      <c r="DZ1038" s="34"/>
      <c r="EA1038" s="34"/>
    </row>
    <row r="1039" spans="1:131" ht="11.25">
      <c r="A1039" s="1"/>
      <c r="B1039" s="1"/>
      <c r="C1039" s="1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53"/>
      <c r="O1039" s="53"/>
      <c r="P1039" s="53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  <c r="AA1039" s="34"/>
      <c r="AB1039" s="34"/>
      <c r="AC1039" s="34"/>
      <c r="AD1039" s="34"/>
      <c r="AE1039" s="34"/>
      <c r="AF1039" s="34"/>
      <c r="AG1039" s="34"/>
      <c r="AH1039" s="34"/>
      <c r="AI1039" s="34"/>
      <c r="AJ1039" s="34"/>
      <c r="AK1039" s="34"/>
      <c r="AL1039" s="34"/>
      <c r="AM1039" s="34"/>
      <c r="AN1039" s="34"/>
      <c r="AO1039" s="34"/>
      <c r="AP1039" s="34"/>
      <c r="AQ1039" s="34"/>
      <c r="AR1039" s="34"/>
      <c r="AS1039" s="34"/>
      <c r="AT1039" s="34"/>
      <c r="AU1039" s="34"/>
      <c r="AV1039" s="34"/>
      <c r="AW1039" s="34"/>
      <c r="AX1039" s="34"/>
      <c r="AY1039" s="34"/>
      <c r="AZ1039" s="34"/>
      <c r="BA1039" s="34"/>
      <c r="BB1039" s="34"/>
      <c r="BC1039" s="34"/>
      <c r="BD1039" s="34"/>
      <c r="BE1039" s="34"/>
      <c r="BF1039" s="34"/>
      <c r="BG1039" s="34"/>
      <c r="BH1039" s="34"/>
      <c r="BI1039" s="34"/>
      <c r="BJ1039" s="34"/>
      <c r="BK1039" s="34"/>
      <c r="BL1039" s="34"/>
      <c r="BM1039" s="34"/>
      <c r="BN1039" s="34"/>
      <c r="BO1039" s="34"/>
      <c r="BP1039" s="34"/>
      <c r="BQ1039" s="34"/>
      <c r="BR1039" s="34"/>
      <c r="BS1039" s="34"/>
      <c r="BT1039" s="34"/>
      <c r="BU1039" s="34"/>
      <c r="BV1039" s="34"/>
      <c r="BW1039" s="34"/>
      <c r="BX1039" s="34"/>
      <c r="BY1039" s="34"/>
      <c r="BZ1039" s="34"/>
      <c r="CA1039" s="34"/>
      <c r="CB1039" s="34"/>
      <c r="CC1039" s="34"/>
      <c r="CD1039" s="34"/>
      <c r="CE1039" s="34"/>
      <c r="CF1039" s="34"/>
      <c r="CG1039" s="34"/>
      <c r="CH1039" s="34"/>
      <c r="CI1039" s="34"/>
      <c r="CJ1039" s="34"/>
      <c r="CK1039" s="34"/>
      <c r="CL1039" s="34"/>
      <c r="CM1039" s="34"/>
      <c r="CN1039" s="34"/>
      <c r="CO1039" s="34"/>
      <c r="CP1039" s="34"/>
      <c r="CQ1039" s="34"/>
      <c r="CR1039" s="34"/>
      <c r="CS1039" s="34"/>
      <c r="CT1039" s="34"/>
      <c r="CU1039" s="34"/>
      <c r="CV1039" s="34"/>
      <c r="CW1039" s="34"/>
      <c r="CX1039" s="34"/>
      <c r="CY1039" s="34"/>
      <c r="CZ1039" s="34"/>
      <c r="DA1039" s="34"/>
      <c r="DB1039" s="34"/>
      <c r="DC1039" s="34"/>
      <c r="DD1039" s="34"/>
      <c r="DE1039" s="34"/>
      <c r="DF1039" s="34"/>
      <c r="DG1039" s="34"/>
      <c r="DH1039" s="34"/>
      <c r="DI1039" s="34"/>
      <c r="DJ1039" s="34"/>
      <c r="DK1039" s="34"/>
      <c r="DL1039" s="34"/>
      <c r="DM1039" s="34"/>
      <c r="DN1039" s="34"/>
      <c r="DO1039" s="34"/>
      <c r="DP1039" s="34"/>
      <c r="DQ1039" s="34"/>
      <c r="DR1039" s="34"/>
      <c r="DS1039" s="34"/>
      <c r="DT1039" s="34"/>
      <c r="DU1039" s="34"/>
      <c r="DV1039" s="34"/>
      <c r="DW1039" s="34"/>
      <c r="DX1039" s="34"/>
      <c r="DY1039" s="34"/>
      <c r="DZ1039" s="34"/>
      <c r="EA1039" s="34"/>
    </row>
    <row r="1040" spans="1:131" ht="11.25">
      <c r="A1040" s="1"/>
      <c r="B1040" s="1"/>
      <c r="C1040" s="1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53"/>
      <c r="O1040" s="53"/>
      <c r="P1040" s="53"/>
      <c r="Q1040" s="34"/>
      <c r="R1040" s="34"/>
      <c r="S1040" s="34"/>
      <c r="T1040" s="34"/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34"/>
      <c r="AF1040" s="34"/>
      <c r="AG1040" s="34"/>
      <c r="AH1040" s="34"/>
      <c r="AI1040" s="34"/>
      <c r="AJ1040" s="34"/>
      <c r="AK1040" s="34"/>
      <c r="AL1040" s="34"/>
      <c r="AM1040" s="34"/>
      <c r="AN1040" s="34"/>
      <c r="AO1040" s="34"/>
      <c r="AP1040" s="34"/>
      <c r="AQ1040" s="34"/>
      <c r="AR1040" s="34"/>
      <c r="AS1040" s="34"/>
      <c r="AT1040" s="34"/>
      <c r="AU1040" s="34"/>
      <c r="AV1040" s="34"/>
      <c r="AW1040" s="34"/>
      <c r="AX1040" s="34"/>
      <c r="AY1040" s="34"/>
      <c r="AZ1040" s="34"/>
      <c r="BA1040" s="34"/>
      <c r="BB1040" s="34"/>
      <c r="BC1040" s="34"/>
      <c r="BD1040" s="34"/>
      <c r="BE1040" s="34"/>
      <c r="BF1040" s="34"/>
      <c r="BG1040" s="34"/>
      <c r="BH1040" s="34"/>
      <c r="BI1040" s="34"/>
      <c r="BJ1040" s="34"/>
      <c r="BK1040" s="34"/>
      <c r="BL1040" s="34"/>
      <c r="BM1040" s="34"/>
      <c r="BN1040" s="34"/>
      <c r="BO1040" s="34"/>
      <c r="BP1040" s="34"/>
      <c r="BQ1040" s="34"/>
      <c r="BR1040" s="34"/>
      <c r="BS1040" s="34"/>
      <c r="BT1040" s="34"/>
      <c r="BU1040" s="34"/>
      <c r="BV1040" s="34"/>
      <c r="BW1040" s="34"/>
      <c r="BX1040" s="34"/>
      <c r="BY1040" s="34"/>
      <c r="BZ1040" s="34"/>
      <c r="CA1040" s="34"/>
      <c r="CB1040" s="34"/>
      <c r="CC1040" s="34"/>
      <c r="CD1040" s="34"/>
      <c r="CE1040" s="34"/>
      <c r="CF1040" s="34"/>
      <c r="CG1040" s="34"/>
      <c r="CH1040" s="34"/>
      <c r="CI1040" s="34"/>
      <c r="CJ1040" s="34"/>
      <c r="CK1040" s="34"/>
      <c r="CL1040" s="34"/>
      <c r="CM1040" s="34"/>
      <c r="CN1040" s="34"/>
      <c r="CO1040" s="34"/>
      <c r="CP1040" s="34"/>
      <c r="CQ1040" s="34"/>
      <c r="CR1040" s="34"/>
      <c r="CS1040" s="34"/>
      <c r="CT1040" s="34"/>
      <c r="CU1040" s="34"/>
      <c r="CV1040" s="34"/>
      <c r="CW1040" s="34"/>
      <c r="CX1040" s="34"/>
      <c r="CY1040" s="34"/>
      <c r="CZ1040" s="34"/>
      <c r="DA1040" s="34"/>
      <c r="DB1040" s="34"/>
      <c r="DC1040" s="34"/>
      <c r="DD1040" s="34"/>
      <c r="DE1040" s="34"/>
      <c r="DF1040" s="34"/>
      <c r="DG1040" s="34"/>
      <c r="DH1040" s="34"/>
      <c r="DI1040" s="34"/>
      <c r="DJ1040" s="34"/>
      <c r="DK1040" s="34"/>
      <c r="DL1040" s="34"/>
      <c r="DM1040" s="34"/>
      <c r="DN1040" s="34"/>
      <c r="DO1040" s="34"/>
      <c r="DP1040" s="34"/>
      <c r="DQ1040" s="34"/>
      <c r="DR1040" s="34"/>
      <c r="DS1040" s="34"/>
      <c r="DT1040" s="34"/>
      <c r="DU1040" s="34"/>
      <c r="DV1040" s="34"/>
      <c r="DW1040" s="34"/>
      <c r="DX1040" s="34"/>
      <c r="DY1040" s="34"/>
      <c r="DZ1040" s="34"/>
      <c r="EA1040" s="34"/>
    </row>
    <row r="1041" spans="1:131" ht="11.25">
      <c r="A1041" s="1"/>
      <c r="B1041" s="1"/>
      <c r="C1041" s="1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53"/>
      <c r="O1041" s="53"/>
      <c r="P1041" s="53"/>
      <c r="Q1041" s="34"/>
      <c r="R1041" s="34"/>
      <c r="S1041" s="34"/>
      <c r="T1041" s="34"/>
      <c r="U1041" s="34"/>
      <c r="V1041" s="34"/>
      <c r="W1041" s="34"/>
      <c r="X1041" s="34"/>
      <c r="Y1041" s="34"/>
      <c r="Z1041" s="34"/>
      <c r="AA1041" s="34"/>
      <c r="AB1041" s="34"/>
      <c r="AC1041" s="34"/>
      <c r="AD1041" s="34"/>
      <c r="AE1041" s="34"/>
      <c r="AF1041" s="34"/>
      <c r="AG1041" s="34"/>
      <c r="AH1041" s="34"/>
      <c r="AI1041" s="34"/>
      <c r="AJ1041" s="34"/>
      <c r="AK1041" s="34"/>
      <c r="AL1041" s="34"/>
      <c r="AM1041" s="34"/>
      <c r="AN1041" s="34"/>
      <c r="AO1041" s="34"/>
      <c r="AP1041" s="34"/>
      <c r="AQ1041" s="34"/>
      <c r="AR1041" s="34"/>
      <c r="AS1041" s="34"/>
      <c r="AT1041" s="34"/>
      <c r="AU1041" s="34"/>
      <c r="AV1041" s="34"/>
      <c r="AW1041" s="34"/>
      <c r="AX1041" s="34"/>
      <c r="AY1041" s="34"/>
      <c r="AZ1041" s="34"/>
      <c r="BA1041" s="34"/>
      <c r="BB1041" s="34"/>
      <c r="BC1041" s="34"/>
      <c r="BD1041" s="34"/>
      <c r="BE1041" s="34"/>
      <c r="BF1041" s="34"/>
      <c r="BG1041" s="34"/>
      <c r="BH1041" s="34"/>
      <c r="BI1041" s="34"/>
      <c r="BJ1041" s="34"/>
      <c r="BK1041" s="34"/>
      <c r="BL1041" s="34"/>
      <c r="BM1041" s="34"/>
      <c r="BN1041" s="34"/>
      <c r="BO1041" s="34"/>
      <c r="BP1041" s="34"/>
      <c r="BQ1041" s="34"/>
      <c r="BR1041" s="34"/>
      <c r="BS1041" s="34"/>
      <c r="BT1041" s="34"/>
      <c r="BU1041" s="34"/>
      <c r="BV1041" s="34"/>
      <c r="BW1041" s="34"/>
      <c r="BX1041" s="34"/>
      <c r="BY1041" s="34"/>
      <c r="BZ1041" s="34"/>
      <c r="CA1041" s="34"/>
      <c r="CB1041" s="34"/>
      <c r="CC1041" s="34"/>
      <c r="CD1041" s="34"/>
      <c r="CE1041" s="34"/>
      <c r="CF1041" s="34"/>
      <c r="CG1041" s="34"/>
      <c r="CH1041" s="34"/>
      <c r="CI1041" s="34"/>
      <c r="CJ1041" s="34"/>
      <c r="CK1041" s="34"/>
      <c r="CL1041" s="34"/>
      <c r="CM1041" s="34"/>
      <c r="CN1041" s="34"/>
      <c r="CO1041" s="34"/>
      <c r="CP1041" s="34"/>
      <c r="CQ1041" s="34"/>
      <c r="CR1041" s="34"/>
      <c r="CS1041" s="34"/>
      <c r="CT1041" s="34"/>
      <c r="CU1041" s="34"/>
      <c r="CV1041" s="34"/>
      <c r="CW1041" s="34"/>
      <c r="CX1041" s="34"/>
      <c r="CY1041" s="34"/>
      <c r="CZ1041" s="34"/>
      <c r="DA1041" s="34"/>
      <c r="DB1041" s="34"/>
      <c r="DC1041" s="34"/>
      <c r="DD1041" s="34"/>
      <c r="DE1041" s="34"/>
      <c r="DF1041" s="34"/>
      <c r="DG1041" s="34"/>
      <c r="DH1041" s="34"/>
      <c r="DI1041" s="34"/>
      <c r="DJ1041" s="34"/>
      <c r="DK1041" s="34"/>
      <c r="DL1041" s="34"/>
      <c r="DM1041" s="34"/>
      <c r="DN1041" s="34"/>
      <c r="DO1041" s="34"/>
      <c r="DP1041" s="34"/>
      <c r="DQ1041" s="34"/>
      <c r="DR1041" s="34"/>
      <c r="DS1041" s="34"/>
      <c r="DT1041" s="34"/>
      <c r="DU1041" s="34"/>
      <c r="DV1041" s="34"/>
      <c r="DW1041" s="34"/>
      <c r="DX1041" s="34"/>
      <c r="DY1041" s="34"/>
      <c r="DZ1041" s="34"/>
      <c r="EA1041" s="34"/>
    </row>
    <row r="1042" spans="1:131" ht="11.25">
      <c r="A1042" s="1"/>
      <c r="B1042" s="1"/>
      <c r="C1042" s="1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53"/>
      <c r="O1042" s="53"/>
      <c r="P1042" s="53"/>
      <c r="Q1042" s="34"/>
      <c r="R1042" s="34"/>
      <c r="S1042" s="34"/>
      <c r="T1042" s="34"/>
      <c r="U1042" s="34"/>
      <c r="V1042" s="34"/>
      <c r="W1042" s="34"/>
      <c r="X1042" s="34"/>
      <c r="Y1042" s="34"/>
      <c r="Z1042" s="34"/>
      <c r="AA1042" s="34"/>
      <c r="AB1042" s="34"/>
      <c r="AC1042" s="34"/>
      <c r="AD1042" s="34"/>
      <c r="AE1042" s="34"/>
      <c r="AF1042" s="34"/>
      <c r="AG1042" s="34"/>
      <c r="AH1042" s="34"/>
      <c r="AI1042" s="34"/>
      <c r="AJ1042" s="34"/>
      <c r="AK1042" s="34"/>
      <c r="AL1042" s="34"/>
      <c r="AM1042" s="34"/>
      <c r="AN1042" s="34"/>
      <c r="AO1042" s="34"/>
      <c r="AP1042" s="34"/>
      <c r="AQ1042" s="34"/>
      <c r="AR1042" s="34"/>
      <c r="AS1042" s="34"/>
      <c r="AT1042" s="34"/>
      <c r="AU1042" s="34"/>
      <c r="AV1042" s="34"/>
      <c r="AW1042" s="34"/>
      <c r="AX1042" s="34"/>
      <c r="AY1042" s="34"/>
      <c r="AZ1042" s="34"/>
      <c r="BA1042" s="34"/>
      <c r="BB1042" s="34"/>
      <c r="BC1042" s="34"/>
      <c r="BD1042" s="34"/>
      <c r="BE1042" s="34"/>
      <c r="BF1042" s="34"/>
      <c r="BG1042" s="34"/>
      <c r="BH1042" s="34"/>
      <c r="BI1042" s="34"/>
      <c r="BJ1042" s="34"/>
      <c r="BK1042" s="34"/>
      <c r="BL1042" s="34"/>
      <c r="BM1042" s="34"/>
      <c r="BN1042" s="34"/>
      <c r="BO1042" s="34"/>
      <c r="BP1042" s="34"/>
      <c r="BQ1042" s="34"/>
      <c r="BR1042" s="34"/>
      <c r="BS1042" s="34"/>
      <c r="BT1042" s="34"/>
      <c r="BU1042" s="34"/>
      <c r="BV1042" s="34"/>
      <c r="BW1042" s="34"/>
      <c r="BX1042" s="34"/>
      <c r="BY1042" s="34"/>
      <c r="BZ1042" s="34"/>
      <c r="CA1042" s="34"/>
      <c r="CB1042" s="34"/>
      <c r="CC1042" s="34"/>
      <c r="CD1042" s="34"/>
      <c r="CE1042" s="34"/>
      <c r="CF1042" s="34"/>
      <c r="CG1042" s="34"/>
      <c r="CH1042" s="34"/>
      <c r="CI1042" s="34"/>
      <c r="CJ1042" s="34"/>
      <c r="CK1042" s="34"/>
      <c r="CL1042" s="34"/>
      <c r="CM1042" s="34"/>
      <c r="CN1042" s="34"/>
      <c r="CO1042" s="34"/>
      <c r="CP1042" s="34"/>
      <c r="CQ1042" s="34"/>
      <c r="CR1042" s="34"/>
      <c r="CS1042" s="34"/>
      <c r="CT1042" s="34"/>
      <c r="CU1042" s="34"/>
      <c r="CV1042" s="34"/>
      <c r="CW1042" s="34"/>
      <c r="CX1042" s="34"/>
      <c r="CY1042" s="34"/>
      <c r="CZ1042" s="34"/>
      <c r="DA1042" s="34"/>
      <c r="DB1042" s="34"/>
      <c r="DC1042" s="34"/>
      <c r="DD1042" s="34"/>
      <c r="DE1042" s="34"/>
      <c r="DF1042" s="34"/>
      <c r="DG1042" s="34"/>
      <c r="DH1042" s="34"/>
      <c r="DI1042" s="34"/>
      <c r="DJ1042" s="34"/>
      <c r="DK1042" s="34"/>
      <c r="DL1042" s="34"/>
      <c r="DM1042" s="34"/>
      <c r="DN1042" s="34"/>
      <c r="DO1042" s="34"/>
      <c r="DP1042" s="34"/>
      <c r="DQ1042" s="34"/>
      <c r="DR1042" s="34"/>
      <c r="DS1042" s="34"/>
      <c r="DT1042" s="34"/>
      <c r="DU1042" s="34"/>
      <c r="DV1042" s="34"/>
      <c r="DW1042" s="34"/>
      <c r="DX1042" s="34"/>
      <c r="DY1042" s="34"/>
      <c r="DZ1042" s="34"/>
      <c r="EA1042" s="34"/>
    </row>
    <row r="1043" spans="1:131" ht="11.25">
      <c r="A1043" s="1"/>
      <c r="B1043" s="1"/>
      <c r="C1043" s="1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53"/>
      <c r="O1043" s="53"/>
      <c r="P1043" s="53"/>
      <c r="Q1043" s="34"/>
      <c r="R1043" s="34"/>
      <c r="S1043" s="34"/>
      <c r="T1043" s="34"/>
      <c r="U1043" s="34"/>
      <c r="V1043" s="34"/>
      <c r="W1043" s="34"/>
      <c r="X1043" s="34"/>
      <c r="Y1043" s="34"/>
      <c r="Z1043" s="34"/>
      <c r="AA1043" s="34"/>
      <c r="AB1043" s="34"/>
      <c r="AC1043" s="34"/>
      <c r="AD1043" s="34"/>
      <c r="AE1043" s="34"/>
      <c r="AF1043" s="34"/>
      <c r="AG1043" s="34"/>
      <c r="AH1043" s="34"/>
      <c r="AI1043" s="34"/>
      <c r="AJ1043" s="34"/>
      <c r="AK1043" s="34"/>
      <c r="AL1043" s="34"/>
      <c r="AM1043" s="34"/>
      <c r="AN1043" s="34"/>
      <c r="AO1043" s="34"/>
      <c r="AP1043" s="34"/>
      <c r="AQ1043" s="34"/>
      <c r="AR1043" s="34"/>
      <c r="AS1043" s="34"/>
      <c r="AT1043" s="34"/>
      <c r="AU1043" s="34"/>
      <c r="AV1043" s="34"/>
      <c r="AW1043" s="34"/>
      <c r="AX1043" s="34"/>
      <c r="AY1043" s="34"/>
      <c r="AZ1043" s="34"/>
      <c r="BA1043" s="34"/>
      <c r="BB1043" s="34"/>
      <c r="BC1043" s="34"/>
      <c r="BD1043" s="34"/>
      <c r="BE1043" s="34"/>
      <c r="BF1043" s="34"/>
      <c r="BG1043" s="34"/>
      <c r="BH1043" s="34"/>
      <c r="BI1043" s="34"/>
      <c r="BJ1043" s="34"/>
      <c r="BK1043" s="34"/>
      <c r="BL1043" s="34"/>
      <c r="BM1043" s="34"/>
      <c r="BN1043" s="34"/>
      <c r="BO1043" s="34"/>
      <c r="BP1043" s="34"/>
      <c r="BQ1043" s="34"/>
      <c r="BR1043" s="34"/>
      <c r="BS1043" s="34"/>
      <c r="BT1043" s="34"/>
      <c r="BU1043" s="34"/>
      <c r="BV1043" s="34"/>
      <c r="BW1043" s="34"/>
      <c r="BX1043" s="34"/>
      <c r="BY1043" s="34"/>
      <c r="BZ1043" s="34"/>
      <c r="CA1043" s="34"/>
      <c r="CB1043" s="34"/>
      <c r="CC1043" s="34"/>
      <c r="CD1043" s="34"/>
      <c r="CE1043" s="34"/>
      <c r="CF1043" s="34"/>
      <c r="CG1043" s="34"/>
      <c r="CH1043" s="34"/>
      <c r="CI1043" s="34"/>
      <c r="CJ1043" s="34"/>
      <c r="CK1043" s="34"/>
      <c r="CL1043" s="34"/>
      <c r="CM1043" s="34"/>
      <c r="CN1043" s="34"/>
      <c r="CO1043" s="34"/>
      <c r="CP1043" s="34"/>
      <c r="CQ1043" s="34"/>
      <c r="CR1043" s="34"/>
      <c r="CS1043" s="34"/>
      <c r="CT1043" s="34"/>
      <c r="CU1043" s="34"/>
      <c r="CV1043" s="34"/>
      <c r="CW1043" s="34"/>
      <c r="CX1043" s="34"/>
      <c r="CY1043" s="34"/>
      <c r="CZ1043" s="34"/>
      <c r="DA1043" s="34"/>
      <c r="DB1043" s="34"/>
      <c r="DC1043" s="34"/>
      <c r="DD1043" s="34"/>
      <c r="DE1043" s="34"/>
      <c r="DF1043" s="34"/>
      <c r="DG1043" s="34"/>
      <c r="DH1043" s="34"/>
      <c r="DI1043" s="34"/>
      <c r="DJ1043" s="34"/>
      <c r="DK1043" s="34"/>
      <c r="DL1043" s="34"/>
      <c r="DM1043" s="34"/>
      <c r="DN1043" s="34"/>
      <c r="DO1043" s="34"/>
      <c r="DP1043" s="34"/>
      <c r="DQ1043" s="34"/>
      <c r="DR1043" s="34"/>
      <c r="DS1043" s="34"/>
      <c r="DT1043" s="34"/>
      <c r="DU1043" s="34"/>
      <c r="DV1043" s="34"/>
      <c r="DW1043" s="34"/>
      <c r="DX1043" s="34"/>
      <c r="DY1043" s="34"/>
      <c r="DZ1043" s="34"/>
      <c r="EA1043" s="34"/>
    </row>
    <row r="1044" spans="1:131" ht="11.25">
      <c r="A1044" s="1"/>
      <c r="B1044" s="1"/>
      <c r="C1044" s="1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53"/>
      <c r="O1044" s="53"/>
      <c r="P1044" s="53"/>
      <c r="Q1044" s="34"/>
      <c r="R1044" s="34"/>
      <c r="S1044" s="34"/>
      <c r="T1044" s="34"/>
      <c r="U1044" s="34"/>
      <c r="V1044" s="34"/>
      <c r="W1044" s="34"/>
      <c r="X1044" s="34"/>
      <c r="Y1044" s="34"/>
      <c r="Z1044" s="34"/>
      <c r="AA1044" s="34"/>
      <c r="AB1044" s="34"/>
      <c r="AC1044" s="34"/>
      <c r="AD1044" s="34"/>
      <c r="AE1044" s="34"/>
      <c r="AF1044" s="34"/>
      <c r="AG1044" s="34"/>
      <c r="AH1044" s="34"/>
      <c r="AI1044" s="34"/>
      <c r="AJ1044" s="34"/>
      <c r="AK1044" s="34"/>
      <c r="AL1044" s="34"/>
      <c r="AM1044" s="34"/>
      <c r="AN1044" s="34"/>
      <c r="AO1044" s="34"/>
      <c r="AP1044" s="34"/>
      <c r="AQ1044" s="34"/>
      <c r="AR1044" s="34"/>
      <c r="AS1044" s="34"/>
      <c r="AT1044" s="34"/>
      <c r="AU1044" s="34"/>
      <c r="AV1044" s="34"/>
      <c r="AW1044" s="34"/>
      <c r="AX1044" s="34"/>
      <c r="AY1044" s="34"/>
      <c r="AZ1044" s="34"/>
      <c r="BA1044" s="34"/>
      <c r="BB1044" s="34"/>
      <c r="BC1044" s="34"/>
      <c r="BD1044" s="34"/>
      <c r="BE1044" s="34"/>
      <c r="BF1044" s="34"/>
      <c r="BG1044" s="34"/>
      <c r="BH1044" s="34"/>
      <c r="BI1044" s="34"/>
      <c r="BJ1044" s="34"/>
      <c r="BK1044" s="34"/>
      <c r="BL1044" s="34"/>
      <c r="BM1044" s="34"/>
      <c r="BN1044" s="34"/>
      <c r="BO1044" s="34"/>
      <c r="BP1044" s="34"/>
      <c r="BQ1044" s="34"/>
      <c r="BR1044" s="34"/>
      <c r="BS1044" s="34"/>
      <c r="BT1044" s="34"/>
      <c r="BU1044" s="34"/>
      <c r="BV1044" s="34"/>
      <c r="BW1044" s="34"/>
      <c r="BX1044" s="34"/>
      <c r="BY1044" s="34"/>
      <c r="BZ1044" s="34"/>
      <c r="CA1044" s="34"/>
      <c r="CB1044" s="34"/>
      <c r="CC1044" s="34"/>
      <c r="CD1044" s="34"/>
      <c r="CE1044" s="34"/>
      <c r="CF1044" s="34"/>
      <c r="CG1044" s="34"/>
      <c r="CH1044" s="34"/>
      <c r="CI1044" s="34"/>
      <c r="CJ1044" s="34"/>
      <c r="CK1044" s="34"/>
      <c r="CL1044" s="34"/>
      <c r="CM1044" s="34"/>
      <c r="CN1044" s="34"/>
      <c r="CO1044" s="34"/>
      <c r="CP1044" s="34"/>
      <c r="CQ1044" s="34"/>
      <c r="CR1044" s="34"/>
      <c r="CS1044" s="34"/>
      <c r="CT1044" s="34"/>
      <c r="CU1044" s="34"/>
      <c r="CV1044" s="34"/>
      <c r="CW1044" s="34"/>
      <c r="CX1044" s="34"/>
      <c r="CY1044" s="34"/>
      <c r="CZ1044" s="34"/>
      <c r="DA1044" s="34"/>
      <c r="DB1044" s="34"/>
      <c r="DC1044" s="34"/>
      <c r="DD1044" s="34"/>
      <c r="DE1044" s="34"/>
      <c r="DF1044" s="34"/>
      <c r="DG1044" s="34"/>
      <c r="DH1044" s="34"/>
      <c r="DI1044" s="34"/>
      <c r="DJ1044" s="34"/>
      <c r="DK1044" s="34"/>
      <c r="DL1044" s="34"/>
      <c r="DM1044" s="34"/>
      <c r="DN1044" s="34"/>
      <c r="DO1044" s="34"/>
      <c r="DP1044" s="34"/>
      <c r="DQ1044" s="34"/>
      <c r="DR1044" s="34"/>
      <c r="DS1044" s="34"/>
      <c r="DT1044" s="34"/>
      <c r="DU1044" s="34"/>
      <c r="DV1044" s="34"/>
      <c r="DW1044" s="34"/>
      <c r="DX1044" s="34"/>
      <c r="DY1044" s="34"/>
      <c r="DZ1044" s="34"/>
      <c r="EA1044" s="34"/>
    </row>
    <row r="1045" spans="1:131" ht="11.25">
      <c r="A1045" s="1"/>
      <c r="B1045" s="1"/>
      <c r="C1045" s="1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53"/>
      <c r="O1045" s="53"/>
      <c r="P1045" s="53"/>
      <c r="Q1045" s="34"/>
      <c r="R1045" s="34"/>
      <c r="S1045" s="34"/>
      <c r="T1045" s="34"/>
      <c r="U1045" s="34"/>
      <c r="V1045" s="34"/>
      <c r="W1045" s="34"/>
      <c r="X1045" s="34"/>
      <c r="Y1045" s="34"/>
      <c r="Z1045" s="34"/>
      <c r="AA1045" s="34"/>
      <c r="AB1045" s="34"/>
      <c r="AC1045" s="34"/>
      <c r="AD1045" s="34"/>
      <c r="AE1045" s="34"/>
      <c r="AF1045" s="34"/>
      <c r="AG1045" s="34"/>
      <c r="AH1045" s="34"/>
      <c r="AI1045" s="34"/>
      <c r="AJ1045" s="34"/>
      <c r="AK1045" s="34"/>
      <c r="AL1045" s="34"/>
      <c r="AM1045" s="34"/>
      <c r="AN1045" s="34"/>
      <c r="AO1045" s="34"/>
      <c r="AP1045" s="34"/>
      <c r="AQ1045" s="34"/>
      <c r="AR1045" s="34"/>
      <c r="AS1045" s="34"/>
      <c r="AT1045" s="34"/>
      <c r="AU1045" s="34"/>
      <c r="AV1045" s="34"/>
      <c r="AW1045" s="34"/>
      <c r="AX1045" s="34"/>
      <c r="AY1045" s="34"/>
      <c r="AZ1045" s="34"/>
      <c r="BA1045" s="34"/>
      <c r="BB1045" s="34"/>
      <c r="BC1045" s="34"/>
      <c r="BD1045" s="34"/>
      <c r="BE1045" s="34"/>
      <c r="BF1045" s="34"/>
      <c r="BG1045" s="34"/>
      <c r="BH1045" s="34"/>
      <c r="BI1045" s="34"/>
      <c r="BJ1045" s="34"/>
      <c r="BK1045" s="34"/>
      <c r="BL1045" s="34"/>
      <c r="BM1045" s="34"/>
      <c r="BN1045" s="34"/>
      <c r="BO1045" s="34"/>
      <c r="BP1045" s="34"/>
      <c r="BQ1045" s="34"/>
      <c r="BR1045" s="34"/>
      <c r="BS1045" s="34"/>
      <c r="BT1045" s="34"/>
      <c r="BU1045" s="34"/>
      <c r="BV1045" s="34"/>
      <c r="BW1045" s="34"/>
      <c r="BX1045" s="34"/>
      <c r="BY1045" s="34"/>
      <c r="BZ1045" s="34"/>
      <c r="CA1045" s="34"/>
      <c r="CB1045" s="34"/>
      <c r="CC1045" s="34"/>
      <c r="CD1045" s="34"/>
      <c r="CE1045" s="34"/>
      <c r="CF1045" s="34"/>
      <c r="CG1045" s="34"/>
      <c r="CH1045" s="34"/>
      <c r="CI1045" s="34"/>
      <c r="CJ1045" s="34"/>
      <c r="CK1045" s="34"/>
      <c r="CL1045" s="34"/>
      <c r="CM1045" s="34"/>
      <c r="CN1045" s="34"/>
      <c r="CO1045" s="34"/>
      <c r="CP1045" s="34"/>
      <c r="CQ1045" s="34"/>
      <c r="CR1045" s="34"/>
      <c r="CS1045" s="34"/>
      <c r="CT1045" s="34"/>
      <c r="CU1045" s="34"/>
      <c r="CV1045" s="34"/>
      <c r="CW1045" s="34"/>
      <c r="CX1045" s="34"/>
      <c r="CY1045" s="34"/>
      <c r="CZ1045" s="34"/>
      <c r="DA1045" s="34"/>
      <c r="DB1045" s="34"/>
      <c r="DC1045" s="34"/>
      <c r="DD1045" s="34"/>
      <c r="DE1045" s="34"/>
      <c r="DF1045" s="34"/>
      <c r="DG1045" s="34"/>
      <c r="DH1045" s="34"/>
      <c r="DI1045" s="34"/>
      <c r="DJ1045" s="34"/>
      <c r="DK1045" s="34"/>
      <c r="DL1045" s="34"/>
      <c r="DM1045" s="34"/>
      <c r="DN1045" s="34"/>
      <c r="DO1045" s="34"/>
      <c r="DP1045" s="34"/>
      <c r="DQ1045" s="34"/>
      <c r="DR1045" s="34"/>
      <c r="DS1045" s="34"/>
      <c r="DT1045" s="34"/>
      <c r="DU1045" s="34"/>
      <c r="DV1045" s="34"/>
      <c r="DW1045" s="34"/>
      <c r="DX1045" s="34"/>
      <c r="DY1045" s="34"/>
      <c r="DZ1045" s="34"/>
      <c r="EA1045" s="34"/>
    </row>
    <row r="1046" spans="1:131" ht="11.25">
      <c r="A1046" s="1"/>
      <c r="B1046" s="1"/>
      <c r="C1046" s="1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53"/>
      <c r="O1046" s="53"/>
      <c r="P1046" s="53"/>
      <c r="Q1046" s="34"/>
      <c r="R1046" s="34"/>
      <c r="S1046" s="34"/>
      <c r="T1046" s="34"/>
      <c r="U1046" s="34"/>
      <c r="V1046" s="34"/>
      <c r="W1046" s="34"/>
      <c r="X1046" s="34"/>
      <c r="Y1046" s="34"/>
      <c r="Z1046" s="34"/>
      <c r="AA1046" s="34"/>
      <c r="AB1046" s="34"/>
      <c r="AC1046" s="34"/>
      <c r="AD1046" s="34"/>
      <c r="AE1046" s="34"/>
      <c r="AF1046" s="34"/>
      <c r="AG1046" s="34"/>
      <c r="AH1046" s="34"/>
      <c r="AI1046" s="34"/>
      <c r="AJ1046" s="34"/>
      <c r="AK1046" s="34"/>
      <c r="AL1046" s="34"/>
      <c r="AM1046" s="34"/>
      <c r="AN1046" s="34"/>
      <c r="AO1046" s="34"/>
      <c r="AP1046" s="34"/>
      <c r="AQ1046" s="34"/>
      <c r="AR1046" s="34"/>
      <c r="AS1046" s="34"/>
      <c r="AT1046" s="34"/>
      <c r="AU1046" s="34"/>
      <c r="AV1046" s="34"/>
      <c r="AW1046" s="34"/>
      <c r="AX1046" s="34"/>
      <c r="AY1046" s="34"/>
      <c r="AZ1046" s="34"/>
      <c r="BA1046" s="34"/>
      <c r="BB1046" s="34"/>
      <c r="BC1046" s="34"/>
      <c r="BD1046" s="34"/>
      <c r="BE1046" s="34"/>
      <c r="BF1046" s="34"/>
      <c r="BG1046" s="34"/>
      <c r="BH1046" s="34"/>
      <c r="BI1046" s="34"/>
      <c r="BJ1046" s="34"/>
      <c r="BK1046" s="34"/>
      <c r="BL1046" s="34"/>
      <c r="BM1046" s="34"/>
      <c r="BN1046" s="34"/>
      <c r="BO1046" s="34"/>
      <c r="BP1046" s="34"/>
      <c r="BQ1046" s="34"/>
      <c r="BR1046" s="34"/>
      <c r="BS1046" s="34"/>
      <c r="BT1046" s="34"/>
      <c r="BU1046" s="34"/>
      <c r="BV1046" s="34"/>
      <c r="BW1046" s="34"/>
      <c r="BX1046" s="34"/>
      <c r="BY1046" s="34"/>
      <c r="BZ1046" s="34"/>
      <c r="CA1046" s="34"/>
      <c r="CB1046" s="34"/>
      <c r="CC1046" s="34"/>
      <c r="CD1046" s="34"/>
      <c r="CE1046" s="34"/>
      <c r="CF1046" s="34"/>
      <c r="CG1046" s="34"/>
      <c r="CH1046" s="34"/>
      <c r="CI1046" s="34"/>
      <c r="CJ1046" s="34"/>
      <c r="CK1046" s="34"/>
      <c r="CL1046" s="34"/>
      <c r="CM1046" s="34"/>
      <c r="CN1046" s="34"/>
      <c r="CO1046" s="34"/>
      <c r="CP1046" s="34"/>
      <c r="CQ1046" s="34"/>
      <c r="CR1046" s="34"/>
      <c r="CS1046" s="34"/>
      <c r="CT1046" s="34"/>
      <c r="CU1046" s="34"/>
      <c r="CV1046" s="34"/>
      <c r="CW1046" s="34"/>
      <c r="CX1046" s="34"/>
      <c r="CY1046" s="34"/>
      <c r="CZ1046" s="34"/>
      <c r="DA1046" s="34"/>
      <c r="DB1046" s="34"/>
      <c r="DC1046" s="34"/>
      <c r="DD1046" s="34"/>
      <c r="DE1046" s="34"/>
      <c r="DF1046" s="34"/>
      <c r="DG1046" s="34"/>
      <c r="DH1046" s="34"/>
      <c r="DI1046" s="34"/>
      <c r="DJ1046" s="34"/>
      <c r="DK1046" s="34"/>
      <c r="DL1046" s="34"/>
      <c r="DM1046" s="34"/>
      <c r="DN1046" s="34"/>
      <c r="DO1046" s="34"/>
      <c r="DP1046" s="34"/>
      <c r="DQ1046" s="34"/>
      <c r="DR1046" s="34"/>
      <c r="DS1046" s="34"/>
      <c r="DT1046" s="34"/>
      <c r="DU1046" s="34"/>
      <c r="DV1046" s="34"/>
      <c r="DW1046" s="34"/>
      <c r="DX1046" s="34"/>
      <c r="DY1046" s="34"/>
      <c r="DZ1046" s="34"/>
      <c r="EA1046" s="34"/>
    </row>
    <row r="1047" spans="1:131" ht="11.25">
      <c r="A1047" s="1"/>
      <c r="B1047" s="1"/>
      <c r="C1047" s="1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53"/>
      <c r="O1047" s="53"/>
      <c r="P1047" s="53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  <c r="AA1047" s="34"/>
      <c r="AB1047" s="34"/>
      <c r="AC1047" s="34"/>
      <c r="AD1047" s="34"/>
      <c r="AE1047" s="34"/>
      <c r="AF1047" s="34"/>
      <c r="AG1047" s="34"/>
      <c r="AH1047" s="34"/>
      <c r="AI1047" s="34"/>
      <c r="AJ1047" s="34"/>
      <c r="AK1047" s="34"/>
      <c r="AL1047" s="34"/>
      <c r="AM1047" s="34"/>
      <c r="AN1047" s="34"/>
      <c r="AO1047" s="34"/>
      <c r="AP1047" s="34"/>
      <c r="AQ1047" s="34"/>
      <c r="AR1047" s="34"/>
      <c r="AS1047" s="34"/>
      <c r="AT1047" s="34"/>
      <c r="AU1047" s="34"/>
      <c r="AV1047" s="34"/>
      <c r="AW1047" s="34"/>
      <c r="AX1047" s="34"/>
      <c r="AY1047" s="34"/>
      <c r="AZ1047" s="34"/>
      <c r="BA1047" s="34"/>
      <c r="BB1047" s="34"/>
      <c r="BC1047" s="34"/>
      <c r="BD1047" s="34"/>
      <c r="BE1047" s="34"/>
      <c r="BF1047" s="34"/>
      <c r="BG1047" s="34"/>
      <c r="BH1047" s="34"/>
      <c r="BI1047" s="34"/>
      <c r="BJ1047" s="34"/>
      <c r="BK1047" s="34"/>
      <c r="BL1047" s="34"/>
      <c r="BM1047" s="34"/>
      <c r="BN1047" s="34"/>
      <c r="BO1047" s="34"/>
      <c r="BP1047" s="34"/>
      <c r="BQ1047" s="34"/>
      <c r="BR1047" s="34"/>
      <c r="BS1047" s="34"/>
      <c r="BT1047" s="34"/>
      <c r="BU1047" s="34"/>
      <c r="BV1047" s="34"/>
      <c r="BW1047" s="34"/>
      <c r="BX1047" s="34"/>
      <c r="BY1047" s="34"/>
      <c r="BZ1047" s="34"/>
      <c r="CA1047" s="34"/>
      <c r="CB1047" s="34"/>
      <c r="CC1047" s="34"/>
      <c r="CD1047" s="34"/>
      <c r="CE1047" s="34"/>
      <c r="CF1047" s="34"/>
      <c r="CG1047" s="34"/>
      <c r="CH1047" s="34"/>
      <c r="CI1047" s="34"/>
      <c r="CJ1047" s="34"/>
      <c r="CK1047" s="34"/>
      <c r="CL1047" s="34"/>
      <c r="CM1047" s="34"/>
      <c r="CN1047" s="34"/>
      <c r="CO1047" s="34"/>
      <c r="CP1047" s="34"/>
      <c r="CQ1047" s="34"/>
      <c r="CR1047" s="34"/>
      <c r="CS1047" s="34"/>
      <c r="CT1047" s="34"/>
      <c r="CU1047" s="34"/>
      <c r="CV1047" s="34"/>
      <c r="CW1047" s="34"/>
      <c r="CX1047" s="34"/>
      <c r="CY1047" s="34"/>
      <c r="CZ1047" s="34"/>
      <c r="DA1047" s="34"/>
      <c r="DB1047" s="34"/>
      <c r="DC1047" s="34"/>
      <c r="DD1047" s="34"/>
      <c r="DE1047" s="34"/>
      <c r="DF1047" s="34"/>
      <c r="DG1047" s="34"/>
      <c r="DH1047" s="34"/>
      <c r="DI1047" s="34"/>
      <c r="DJ1047" s="34"/>
      <c r="DK1047" s="34"/>
      <c r="DL1047" s="34"/>
      <c r="DM1047" s="34"/>
      <c r="DN1047" s="34"/>
      <c r="DO1047" s="34"/>
      <c r="DP1047" s="34"/>
      <c r="DQ1047" s="34"/>
      <c r="DR1047" s="34"/>
      <c r="DS1047" s="34"/>
      <c r="DT1047" s="34"/>
      <c r="DU1047" s="34"/>
      <c r="DV1047" s="34"/>
      <c r="DW1047" s="34"/>
      <c r="DX1047" s="34"/>
      <c r="DY1047" s="34"/>
      <c r="DZ1047" s="34"/>
      <c r="EA1047" s="34"/>
    </row>
    <row r="1048" spans="1:131" ht="11.25">
      <c r="A1048" s="1"/>
      <c r="B1048" s="1"/>
      <c r="C1048" s="1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53"/>
      <c r="O1048" s="53"/>
      <c r="P1048" s="53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4"/>
      <c r="AD1048" s="34"/>
      <c r="AE1048" s="34"/>
      <c r="AF1048" s="34"/>
      <c r="AG1048" s="34"/>
      <c r="AH1048" s="34"/>
      <c r="AI1048" s="34"/>
      <c r="AJ1048" s="34"/>
      <c r="AK1048" s="34"/>
      <c r="AL1048" s="34"/>
      <c r="AM1048" s="34"/>
      <c r="AN1048" s="34"/>
      <c r="AO1048" s="34"/>
      <c r="AP1048" s="34"/>
      <c r="AQ1048" s="34"/>
      <c r="AR1048" s="34"/>
      <c r="AS1048" s="34"/>
      <c r="AT1048" s="34"/>
      <c r="AU1048" s="34"/>
      <c r="AV1048" s="34"/>
      <c r="AW1048" s="34"/>
      <c r="AX1048" s="34"/>
      <c r="AY1048" s="34"/>
      <c r="AZ1048" s="34"/>
      <c r="BA1048" s="34"/>
      <c r="BB1048" s="34"/>
      <c r="BC1048" s="34"/>
      <c r="BD1048" s="34"/>
      <c r="BE1048" s="34"/>
      <c r="BF1048" s="34"/>
      <c r="BG1048" s="34"/>
      <c r="BH1048" s="34"/>
      <c r="BI1048" s="34"/>
      <c r="BJ1048" s="34"/>
      <c r="BK1048" s="34"/>
      <c r="BL1048" s="34"/>
      <c r="BM1048" s="34"/>
      <c r="BN1048" s="34"/>
      <c r="BO1048" s="34"/>
      <c r="BP1048" s="34"/>
      <c r="BQ1048" s="34"/>
      <c r="BR1048" s="34"/>
      <c r="BS1048" s="34"/>
      <c r="BT1048" s="34"/>
      <c r="BU1048" s="34"/>
      <c r="BV1048" s="34"/>
      <c r="BW1048" s="34"/>
      <c r="BX1048" s="34"/>
      <c r="BY1048" s="34"/>
      <c r="BZ1048" s="34"/>
      <c r="CA1048" s="34"/>
      <c r="CB1048" s="34"/>
      <c r="CC1048" s="34"/>
      <c r="CD1048" s="34"/>
      <c r="CE1048" s="34"/>
      <c r="CF1048" s="34"/>
      <c r="CG1048" s="34"/>
      <c r="CH1048" s="34"/>
      <c r="CI1048" s="34"/>
      <c r="CJ1048" s="34"/>
      <c r="CK1048" s="34"/>
      <c r="CL1048" s="34"/>
      <c r="CM1048" s="34"/>
      <c r="CN1048" s="34"/>
      <c r="CO1048" s="34"/>
      <c r="CP1048" s="34"/>
      <c r="CQ1048" s="34"/>
      <c r="CR1048" s="34"/>
      <c r="CS1048" s="34"/>
      <c r="CT1048" s="34"/>
      <c r="CU1048" s="34"/>
      <c r="CV1048" s="34"/>
      <c r="CW1048" s="34"/>
      <c r="CX1048" s="34"/>
      <c r="CY1048" s="34"/>
      <c r="CZ1048" s="34"/>
      <c r="DA1048" s="34"/>
      <c r="DB1048" s="34"/>
      <c r="DC1048" s="34"/>
      <c r="DD1048" s="34"/>
      <c r="DE1048" s="34"/>
      <c r="DF1048" s="34"/>
      <c r="DG1048" s="34"/>
      <c r="DH1048" s="34"/>
      <c r="DI1048" s="34"/>
      <c r="DJ1048" s="34"/>
      <c r="DK1048" s="34"/>
      <c r="DL1048" s="34"/>
      <c r="DM1048" s="34"/>
      <c r="DN1048" s="34"/>
      <c r="DO1048" s="34"/>
      <c r="DP1048" s="34"/>
      <c r="DQ1048" s="34"/>
      <c r="DR1048" s="34"/>
      <c r="DS1048" s="34"/>
      <c r="DT1048" s="34"/>
      <c r="DU1048" s="34"/>
      <c r="DV1048" s="34"/>
      <c r="DW1048" s="34"/>
      <c r="DX1048" s="34"/>
      <c r="DY1048" s="34"/>
      <c r="DZ1048" s="34"/>
      <c r="EA1048" s="34"/>
    </row>
    <row r="1049" spans="1:131" ht="11.25">
      <c r="A1049" s="1"/>
      <c r="B1049" s="1"/>
      <c r="C1049" s="1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53"/>
      <c r="O1049" s="53"/>
      <c r="P1049" s="53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  <c r="AA1049" s="34"/>
      <c r="AB1049" s="34"/>
      <c r="AC1049" s="34"/>
      <c r="AD1049" s="34"/>
      <c r="AE1049" s="34"/>
      <c r="AF1049" s="34"/>
      <c r="AG1049" s="34"/>
      <c r="AH1049" s="34"/>
      <c r="AI1049" s="34"/>
      <c r="AJ1049" s="34"/>
      <c r="AK1049" s="34"/>
      <c r="AL1049" s="34"/>
      <c r="AM1049" s="34"/>
      <c r="AN1049" s="34"/>
      <c r="AO1049" s="34"/>
      <c r="AP1049" s="34"/>
      <c r="AQ1049" s="34"/>
      <c r="AR1049" s="34"/>
      <c r="AS1049" s="34"/>
      <c r="AT1049" s="34"/>
      <c r="AU1049" s="34"/>
      <c r="AV1049" s="34"/>
      <c r="AW1049" s="34"/>
      <c r="AX1049" s="34"/>
      <c r="AY1049" s="34"/>
      <c r="AZ1049" s="34"/>
      <c r="BA1049" s="34"/>
      <c r="BB1049" s="34"/>
      <c r="BC1049" s="34"/>
      <c r="BD1049" s="34"/>
      <c r="BE1049" s="34"/>
      <c r="BF1049" s="34"/>
      <c r="BG1049" s="34"/>
      <c r="BH1049" s="34"/>
      <c r="BI1049" s="34"/>
      <c r="BJ1049" s="34"/>
      <c r="BK1049" s="34"/>
      <c r="BL1049" s="34"/>
      <c r="BM1049" s="34"/>
      <c r="BN1049" s="34"/>
      <c r="BO1049" s="34"/>
      <c r="BP1049" s="34"/>
      <c r="BQ1049" s="34"/>
      <c r="BR1049" s="34"/>
      <c r="BS1049" s="34"/>
      <c r="BT1049" s="34"/>
      <c r="BU1049" s="34"/>
      <c r="BV1049" s="34"/>
      <c r="BW1049" s="34"/>
      <c r="BX1049" s="34"/>
      <c r="BY1049" s="34"/>
      <c r="BZ1049" s="34"/>
      <c r="CA1049" s="34"/>
      <c r="CB1049" s="34"/>
      <c r="CC1049" s="34"/>
      <c r="CD1049" s="34"/>
      <c r="CE1049" s="34"/>
      <c r="CF1049" s="34"/>
      <c r="CG1049" s="34"/>
      <c r="CH1049" s="34"/>
      <c r="CI1049" s="34"/>
      <c r="CJ1049" s="34"/>
      <c r="CK1049" s="34"/>
      <c r="CL1049" s="34"/>
      <c r="CM1049" s="34"/>
      <c r="CN1049" s="34"/>
      <c r="CO1049" s="34"/>
      <c r="CP1049" s="34"/>
      <c r="CQ1049" s="34"/>
      <c r="CR1049" s="34"/>
      <c r="CS1049" s="34"/>
      <c r="CT1049" s="34"/>
      <c r="CU1049" s="34"/>
      <c r="CV1049" s="34"/>
      <c r="CW1049" s="34"/>
      <c r="CX1049" s="34"/>
      <c r="CY1049" s="34"/>
      <c r="CZ1049" s="34"/>
      <c r="DA1049" s="34"/>
      <c r="DB1049" s="34"/>
      <c r="DC1049" s="34"/>
      <c r="DD1049" s="34"/>
      <c r="DE1049" s="34"/>
      <c r="DF1049" s="34"/>
      <c r="DG1049" s="34"/>
      <c r="DH1049" s="34"/>
      <c r="DI1049" s="34"/>
      <c r="DJ1049" s="34"/>
      <c r="DK1049" s="34"/>
      <c r="DL1049" s="34"/>
      <c r="DM1049" s="34"/>
      <c r="DN1049" s="34"/>
      <c r="DO1049" s="34"/>
      <c r="DP1049" s="34"/>
      <c r="DQ1049" s="34"/>
      <c r="DR1049" s="34"/>
      <c r="DS1049" s="34"/>
      <c r="DT1049" s="34"/>
      <c r="DU1049" s="34"/>
      <c r="DV1049" s="34"/>
      <c r="DW1049" s="34"/>
      <c r="DX1049" s="34"/>
      <c r="DY1049" s="34"/>
      <c r="DZ1049" s="34"/>
      <c r="EA1049" s="34"/>
    </row>
    <row r="1050" spans="1:131" ht="11.25">
      <c r="A1050" s="1"/>
      <c r="B1050" s="1"/>
      <c r="C1050" s="1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53"/>
      <c r="O1050" s="53"/>
      <c r="P1050" s="53"/>
      <c r="Q1050" s="34"/>
      <c r="R1050" s="34"/>
      <c r="S1050" s="34"/>
      <c r="T1050" s="34"/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  <c r="AF1050" s="34"/>
      <c r="AG1050" s="34"/>
      <c r="AH1050" s="34"/>
      <c r="AI1050" s="34"/>
      <c r="AJ1050" s="34"/>
      <c r="AK1050" s="34"/>
      <c r="AL1050" s="34"/>
      <c r="AM1050" s="34"/>
      <c r="AN1050" s="34"/>
      <c r="AO1050" s="34"/>
      <c r="AP1050" s="34"/>
      <c r="AQ1050" s="34"/>
      <c r="AR1050" s="34"/>
      <c r="AS1050" s="34"/>
      <c r="AT1050" s="34"/>
      <c r="AU1050" s="34"/>
      <c r="AV1050" s="34"/>
      <c r="AW1050" s="34"/>
      <c r="AX1050" s="34"/>
      <c r="AY1050" s="34"/>
      <c r="AZ1050" s="34"/>
      <c r="BA1050" s="34"/>
      <c r="BB1050" s="34"/>
      <c r="BC1050" s="34"/>
      <c r="BD1050" s="34"/>
      <c r="BE1050" s="34"/>
      <c r="BF1050" s="34"/>
      <c r="BG1050" s="34"/>
      <c r="BH1050" s="34"/>
      <c r="BI1050" s="34"/>
      <c r="BJ1050" s="34"/>
      <c r="BK1050" s="34"/>
      <c r="BL1050" s="34"/>
      <c r="BM1050" s="34"/>
      <c r="BN1050" s="34"/>
      <c r="BO1050" s="34"/>
      <c r="BP1050" s="34"/>
      <c r="BQ1050" s="34"/>
      <c r="BR1050" s="34"/>
      <c r="BS1050" s="34"/>
      <c r="BT1050" s="34"/>
      <c r="BU1050" s="34"/>
      <c r="BV1050" s="34"/>
      <c r="BW1050" s="34"/>
      <c r="BX1050" s="34"/>
      <c r="BY1050" s="34"/>
      <c r="BZ1050" s="34"/>
      <c r="CA1050" s="34"/>
      <c r="CB1050" s="34"/>
      <c r="CC1050" s="34"/>
      <c r="CD1050" s="34"/>
      <c r="CE1050" s="34"/>
      <c r="CF1050" s="34"/>
      <c r="CG1050" s="34"/>
      <c r="CH1050" s="34"/>
      <c r="CI1050" s="34"/>
      <c r="CJ1050" s="34"/>
      <c r="CK1050" s="34"/>
      <c r="CL1050" s="34"/>
      <c r="CM1050" s="34"/>
      <c r="CN1050" s="34"/>
      <c r="CO1050" s="34"/>
      <c r="CP1050" s="34"/>
      <c r="CQ1050" s="34"/>
      <c r="CR1050" s="34"/>
      <c r="CS1050" s="34"/>
      <c r="CT1050" s="34"/>
      <c r="CU1050" s="34"/>
      <c r="CV1050" s="34"/>
      <c r="CW1050" s="34"/>
      <c r="CX1050" s="34"/>
      <c r="CY1050" s="34"/>
      <c r="CZ1050" s="34"/>
      <c r="DA1050" s="34"/>
      <c r="DB1050" s="34"/>
      <c r="DC1050" s="34"/>
      <c r="DD1050" s="34"/>
      <c r="DE1050" s="34"/>
      <c r="DF1050" s="34"/>
      <c r="DG1050" s="34"/>
      <c r="DH1050" s="34"/>
      <c r="DI1050" s="34"/>
      <c r="DJ1050" s="34"/>
      <c r="DK1050" s="34"/>
      <c r="DL1050" s="34"/>
      <c r="DM1050" s="34"/>
      <c r="DN1050" s="34"/>
      <c r="DO1050" s="34"/>
      <c r="DP1050" s="34"/>
      <c r="DQ1050" s="34"/>
      <c r="DR1050" s="34"/>
      <c r="DS1050" s="34"/>
      <c r="DT1050" s="34"/>
      <c r="DU1050" s="34"/>
      <c r="DV1050" s="34"/>
      <c r="DW1050" s="34"/>
      <c r="DX1050" s="34"/>
      <c r="DY1050" s="34"/>
      <c r="DZ1050" s="34"/>
      <c r="EA1050" s="34"/>
    </row>
    <row r="1051" spans="1:131" ht="11.25">
      <c r="A1051" s="1"/>
      <c r="B1051" s="1"/>
      <c r="C1051" s="1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53"/>
      <c r="O1051" s="53"/>
      <c r="P1051" s="53"/>
      <c r="Q1051" s="34"/>
      <c r="R1051" s="34"/>
      <c r="S1051" s="34"/>
      <c r="T1051" s="34"/>
      <c r="U1051" s="34"/>
      <c r="V1051" s="34"/>
      <c r="W1051" s="34"/>
      <c r="X1051" s="34"/>
      <c r="Y1051" s="34"/>
      <c r="Z1051" s="34"/>
      <c r="AA1051" s="34"/>
      <c r="AB1051" s="34"/>
      <c r="AC1051" s="34"/>
      <c r="AD1051" s="34"/>
      <c r="AE1051" s="34"/>
      <c r="AF1051" s="34"/>
      <c r="AG1051" s="34"/>
      <c r="AH1051" s="34"/>
      <c r="AI1051" s="34"/>
      <c r="AJ1051" s="34"/>
      <c r="AK1051" s="34"/>
      <c r="AL1051" s="34"/>
      <c r="AM1051" s="34"/>
      <c r="AN1051" s="34"/>
      <c r="AO1051" s="34"/>
      <c r="AP1051" s="34"/>
      <c r="AQ1051" s="34"/>
      <c r="AR1051" s="34"/>
      <c r="AS1051" s="34"/>
      <c r="AT1051" s="34"/>
      <c r="AU1051" s="34"/>
      <c r="AV1051" s="34"/>
      <c r="AW1051" s="34"/>
      <c r="AX1051" s="34"/>
      <c r="AY1051" s="34"/>
      <c r="AZ1051" s="34"/>
      <c r="BA1051" s="34"/>
      <c r="BB1051" s="34"/>
      <c r="BC1051" s="34"/>
      <c r="BD1051" s="34"/>
      <c r="BE1051" s="34"/>
      <c r="BF1051" s="34"/>
      <c r="BG1051" s="34"/>
      <c r="BH1051" s="34"/>
      <c r="BI1051" s="34"/>
      <c r="BJ1051" s="34"/>
      <c r="BK1051" s="34"/>
      <c r="BL1051" s="34"/>
      <c r="BM1051" s="34"/>
      <c r="BN1051" s="34"/>
      <c r="BO1051" s="34"/>
      <c r="BP1051" s="34"/>
      <c r="BQ1051" s="34"/>
      <c r="BR1051" s="34"/>
      <c r="BS1051" s="34"/>
      <c r="BT1051" s="34"/>
      <c r="BU1051" s="34"/>
      <c r="BV1051" s="34"/>
      <c r="BW1051" s="34"/>
      <c r="BX1051" s="34"/>
      <c r="BY1051" s="34"/>
      <c r="BZ1051" s="34"/>
      <c r="CA1051" s="34"/>
      <c r="CB1051" s="34"/>
      <c r="CC1051" s="34"/>
      <c r="CD1051" s="34"/>
      <c r="CE1051" s="34"/>
      <c r="CF1051" s="34"/>
      <c r="CG1051" s="34"/>
      <c r="CH1051" s="34"/>
      <c r="CI1051" s="34"/>
      <c r="CJ1051" s="34"/>
      <c r="CK1051" s="34"/>
      <c r="CL1051" s="34"/>
      <c r="CM1051" s="34"/>
      <c r="CN1051" s="34"/>
      <c r="CO1051" s="34"/>
      <c r="CP1051" s="34"/>
      <c r="CQ1051" s="34"/>
      <c r="CR1051" s="34"/>
      <c r="CS1051" s="34"/>
      <c r="CT1051" s="34"/>
      <c r="CU1051" s="34"/>
      <c r="CV1051" s="34"/>
      <c r="CW1051" s="34"/>
      <c r="CX1051" s="34"/>
      <c r="CY1051" s="34"/>
      <c r="CZ1051" s="34"/>
      <c r="DA1051" s="34"/>
      <c r="DB1051" s="34"/>
      <c r="DC1051" s="34"/>
      <c r="DD1051" s="34"/>
      <c r="DE1051" s="34"/>
      <c r="DF1051" s="34"/>
      <c r="DG1051" s="34"/>
      <c r="DH1051" s="34"/>
      <c r="DI1051" s="34"/>
      <c r="DJ1051" s="34"/>
      <c r="DK1051" s="34"/>
      <c r="DL1051" s="34"/>
      <c r="DM1051" s="34"/>
      <c r="DN1051" s="34"/>
      <c r="DO1051" s="34"/>
      <c r="DP1051" s="34"/>
      <c r="DQ1051" s="34"/>
      <c r="DR1051" s="34"/>
      <c r="DS1051" s="34"/>
      <c r="DT1051" s="34"/>
      <c r="DU1051" s="34"/>
      <c r="DV1051" s="34"/>
      <c r="DW1051" s="34"/>
      <c r="DX1051" s="34"/>
      <c r="DY1051" s="34"/>
      <c r="DZ1051" s="34"/>
      <c r="EA1051" s="34"/>
    </row>
    <row r="1052" spans="1:131" ht="11.25">
      <c r="A1052" s="1"/>
      <c r="B1052" s="1"/>
      <c r="C1052" s="1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53"/>
      <c r="O1052" s="53"/>
      <c r="P1052" s="53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  <c r="AA1052" s="34"/>
      <c r="AB1052" s="34"/>
      <c r="AC1052" s="34"/>
      <c r="AD1052" s="34"/>
      <c r="AE1052" s="34"/>
      <c r="AF1052" s="34"/>
      <c r="AG1052" s="34"/>
      <c r="AH1052" s="34"/>
      <c r="AI1052" s="34"/>
      <c r="AJ1052" s="34"/>
      <c r="AK1052" s="34"/>
      <c r="AL1052" s="34"/>
      <c r="AM1052" s="34"/>
      <c r="AN1052" s="34"/>
      <c r="AO1052" s="34"/>
      <c r="AP1052" s="34"/>
      <c r="AQ1052" s="34"/>
      <c r="AR1052" s="34"/>
      <c r="AS1052" s="34"/>
      <c r="AT1052" s="34"/>
      <c r="AU1052" s="34"/>
      <c r="AV1052" s="34"/>
      <c r="AW1052" s="34"/>
      <c r="AX1052" s="34"/>
      <c r="AY1052" s="34"/>
      <c r="AZ1052" s="34"/>
      <c r="BA1052" s="34"/>
      <c r="BB1052" s="34"/>
      <c r="BC1052" s="34"/>
      <c r="BD1052" s="34"/>
      <c r="BE1052" s="34"/>
      <c r="BF1052" s="34"/>
      <c r="BG1052" s="34"/>
      <c r="BH1052" s="34"/>
      <c r="BI1052" s="34"/>
      <c r="BJ1052" s="34"/>
      <c r="BK1052" s="34"/>
      <c r="BL1052" s="34"/>
      <c r="BM1052" s="34"/>
      <c r="BN1052" s="34"/>
      <c r="BO1052" s="34"/>
      <c r="BP1052" s="34"/>
      <c r="BQ1052" s="34"/>
      <c r="BR1052" s="34"/>
      <c r="BS1052" s="34"/>
      <c r="BT1052" s="34"/>
      <c r="BU1052" s="34"/>
      <c r="BV1052" s="34"/>
      <c r="BW1052" s="34"/>
      <c r="BX1052" s="34"/>
      <c r="BY1052" s="34"/>
      <c r="BZ1052" s="34"/>
      <c r="CA1052" s="34"/>
      <c r="CB1052" s="34"/>
      <c r="CC1052" s="34"/>
      <c r="CD1052" s="34"/>
      <c r="CE1052" s="34"/>
      <c r="CF1052" s="34"/>
      <c r="CG1052" s="34"/>
      <c r="CH1052" s="34"/>
      <c r="CI1052" s="34"/>
      <c r="CJ1052" s="34"/>
      <c r="CK1052" s="34"/>
      <c r="CL1052" s="34"/>
      <c r="CM1052" s="34"/>
      <c r="CN1052" s="34"/>
      <c r="CO1052" s="34"/>
      <c r="CP1052" s="34"/>
      <c r="CQ1052" s="34"/>
      <c r="CR1052" s="34"/>
      <c r="CS1052" s="34"/>
      <c r="CT1052" s="34"/>
      <c r="CU1052" s="34"/>
      <c r="CV1052" s="34"/>
      <c r="CW1052" s="34"/>
      <c r="CX1052" s="34"/>
      <c r="CY1052" s="34"/>
      <c r="CZ1052" s="34"/>
      <c r="DA1052" s="34"/>
      <c r="DB1052" s="34"/>
      <c r="DC1052" s="34"/>
      <c r="DD1052" s="34"/>
      <c r="DE1052" s="34"/>
      <c r="DF1052" s="34"/>
      <c r="DG1052" s="34"/>
      <c r="DH1052" s="34"/>
      <c r="DI1052" s="34"/>
      <c r="DJ1052" s="34"/>
      <c r="DK1052" s="34"/>
      <c r="DL1052" s="34"/>
      <c r="DM1052" s="34"/>
      <c r="DN1052" s="34"/>
      <c r="DO1052" s="34"/>
      <c r="DP1052" s="34"/>
      <c r="DQ1052" s="34"/>
      <c r="DR1052" s="34"/>
      <c r="DS1052" s="34"/>
      <c r="DT1052" s="34"/>
      <c r="DU1052" s="34"/>
      <c r="DV1052" s="34"/>
      <c r="DW1052" s="34"/>
      <c r="DX1052" s="34"/>
      <c r="DY1052" s="34"/>
      <c r="DZ1052" s="34"/>
      <c r="EA1052" s="34"/>
    </row>
    <row r="1053" spans="1:131" ht="11.25">
      <c r="A1053" s="1"/>
      <c r="B1053" s="1"/>
      <c r="C1053" s="1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53"/>
      <c r="O1053" s="53"/>
      <c r="P1053" s="53"/>
      <c r="Q1053" s="34"/>
      <c r="R1053" s="34"/>
      <c r="S1053" s="34"/>
      <c r="T1053" s="34"/>
      <c r="U1053" s="34"/>
      <c r="V1053" s="34"/>
      <c r="W1053" s="34"/>
      <c r="X1053" s="34"/>
      <c r="Y1053" s="34"/>
      <c r="Z1053" s="34"/>
      <c r="AA1053" s="34"/>
      <c r="AB1053" s="34"/>
      <c r="AC1053" s="34"/>
      <c r="AD1053" s="34"/>
      <c r="AE1053" s="34"/>
      <c r="AF1053" s="34"/>
      <c r="AG1053" s="34"/>
      <c r="AH1053" s="34"/>
      <c r="AI1053" s="34"/>
      <c r="AJ1053" s="34"/>
      <c r="AK1053" s="34"/>
      <c r="AL1053" s="34"/>
      <c r="AM1053" s="34"/>
      <c r="AN1053" s="34"/>
      <c r="AO1053" s="34"/>
      <c r="AP1053" s="34"/>
      <c r="AQ1053" s="34"/>
      <c r="AR1053" s="34"/>
      <c r="AS1053" s="34"/>
      <c r="AT1053" s="34"/>
      <c r="AU1053" s="34"/>
      <c r="AV1053" s="34"/>
      <c r="AW1053" s="34"/>
      <c r="AX1053" s="34"/>
      <c r="AY1053" s="34"/>
      <c r="AZ1053" s="34"/>
      <c r="BA1053" s="34"/>
      <c r="BB1053" s="34"/>
      <c r="BC1053" s="34"/>
      <c r="BD1053" s="34"/>
      <c r="BE1053" s="34"/>
      <c r="BF1053" s="34"/>
      <c r="BG1053" s="34"/>
      <c r="BH1053" s="34"/>
      <c r="BI1053" s="34"/>
      <c r="BJ1053" s="34"/>
      <c r="BK1053" s="34"/>
      <c r="BL1053" s="34"/>
      <c r="BM1053" s="34"/>
      <c r="BN1053" s="34"/>
      <c r="BO1053" s="34"/>
      <c r="BP1053" s="34"/>
      <c r="BQ1053" s="34"/>
      <c r="BR1053" s="34"/>
      <c r="BS1053" s="34"/>
      <c r="BT1053" s="34"/>
      <c r="BU1053" s="34"/>
      <c r="BV1053" s="34"/>
      <c r="BW1053" s="34"/>
      <c r="BX1053" s="34"/>
      <c r="BY1053" s="34"/>
      <c r="BZ1053" s="34"/>
      <c r="CA1053" s="34"/>
      <c r="CB1053" s="34"/>
      <c r="CC1053" s="34"/>
      <c r="CD1053" s="34"/>
      <c r="CE1053" s="34"/>
      <c r="CF1053" s="34"/>
      <c r="CG1053" s="34"/>
      <c r="CH1053" s="34"/>
      <c r="CI1053" s="34"/>
      <c r="CJ1053" s="34"/>
      <c r="CK1053" s="34"/>
      <c r="CL1053" s="34"/>
      <c r="CM1053" s="34"/>
      <c r="CN1053" s="34"/>
      <c r="CO1053" s="34"/>
      <c r="CP1053" s="34"/>
      <c r="CQ1053" s="34"/>
      <c r="CR1053" s="34"/>
      <c r="CS1053" s="34"/>
      <c r="CT1053" s="34"/>
      <c r="CU1053" s="34"/>
      <c r="CV1053" s="34"/>
      <c r="CW1053" s="34"/>
      <c r="CX1053" s="34"/>
      <c r="CY1053" s="34"/>
      <c r="CZ1053" s="34"/>
      <c r="DA1053" s="34"/>
      <c r="DB1053" s="34"/>
      <c r="DC1053" s="34"/>
      <c r="DD1053" s="34"/>
      <c r="DE1053" s="34"/>
      <c r="DF1053" s="34"/>
      <c r="DG1053" s="34"/>
      <c r="DH1053" s="34"/>
      <c r="DI1053" s="34"/>
      <c r="DJ1053" s="34"/>
      <c r="DK1053" s="34"/>
      <c r="DL1053" s="34"/>
      <c r="DM1053" s="34"/>
      <c r="DN1053" s="34"/>
      <c r="DO1053" s="34"/>
      <c r="DP1053" s="34"/>
      <c r="DQ1053" s="34"/>
      <c r="DR1053" s="34"/>
      <c r="DS1053" s="34"/>
      <c r="DT1053" s="34"/>
      <c r="DU1053" s="34"/>
      <c r="DV1053" s="34"/>
      <c r="DW1053" s="34"/>
      <c r="DX1053" s="34"/>
      <c r="DY1053" s="34"/>
      <c r="DZ1053" s="34"/>
      <c r="EA1053" s="34"/>
    </row>
    <row r="1054" spans="1:131" ht="11.25">
      <c r="A1054" s="1"/>
      <c r="B1054" s="1"/>
      <c r="C1054" s="1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53"/>
      <c r="O1054" s="53"/>
      <c r="P1054" s="53"/>
      <c r="Q1054" s="34"/>
      <c r="R1054" s="34"/>
      <c r="S1054" s="34"/>
      <c r="T1054" s="34"/>
      <c r="U1054" s="34"/>
      <c r="V1054" s="34"/>
      <c r="W1054" s="34"/>
      <c r="X1054" s="34"/>
      <c r="Y1054" s="34"/>
      <c r="Z1054" s="34"/>
      <c r="AA1054" s="34"/>
      <c r="AB1054" s="34"/>
      <c r="AC1054" s="34"/>
      <c r="AD1054" s="34"/>
      <c r="AE1054" s="34"/>
      <c r="AF1054" s="34"/>
      <c r="AG1054" s="34"/>
      <c r="AH1054" s="34"/>
      <c r="AI1054" s="34"/>
      <c r="AJ1054" s="34"/>
      <c r="AK1054" s="34"/>
      <c r="AL1054" s="34"/>
      <c r="AM1054" s="34"/>
      <c r="AN1054" s="34"/>
      <c r="AO1054" s="34"/>
      <c r="AP1054" s="34"/>
      <c r="AQ1054" s="34"/>
      <c r="AR1054" s="34"/>
      <c r="AS1054" s="34"/>
      <c r="AT1054" s="34"/>
      <c r="AU1054" s="34"/>
      <c r="AV1054" s="34"/>
      <c r="AW1054" s="34"/>
      <c r="AX1054" s="34"/>
      <c r="AY1054" s="34"/>
      <c r="AZ1054" s="34"/>
      <c r="BA1054" s="34"/>
      <c r="BB1054" s="34"/>
      <c r="BC1054" s="34"/>
      <c r="BD1054" s="34"/>
      <c r="BE1054" s="34"/>
      <c r="BF1054" s="34"/>
      <c r="BG1054" s="34"/>
      <c r="BH1054" s="34"/>
      <c r="BI1054" s="34"/>
      <c r="BJ1054" s="34"/>
      <c r="BK1054" s="34"/>
      <c r="BL1054" s="34"/>
      <c r="BM1054" s="34"/>
      <c r="BN1054" s="34"/>
      <c r="BO1054" s="34"/>
      <c r="BP1054" s="34"/>
      <c r="BQ1054" s="34"/>
      <c r="BR1054" s="34"/>
      <c r="BS1054" s="34"/>
      <c r="BT1054" s="34"/>
      <c r="BU1054" s="34"/>
      <c r="BV1054" s="34"/>
      <c r="BW1054" s="34"/>
      <c r="BX1054" s="34"/>
      <c r="BY1054" s="34"/>
      <c r="BZ1054" s="34"/>
      <c r="CA1054" s="34"/>
      <c r="CB1054" s="34"/>
      <c r="CC1054" s="34"/>
      <c r="CD1054" s="34"/>
      <c r="CE1054" s="34"/>
      <c r="CF1054" s="34"/>
      <c r="CG1054" s="34"/>
      <c r="CH1054" s="34"/>
      <c r="CI1054" s="34"/>
      <c r="CJ1054" s="34"/>
      <c r="CK1054" s="34"/>
      <c r="CL1054" s="34"/>
      <c r="CM1054" s="34"/>
      <c r="CN1054" s="34"/>
      <c r="CO1054" s="34"/>
      <c r="CP1054" s="34"/>
      <c r="CQ1054" s="34"/>
      <c r="CR1054" s="34"/>
      <c r="CS1054" s="34"/>
      <c r="CT1054" s="34"/>
      <c r="CU1054" s="34"/>
      <c r="CV1054" s="34"/>
      <c r="CW1054" s="34"/>
      <c r="CX1054" s="34"/>
      <c r="CY1054" s="34"/>
      <c r="CZ1054" s="34"/>
      <c r="DA1054" s="34"/>
      <c r="DB1054" s="34"/>
      <c r="DC1054" s="34"/>
      <c r="DD1054" s="34"/>
      <c r="DE1054" s="34"/>
      <c r="DF1054" s="34"/>
      <c r="DG1054" s="34"/>
      <c r="DH1054" s="34"/>
      <c r="DI1054" s="34"/>
      <c r="DJ1054" s="34"/>
      <c r="DK1054" s="34"/>
      <c r="DL1054" s="34"/>
      <c r="DM1054" s="34"/>
      <c r="DN1054" s="34"/>
      <c r="DO1054" s="34"/>
      <c r="DP1054" s="34"/>
      <c r="DQ1054" s="34"/>
      <c r="DR1054" s="34"/>
      <c r="DS1054" s="34"/>
      <c r="DT1054" s="34"/>
      <c r="DU1054" s="34"/>
      <c r="DV1054" s="34"/>
      <c r="DW1054" s="34"/>
      <c r="DX1054" s="34"/>
      <c r="DY1054" s="34"/>
      <c r="DZ1054" s="34"/>
      <c r="EA1054" s="34"/>
    </row>
    <row r="1055" spans="1:131" ht="11.25">
      <c r="A1055" s="1"/>
      <c r="B1055" s="1"/>
      <c r="C1055" s="1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53"/>
      <c r="O1055" s="53"/>
      <c r="P1055" s="53"/>
      <c r="Q1055" s="34"/>
      <c r="R1055" s="34"/>
      <c r="S1055" s="34"/>
      <c r="T1055" s="34"/>
      <c r="U1055" s="34"/>
      <c r="V1055" s="34"/>
      <c r="W1055" s="34"/>
      <c r="X1055" s="34"/>
      <c r="Y1055" s="34"/>
      <c r="Z1055" s="34"/>
      <c r="AA1055" s="34"/>
      <c r="AB1055" s="34"/>
      <c r="AC1055" s="34"/>
      <c r="AD1055" s="34"/>
      <c r="AE1055" s="34"/>
      <c r="AF1055" s="34"/>
      <c r="AG1055" s="34"/>
      <c r="AH1055" s="34"/>
      <c r="AI1055" s="34"/>
      <c r="AJ1055" s="34"/>
      <c r="AK1055" s="34"/>
      <c r="AL1055" s="34"/>
      <c r="AM1055" s="34"/>
      <c r="AN1055" s="34"/>
      <c r="AO1055" s="34"/>
      <c r="AP1055" s="34"/>
      <c r="AQ1055" s="34"/>
      <c r="AR1055" s="34"/>
      <c r="AS1055" s="34"/>
      <c r="AT1055" s="34"/>
      <c r="AU1055" s="34"/>
      <c r="AV1055" s="34"/>
      <c r="AW1055" s="34"/>
      <c r="AX1055" s="34"/>
      <c r="AY1055" s="34"/>
      <c r="AZ1055" s="34"/>
      <c r="BA1055" s="34"/>
      <c r="BB1055" s="34"/>
      <c r="BC1055" s="34"/>
      <c r="BD1055" s="34"/>
      <c r="BE1055" s="34"/>
      <c r="BF1055" s="34"/>
      <c r="BG1055" s="34"/>
      <c r="BH1055" s="34"/>
      <c r="BI1055" s="34"/>
      <c r="BJ1055" s="34"/>
      <c r="BK1055" s="34"/>
      <c r="BL1055" s="34"/>
      <c r="BM1055" s="34"/>
      <c r="BN1055" s="34"/>
      <c r="BO1055" s="34"/>
      <c r="BP1055" s="34"/>
      <c r="BQ1055" s="34"/>
      <c r="BR1055" s="34"/>
      <c r="BS1055" s="34"/>
      <c r="BT1055" s="34"/>
      <c r="BU1055" s="34"/>
      <c r="BV1055" s="34"/>
      <c r="BW1055" s="34"/>
      <c r="BX1055" s="34"/>
      <c r="BY1055" s="34"/>
      <c r="BZ1055" s="34"/>
      <c r="CA1055" s="34"/>
      <c r="CB1055" s="34"/>
      <c r="CC1055" s="34"/>
      <c r="CD1055" s="34"/>
      <c r="CE1055" s="34"/>
      <c r="CF1055" s="34"/>
      <c r="CG1055" s="34"/>
      <c r="CH1055" s="34"/>
      <c r="CI1055" s="34"/>
      <c r="CJ1055" s="34"/>
      <c r="CK1055" s="34"/>
      <c r="CL1055" s="34"/>
      <c r="CM1055" s="34"/>
      <c r="CN1055" s="34"/>
      <c r="CO1055" s="34"/>
      <c r="CP1055" s="34"/>
      <c r="CQ1055" s="34"/>
      <c r="CR1055" s="34"/>
      <c r="CS1055" s="34"/>
      <c r="CT1055" s="34"/>
      <c r="CU1055" s="34"/>
      <c r="CV1055" s="34"/>
      <c r="CW1055" s="34"/>
      <c r="CX1055" s="34"/>
      <c r="CY1055" s="34"/>
      <c r="CZ1055" s="34"/>
      <c r="DA1055" s="34"/>
      <c r="DB1055" s="34"/>
      <c r="DC1055" s="34"/>
      <c r="DD1055" s="34"/>
      <c r="DE1055" s="34"/>
      <c r="DF1055" s="34"/>
      <c r="DG1055" s="34"/>
      <c r="DH1055" s="34"/>
      <c r="DI1055" s="34"/>
      <c r="DJ1055" s="34"/>
      <c r="DK1055" s="34"/>
      <c r="DL1055" s="34"/>
      <c r="DM1055" s="34"/>
      <c r="DN1055" s="34"/>
      <c r="DO1055" s="34"/>
      <c r="DP1055" s="34"/>
      <c r="DQ1055" s="34"/>
      <c r="DR1055" s="34"/>
      <c r="DS1055" s="34"/>
      <c r="DT1055" s="34"/>
      <c r="DU1055" s="34"/>
      <c r="DV1055" s="34"/>
      <c r="DW1055" s="34"/>
      <c r="DX1055" s="34"/>
      <c r="DY1055" s="34"/>
      <c r="DZ1055" s="34"/>
      <c r="EA1055" s="34"/>
    </row>
    <row r="1056" spans="1:131" ht="11.25">
      <c r="A1056" s="1"/>
      <c r="B1056" s="1"/>
      <c r="C1056" s="1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53"/>
      <c r="O1056" s="53"/>
      <c r="P1056" s="53"/>
      <c r="Q1056" s="34"/>
      <c r="R1056" s="34"/>
      <c r="S1056" s="34"/>
      <c r="T1056" s="34"/>
      <c r="U1056" s="34"/>
      <c r="V1056" s="34"/>
      <c r="W1056" s="34"/>
      <c r="X1056" s="34"/>
      <c r="Y1056" s="34"/>
      <c r="Z1056" s="34"/>
      <c r="AA1056" s="34"/>
      <c r="AB1056" s="34"/>
      <c r="AC1056" s="34"/>
      <c r="AD1056" s="34"/>
      <c r="AE1056" s="34"/>
      <c r="AF1056" s="34"/>
      <c r="AG1056" s="34"/>
      <c r="AH1056" s="34"/>
      <c r="AI1056" s="34"/>
      <c r="AJ1056" s="34"/>
      <c r="AK1056" s="34"/>
      <c r="AL1056" s="34"/>
      <c r="AM1056" s="34"/>
      <c r="AN1056" s="34"/>
      <c r="AO1056" s="34"/>
      <c r="AP1056" s="34"/>
      <c r="AQ1056" s="34"/>
      <c r="AR1056" s="34"/>
      <c r="AS1056" s="34"/>
      <c r="AT1056" s="34"/>
      <c r="AU1056" s="34"/>
      <c r="AV1056" s="34"/>
      <c r="AW1056" s="34"/>
      <c r="AX1056" s="34"/>
      <c r="AY1056" s="34"/>
      <c r="AZ1056" s="34"/>
      <c r="BA1056" s="34"/>
      <c r="BB1056" s="34"/>
      <c r="BC1056" s="34"/>
      <c r="BD1056" s="34"/>
      <c r="BE1056" s="34"/>
      <c r="BF1056" s="34"/>
      <c r="BG1056" s="34"/>
      <c r="BH1056" s="34"/>
      <c r="BI1056" s="34"/>
      <c r="BJ1056" s="34"/>
      <c r="BK1056" s="34"/>
      <c r="BL1056" s="34"/>
      <c r="BM1056" s="34"/>
      <c r="BN1056" s="34"/>
      <c r="BO1056" s="34"/>
      <c r="BP1056" s="34"/>
      <c r="BQ1056" s="34"/>
      <c r="BR1056" s="34"/>
      <c r="BS1056" s="34"/>
      <c r="BT1056" s="34"/>
      <c r="BU1056" s="34"/>
      <c r="BV1056" s="34"/>
      <c r="BW1056" s="34"/>
      <c r="BX1056" s="34"/>
      <c r="BY1056" s="34"/>
      <c r="BZ1056" s="34"/>
      <c r="CA1056" s="34"/>
      <c r="CB1056" s="34"/>
      <c r="CC1056" s="34"/>
      <c r="CD1056" s="34"/>
      <c r="CE1056" s="34"/>
      <c r="CF1056" s="34"/>
      <c r="CG1056" s="34"/>
      <c r="CH1056" s="34"/>
      <c r="CI1056" s="34"/>
      <c r="CJ1056" s="34"/>
      <c r="CK1056" s="34"/>
      <c r="CL1056" s="34"/>
      <c r="CM1056" s="34"/>
      <c r="CN1056" s="34"/>
      <c r="CO1056" s="34"/>
      <c r="CP1056" s="34"/>
      <c r="CQ1056" s="34"/>
      <c r="CR1056" s="34"/>
      <c r="CS1056" s="34"/>
      <c r="CT1056" s="34"/>
      <c r="CU1056" s="34"/>
      <c r="CV1056" s="34"/>
      <c r="CW1056" s="34"/>
      <c r="CX1056" s="34"/>
      <c r="CY1056" s="34"/>
      <c r="CZ1056" s="34"/>
      <c r="DA1056" s="34"/>
      <c r="DB1056" s="34"/>
      <c r="DC1056" s="34"/>
      <c r="DD1056" s="34"/>
      <c r="DE1056" s="34"/>
      <c r="DF1056" s="34"/>
      <c r="DG1056" s="34"/>
      <c r="DH1056" s="34"/>
      <c r="DI1056" s="34"/>
      <c r="DJ1056" s="34"/>
      <c r="DK1056" s="34"/>
      <c r="DL1056" s="34"/>
      <c r="DM1056" s="34"/>
      <c r="DN1056" s="34"/>
      <c r="DO1056" s="34"/>
      <c r="DP1056" s="34"/>
      <c r="DQ1056" s="34"/>
      <c r="DR1056" s="34"/>
      <c r="DS1056" s="34"/>
      <c r="DT1056" s="34"/>
      <c r="DU1056" s="34"/>
      <c r="DV1056" s="34"/>
      <c r="DW1056" s="34"/>
      <c r="DX1056" s="34"/>
      <c r="DY1056" s="34"/>
      <c r="DZ1056" s="34"/>
      <c r="EA1056" s="34"/>
    </row>
    <row r="1057" spans="1:131" ht="11.25">
      <c r="A1057" s="1"/>
      <c r="B1057" s="1"/>
      <c r="C1057" s="1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53"/>
      <c r="O1057" s="53"/>
      <c r="P1057" s="53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4"/>
      <c r="AD1057" s="34"/>
      <c r="AE1057" s="34"/>
      <c r="AF1057" s="34"/>
      <c r="AG1057" s="34"/>
      <c r="AH1057" s="34"/>
      <c r="AI1057" s="34"/>
      <c r="AJ1057" s="34"/>
      <c r="AK1057" s="34"/>
      <c r="AL1057" s="34"/>
      <c r="AM1057" s="34"/>
      <c r="AN1057" s="34"/>
      <c r="AO1057" s="34"/>
      <c r="AP1057" s="34"/>
      <c r="AQ1057" s="34"/>
      <c r="AR1057" s="34"/>
      <c r="AS1057" s="34"/>
      <c r="AT1057" s="34"/>
      <c r="AU1057" s="34"/>
      <c r="AV1057" s="34"/>
      <c r="AW1057" s="34"/>
      <c r="AX1057" s="34"/>
      <c r="AY1057" s="34"/>
      <c r="AZ1057" s="34"/>
      <c r="BA1057" s="34"/>
      <c r="BB1057" s="34"/>
      <c r="BC1057" s="34"/>
      <c r="BD1057" s="34"/>
      <c r="BE1057" s="34"/>
      <c r="BF1057" s="34"/>
      <c r="BG1057" s="34"/>
      <c r="BH1057" s="34"/>
      <c r="BI1057" s="34"/>
      <c r="BJ1057" s="34"/>
      <c r="BK1057" s="34"/>
      <c r="BL1057" s="34"/>
      <c r="BM1057" s="34"/>
      <c r="BN1057" s="34"/>
      <c r="BO1057" s="34"/>
      <c r="BP1057" s="34"/>
      <c r="BQ1057" s="34"/>
      <c r="BR1057" s="34"/>
      <c r="BS1057" s="34"/>
      <c r="BT1057" s="34"/>
      <c r="BU1057" s="34"/>
      <c r="BV1057" s="34"/>
      <c r="BW1057" s="34"/>
      <c r="BX1057" s="34"/>
      <c r="BY1057" s="34"/>
      <c r="BZ1057" s="34"/>
      <c r="CA1057" s="34"/>
      <c r="CB1057" s="34"/>
      <c r="CC1057" s="34"/>
      <c r="CD1057" s="34"/>
      <c r="CE1057" s="34"/>
      <c r="CF1057" s="34"/>
      <c r="CG1057" s="34"/>
      <c r="CH1057" s="34"/>
      <c r="CI1057" s="34"/>
      <c r="CJ1057" s="34"/>
      <c r="CK1057" s="34"/>
      <c r="CL1057" s="34"/>
      <c r="CM1057" s="34"/>
      <c r="CN1057" s="34"/>
      <c r="CO1057" s="34"/>
      <c r="CP1057" s="34"/>
      <c r="CQ1057" s="34"/>
      <c r="CR1057" s="34"/>
      <c r="CS1057" s="34"/>
      <c r="CT1057" s="34"/>
      <c r="CU1057" s="34"/>
      <c r="CV1057" s="34"/>
      <c r="CW1057" s="34"/>
      <c r="CX1057" s="34"/>
      <c r="CY1057" s="34"/>
      <c r="CZ1057" s="34"/>
      <c r="DA1057" s="34"/>
      <c r="DB1057" s="34"/>
      <c r="DC1057" s="34"/>
      <c r="DD1057" s="34"/>
      <c r="DE1057" s="34"/>
      <c r="DF1057" s="34"/>
      <c r="DG1057" s="34"/>
      <c r="DH1057" s="34"/>
      <c r="DI1057" s="34"/>
      <c r="DJ1057" s="34"/>
      <c r="DK1057" s="34"/>
      <c r="DL1057" s="34"/>
      <c r="DM1057" s="34"/>
      <c r="DN1057" s="34"/>
      <c r="DO1057" s="34"/>
      <c r="DP1057" s="34"/>
      <c r="DQ1057" s="34"/>
      <c r="DR1057" s="34"/>
      <c r="DS1057" s="34"/>
      <c r="DT1057" s="34"/>
      <c r="DU1057" s="34"/>
      <c r="DV1057" s="34"/>
      <c r="DW1057" s="34"/>
      <c r="DX1057" s="34"/>
      <c r="DY1057" s="34"/>
      <c r="DZ1057" s="34"/>
      <c r="EA1057" s="34"/>
    </row>
    <row r="1058" spans="1:131" ht="11.25">
      <c r="A1058" s="1"/>
      <c r="B1058" s="1"/>
      <c r="C1058" s="1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53"/>
      <c r="O1058" s="53"/>
      <c r="P1058" s="53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34"/>
      <c r="AF1058" s="34"/>
      <c r="AG1058" s="34"/>
      <c r="AH1058" s="34"/>
      <c r="AI1058" s="34"/>
      <c r="AJ1058" s="34"/>
      <c r="AK1058" s="34"/>
      <c r="AL1058" s="34"/>
      <c r="AM1058" s="34"/>
      <c r="AN1058" s="34"/>
      <c r="AO1058" s="34"/>
      <c r="AP1058" s="34"/>
      <c r="AQ1058" s="34"/>
      <c r="AR1058" s="34"/>
      <c r="AS1058" s="34"/>
      <c r="AT1058" s="34"/>
      <c r="AU1058" s="34"/>
      <c r="AV1058" s="34"/>
      <c r="AW1058" s="34"/>
      <c r="AX1058" s="34"/>
      <c r="AY1058" s="34"/>
      <c r="AZ1058" s="34"/>
      <c r="BA1058" s="34"/>
      <c r="BB1058" s="34"/>
      <c r="BC1058" s="34"/>
      <c r="BD1058" s="34"/>
      <c r="BE1058" s="34"/>
      <c r="BF1058" s="34"/>
      <c r="BG1058" s="34"/>
      <c r="BH1058" s="34"/>
      <c r="BI1058" s="34"/>
      <c r="BJ1058" s="34"/>
      <c r="BK1058" s="34"/>
      <c r="BL1058" s="34"/>
      <c r="BM1058" s="34"/>
      <c r="BN1058" s="34"/>
      <c r="BO1058" s="34"/>
      <c r="BP1058" s="34"/>
      <c r="BQ1058" s="34"/>
      <c r="BR1058" s="34"/>
      <c r="BS1058" s="34"/>
      <c r="BT1058" s="34"/>
      <c r="BU1058" s="34"/>
      <c r="BV1058" s="34"/>
      <c r="BW1058" s="34"/>
      <c r="BX1058" s="34"/>
      <c r="BY1058" s="34"/>
      <c r="BZ1058" s="34"/>
      <c r="CA1058" s="34"/>
      <c r="CB1058" s="34"/>
      <c r="CC1058" s="34"/>
      <c r="CD1058" s="34"/>
      <c r="CE1058" s="34"/>
      <c r="CF1058" s="34"/>
      <c r="CG1058" s="34"/>
      <c r="CH1058" s="34"/>
      <c r="CI1058" s="34"/>
      <c r="CJ1058" s="34"/>
      <c r="CK1058" s="34"/>
      <c r="CL1058" s="34"/>
      <c r="CM1058" s="34"/>
      <c r="CN1058" s="34"/>
      <c r="CO1058" s="34"/>
      <c r="CP1058" s="34"/>
      <c r="CQ1058" s="34"/>
      <c r="CR1058" s="34"/>
      <c r="CS1058" s="34"/>
      <c r="CT1058" s="34"/>
      <c r="CU1058" s="34"/>
      <c r="CV1058" s="34"/>
      <c r="CW1058" s="34"/>
      <c r="CX1058" s="34"/>
      <c r="CY1058" s="34"/>
      <c r="CZ1058" s="34"/>
      <c r="DA1058" s="34"/>
      <c r="DB1058" s="34"/>
      <c r="DC1058" s="34"/>
      <c r="DD1058" s="34"/>
      <c r="DE1058" s="34"/>
      <c r="DF1058" s="34"/>
      <c r="DG1058" s="34"/>
      <c r="DH1058" s="34"/>
      <c r="DI1058" s="34"/>
      <c r="DJ1058" s="34"/>
      <c r="DK1058" s="34"/>
      <c r="DL1058" s="34"/>
      <c r="DM1058" s="34"/>
      <c r="DN1058" s="34"/>
      <c r="DO1058" s="34"/>
      <c r="DP1058" s="34"/>
      <c r="DQ1058" s="34"/>
      <c r="DR1058" s="34"/>
      <c r="DS1058" s="34"/>
      <c r="DT1058" s="34"/>
      <c r="DU1058" s="34"/>
      <c r="DV1058" s="34"/>
      <c r="DW1058" s="34"/>
      <c r="DX1058" s="34"/>
      <c r="DY1058" s="34"/>
      <c r="DZ1058" s="34"/>
      <c r="EA1058" s="34"/>
    </row>
    <row r="1059" spans="1:131" ht="11.25">
      <c r="A1059" s="1"/>
      <c r="B1059" s="1"/>
      <c r="C1059" s="1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53"/>
      <c r="O1059" s="53"/>
      <c r="P1059" s="53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34"/>
      <c r="AF1059" s="34"/>
      <c r="AG1059" s="34"/>
      <c r="AH1059" s="34"/>
      <c r="AI1059" s="34"/>
      <c r="AJ1059" s="34"/>
      <c r="AK1059" s="34"/>
      <c r="AL1059" s="34"/>
      <c r="AM1059" s="34"/>
      <c r="AN1059" s="34"/>
      <c r="AO1059" s="34"/>
      <c r="AP1059" s="34"/>
      <c r="AQ1059" s="34"/>
      <c r="AR1059" s="34"/>
      <c r="AS1059" s="34"/>
      <c r="AT1059" s="34"/>
      <c r="AU1059" s="34"/>
      <c r="AV1059" s="34"/>
      <c r="AW1059" s="34"/>
      <c r="AX1059" s="34"/>
      <c r="AY1059" s="34"/>
      <c r="AZ1059" s="34"/>
      <c r="BA1059" s="34"/>
      <c r="BB1059" s="34"/>
      <c r="BC1059" s="34"/>
      <c r="BD1059" s="34"/>
      <c r="BE1059" s="34"/>
      <c r="BF1059" s="34"/>
      <c r="BG1059" s="34"/>
      <c r="BH1059" s="34"/>
      <c r="BI1059" s="34"/>
      <c r="BJ1059" s="34"/>
      <c r="BK1059" s="34"/>
      <c r="BL1059" s="34"/>
      <c r="BM1059" s="34"/>
      <c r="BN1059" s="34"/>
      <c r="BO1059" s="34"/>
      <c r="BP1059" s="34"/>
      <c r="BQ1059" s="34"/>
      <c r="BR1059" s="34"/>
      <c r="BS1059" s="34"/>
      <c r="BT1059" s="34"/>
      <c r="BU1059" s="34"/>
      <c r="BV1059" s="34"/>
      <c r="BW1059" s="34"/>
      <c r="BX1059" s="34"/>
      <c r="BY1059" s="34"/>
      <c r="BZ1059" s="34"/>
      <c r="CA1059" s="34"/>
      <c r="CB1059" s="34"/>
      <c r="CC1059" s="34"/>
      <c r="CD1059" s="34"/>
      <c r="CE1059" s="34"/>
      <c r="CF1059" s="34"/>
      <c r="CG1059" s="34"/>
      <c r="CH1059" s="34"/>
      <c r="CI1059" s="34"/>
      <c r="CJ1059" s="34"/>
      <c r="CK1059" s="34"/>
      <c r="CL1059" s="34"/>
      <c r="CM1059" s="34"/>
      <c r="CN1059" s="34"/>
      <c r="CO1059" s="34"/>
      <c r="CP1059" s="34"/>
      <c r="CQ1059" s="34"/>
      <c r="CR1059" s="34"/>
      <c r="CS1059" s="34"/>
      <c r="CT1059" s="34"/>
      <c r="CU1059" s="34"/>
      <c r="CV1059" s="34"/>
      <c r="CW1059" s="34"/>
      <c r="CX1059" s="34"/>
      <c r="CY1059" s="34"/>
      <c r="CZ1059" s="34"/>
      <c r="DA1059" s="34"/>
      <c r="DB1059" s="34"/>
      <c r="DC1059" s="34"/>
      <c r="DD1059" s="34"/>
      <c r="DE1059" s="34"/>
      <c r="DF1059" s="34"/>
      <c r="DG1059" s="34"/>
      <c r="DH1059" s="34"/>
      <c r="DI1059" s="34"/>
      <c r="DJ1059" s="34"/>
      <c r="DK1059" s="34"/>
      <c r="DL1059" s="34"/>
      <c r="DM1059" s="34"/>
      <c r="DN1059" s="34"/>
      <c r="DO1059" s="34"/>
      <c r="DP1059" s="34"/>
      <c r="DQ1059" s="34"/>
      <c r="DR1059" s="34"/>
      <c r="DS1059" s="34"/>
      <c r="DT1059" s="34"/>
      <c r="DU1059" s="34"/>
      <c r="DV1059" s="34"/>
      <c r="DW1059" s="34"/>
      <c r="DX1059" s="34"/>
      <c r="DY1059" s="34"/>
      <c r="DZ1059" s="34"/>
      <c r="EA1059" s="34"/>
    </row>
    <row r="1060" spans="1:131" ht="11.25">
      <c r="A1060" s="1"/>
      <c r="B1060" s="1"/>
      <c r="C1060" s="1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53"/>
      <c r="O1060" s="53"/>
      <c r="P1060" s="53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  <c r="AA1060" s="34"/>
      <c r="AB1060" s="34"/>
      <c r="AC1060" s="34"/>
      <c r="AD1060" s="34"/>
      <c r="AE1060" s="34"/>
      <c r="AF1060" s="34"/>
      <c r="AG1060" s="34"/>
      <c r="AH1060" s="34"/>
      <c r="AI1060" s="34"/>
      <c r="AJ1060" s="34"/>
      <c r="AK1060" s="34"/>
      <c r="AL1060" s="34"/>
      <c r="AM1060" s="34"/>
      <c r="AN1060" s="34"/>
      <c r="AO1060" s="34"/>
      <c r="AP1060" s="34"/>
      <c r="AQ1060" s="34"/>
      <c r="AR1060" s="34"/>
      <c r="AS1060" s="34"/>
      <c r="AT1060" s="34"/>
      <c r="AU1060" s="34"/>
      <c r="AV1060" s="34"/>
      <c r="AW1060" s="34"/>
      <c r="AX1060" s="34"/>
      <c r="AY1060" s="34"/>
      <c r="AZ1060" s="34"/>
      <c r="BA1060" s="34"/>
      <c r="BB1060" s="34"/>
      <c r="BC1060" s="34"/>
      <c r="BD1060" s="34"/>
      <c r="BE1060" s="34"/>
      <c r="BF1060" s="34"/>
      <c r="BG1060" s="34"/>
      <c r="BH1060" s="34"/>
      <c r="BI1060" s="34"/>
      <c r="BJ1060" s="34"/>
      <c r="BK1060" s="34"/>
      <c r="BL1060" s="34"/>
      <c r="BM1060" s="34"/>
      <c r="BN1060" s="34"/>
      <c r="BO1060" s="34"/>
      <c r="BP1060" s="34"/>
      <c r="BQ1060" s="34"/>
      <c r="BR1060" s="34"/>
      <c r="BS1060" s="34"/>
      <c r="BT1060" s="34"/>
      <c r="BU1060" s="34"/>
      <c r="BV1060" s="34"/>
      <c r="BW1060" s="34"/>
      <c r="BX1060" s="34"/>
      <c r="BY1060" s="34"/>
      <c r="BZ1060" s="34"/>
      <c r="CA1060" s="34"/>
      <c r="CB1060" s="34"/>
      <c r="CC1060" s="34"/>
      <c r="CD1060" s="34"/>
      <c r="CE1060" s="34"/>
      <c r="CF1060" s="34"/>
      <c r="CG1060" s="34"/>
      <c r="CH1060" s="34"/>
      <c r="CI1060" s="34"/>
      <c r="CJ1060" s="34"/>
      <c r="CK1060" s="34"/>
      <c r="CL1060" s="34"/>
      <c r="CM1060" s="34"/>
      <c r="CN1060" s="34"/>
      <c r="CO1060" s="34"/>
      <c r="CP1060" s="34"/>
      <c r="CQ1060" s="34"/>
      <c r="CR1060" s="34"/>
      <c r="CS1060" s="34"/>
      <c r="CT1060" s="34"/>
      <c r="CU1060" s="34"/>
      <c r="CV1060" s="34"/>
      <c r="CW1060" s="34"/>
      <c r="CX1060" s="34"/>
      <c r="CY1060" s="34"/>
      <c r="CZ1060" s="34"/>
      <c r="DA1060" s="34"/>
      <c r="DB1060" s="34"/>
      <c r="DC1060" s="34"/>
      <c r="DD1060" s="34"/>
      <c r="DE1060" s="34"/>
      <c r="DF1060" s="34"/>
      <c r="DG1060" s="34"/>
      <c r="DH1060" s="34"/>
      <c r="DI1060" s="34"/>
      <c r="DJ1060" s="34"/>
      <c r="DK1060" s="34"/>
      <c r="DL1060" s="34"/>
      <c r="DM1060" s="34"/>
      <c r="DN1060" s="34"/>
      <c r="DO1060" s="34"/>
      <c r="DP1060" s="34"/>
      <c r="DQ1060" s="34"/>
      <c r="DR1060" s="34"/>
      <c r="DS1060" s="34"/>
      <c r="DT1060" s="34"/>
      <c r="DU1060" s="34"/>
      <c r="DV1060" s="34"/>
      <c r="DW1060" s="34"/>
      <c r="DX1060" s="34"/>
      <c r="DY1060" s="34"/>
      <c r="DZ1060" s="34"/>
      <c r="EA1060" s="34"/>
    </row>
    <row r="1061" spans="1:131" ht="11.25">
      <c r="A1061" s="1"/>
      <c r="B1061" s="1"/>
      <c r="C1061" s="1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53"/>
      <c r="O1061" s="53"/>
      <c r="P1061" s="53"/>
      <c r="Q1061" s="34"/>
      <c r="R1061" s="34"/>
      <c r="S1061" s="34"/>
      <c r="T1061" s="34"/>
      <c r="U1061" s="34"/>
      <c r="V1061" s="34"/>
      <c r="W1061" s="34"/>
      <c r="X1061" s="34"/>
      <c r="Y1061" s="34"/>
      <c r="Z1061" s="34"/>
      <c r="AA1061" s="34"/>
      <c r="AB1061" s="34"/>
      <c r="AC1061" s="34"/>
      <c r="AD1061" s="34"/>
      <c r="AE1061" s="34"/>
      <c r="AF1061" s="34"/>
      <c r="AG1061" s="34"/>
      <c r="AH1061" s="34"/>
      <c r="AI1061" s="34"/>
      <c r="AJ1061" s="34"/>
      <c r="AK1061" s="34"/>
      <c r="AL1061" s="34"/>
      <c r="AM1061" s="34"/>
      <c r="AN1061" s="34"/>
      <c r="AO1061" s="34"/>
      <c r="AP1061" s="34"/>
      <c r="AQ1061" s="34"/>
      <c r="AR1061" s="34"/>
      <c r="AS1061" s="34"/>
      <c r="AT1061" s="34"/>
      <c r="AU1061" s="34"/>
      <c r="AV1061" s="34"/>
      <c r="AW1061" s="34"/>
      <c r="AX1061" s="34"/>
      <c r="AY1061" s="34"/>
      <c r="AZ1061" s="34"/>
      <c r="BA1061" s="34"/>
      <c r="BB1061" s="34"/>
      <c r="BC1061" s="34"/>
      <c r="BD1061" s="34"/>
      <c r="BE1061" s="34"/>
      <c r="BF1061" s="34"/>
      <c r="BG1061" s="34"/>
      <c r="BH1061" s="34"/>
      <c r="BI1061" s="34"/>
      <c r="BJ1061" s="34"/>
      <c r="BK1061" s="34"/>
      <c r="BL1061" s="34"/>
      <c r="BM1061" s="34"/>
      <c r="BN1061" s="34"/>
      <c r="BO1061" s="34"/>
      <c r="BP1061" s="34"/>
      <c r="BQ1061" s="34"/>
      <c r="BR1061" s="34"/>
      <c r="BS1061" s="34"/>
      <c r="BT1061" s="34"/>
      <c r="BU1061" s="34"/>
      <c r="BV1061" s="34"/>
      <c r="BW1061" s="34"/>
      <c r="BX1061" s="34"/>
      <c r="BY1061" s="34"/>
      <c r="BZ1061" s="34"/>
      <c r="CA1061" s="34"/>
      <c r="CB1061" s="34"/>
      <c r="CC1061" s="34"/>
      <c r="CD1061" s="34"/>
      <c r="CE1061" s="34"/>
      <c r="CF1061" s="34"/>
      <c r="CG1061" s="34"/>
      <c r="CH1061" s="34"/>
      <c r="CI1061" s="34"/>
      <c r="CJ1061" s="34"/>
      <c r="CK1061" s="34"/>
      <c r="CL1061" s="34"/>
      <c r="CM1061" s="34"/>
      <c r="CN1061" s="34"/>
      <c r="CO1061" s="34"/>
      <c r="CP1061" s="34"/>
      <c r="CQ1061" s="34"/>
      <c r="CR1061" s="34"/>
      <c r="CS1061" s="34"/>
      <c r="CT1061" s="34"/>
      <c r="CU1061" s="34"/>
      <c r="CV1061" s="34"/>
      <c r="CW1061" s="34"/>
      <c r="CX1061" s="34"/>
      <c r="CY1061" s="34"/>
      <c r="CZ1061" s="34"/>
      <c r="DA1061" s="34"/>
      <c r="DB1061" s="34"/>
      <c r="DC1061" s="34"/>
      <c r="DD1061" s="34"/>
      <c r="DE1061" s="34"/>
      <c r="DF1061" s="34"/>
      <c r="DG1061" s="34"/>
      <c r="DH1061" s="34"/>
      <c r="DI1061" s="34"/>
      <c r="DJ1061" s="34"/>
      <c r="DK1061" s="34"/>
      <c r="DL1061" s="34"/>
      <c r="DM1061" s="34"/>
      <c r="DN1061" s="34"/>
      <c r="DO1061" s="34"/>
      <c r="DP1061" s="34"/>
      <c r="DQ1061" s="34"/>
      <c r="DR1061" s="34"/>
      <c r="DS1061" s="34"/>
      <c r="DT1061" s="34"/>
      <c r="DU1061" s="34"/>
      <c r="DV1061" s="34"/>
      <c r="DW1061" s="34"/>
      <c r="DX1061" s="34"/>
      <c r="DY1061" s="34"/>
      <c r="DZ1061" s="34"/>
      <c r="EA1061" s="34"/>
    </row>
    <row r="1062" spans="1:131" ht="11.25">
      <c r="A1062" s="1"/>
      <c r="B1062" s="1"/>
      <c r="C1062" s="1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53"/>
      <c r="O1062" s="53"/>
      <c r="P1062" s="53"/>
      <c r="Q1062" s="34"/>
      <c r="R1062" s="34"/>
      <c r="S1062" s="34"/>
      <c r="T1062" s="34"/>
      <c r="U1062" s="34"/>
      <c r="V1062" s="34"/>
      <c r="W1062" s="34"/>
      <c r="X1062" s="34"/>
      <c r="Y1062" s="34"/>
      <c r="Z1062" s="34"/>
      <c r="AA1062" s="34"/>
      <c r="AB1062" s="34"/>
      <c r="AC1062" s="34"/>
      <c r="AD1062" s="34"/>
      <c r="AE1062" s="34"/>
      <c r="AF1062" s="34"/>
      <c r="AG1062" s="34"/>
      <c r="AH1062" s="34"/>
      <c r="AI1062" s="34"/>
      <c r="AJ1062" s="34"/>
      <c r="AK1062" s="34"/>
      <c r="AL1062" s="34"/>
      <c r="AM1062" s="34"/>
      <c r="AN1062" s="34"/>
      <c r="AO1062" s="34"/>
      <c r="AP1062" s="34"/>
      <c r="AQ1062" s="34"/>
      <c r="AR1062" s="34"/>
      <c r="AS1062" s="34"/>
      <c r="AT1062" s="34"/>
      <c r="AU1062" s="34"/>
      <c r="AV1062" s="34"/>
      <c r="AW1062" s="34"/>
      <c r="AX1062" s="34"/>
      <c r="AY1062" s="34"/>
      <c r="AZ1062" s="34"/>
      <c r="BA1062" s="34"/>
      <c r="BB1062" s="34"/>
      <c r="BC1062" s="34"/>
      <c r="BD1062" s="34"/>
      <c r="BE1062" s="34"/>
      <c r="BF1062" s="34"/>
      <c r="BG1062" s="34"/>
      <c r="BH1062" s="34"/>
      <c r="BI1062" s="34"/>
      <c r="BJ1062" s="34"/>
      <c r="BK1062" s="34"/>
      <c r="BL1062" s="34"/>
      <c r="BM1062" s="34"/>
      <c r="BN1062" s="34"/>
      <c r="BO1062" s="34"/>
      <c r="BP1062" s="34"/>
      <c r="BQ1062" s="34"/>
      <c r="BR1062" s="34"/>
      <c r="BS1062" s="34"/>
      <c r="BT1062" s="34"/>
      <c r="BU1062" s="34"/>
      <c r="BV1062" s="34"/>
      <c r="BW1062" s="34"/>
      <c r="BX1062" s="34"/>
      <c r="BY1062" s="34"/>
      <c r="BZ1062" s="34"/>
      <c r="CA1062" s="34"/>
      <c r="CB1062" s="34"/>
      <c r="CC1062" s="34"/>
      <c r="CD1062" s="34"/>
      <c r="CE1062" s="34"/>
      <c r="CF1062" s="34"/>
      <c r="CG1062" s="34"/>
      <c r="CH1062" s="34"/>
      <c r="CI1062" s="34"/>
      <c r="CJ1062" s="34"/>
      <c r="CK1062" s="34"/>
      <c r="CL1062" s="34"/>
      <c r="CM1062" s="34"/>
      <c r="CN1062" s="34"/>
      <c r="CO1062" s="34"/>
      <c r="CP1062" s="34"/>
      <c r="CQ1062" s="34"/>
      <c r="CR1062" s="34"/>
      <c r="CS1062" s="34"/>
      <c r="CT1062" s="34"/>
      <c r="CU1062" s="34"/>
      <c r="CV1062" s="34"/>
      <c r="CW1062" s="34"/>
      <c r="CX1062" s="34"/>
      <c r="CY1062" s="34"/>
      <c r="CZ1062" s="34"/>
      <c r="DA1062" s="34"/>
      <c r="DB1062" s="34"/>
      <c r="DC1062" s="34"/>
      <c r="DD1062" s="34"/>
      <c r="DE1062" s="34"/>
      <c r="DF1062" s="34"/>
      <c r="DG1062" s="34"/>
      <c r="DH1062" s="34"/>
      <c r="DI1062" s="34"/>
      <c r="DJ1062" s="34"/>
      <c r="DK1062" s="34"/>
      <c r="DL1062" s="34"/>
      <c r="DM1062" s="34"/>
      <c r="DN1062" s="34"/>
      <c r="DO1062" s="34"/>
      <c r="DP1062" s="34"/>
      <c r="DQ1062" s="34"/>
      <c r="DR1062" s="34"/>
      <c r="DS1062" s="34"/>
      <c r="DT1062" s="34"/>
      <c r="DU1062" s="34"/>
      <c r="DV1062" s="34"/>
      <c r="DW1062" s="34"/>
      <c r="DX1062" s="34"/>
      <c r="DY1062" s="34"/>
      <c r="DZ1062" s="34"/>
      <c r="EA1062" s="34"/>
    </row>
    <row r="1063" spans="1:131" ht="11.25">
      <c r="A1063" s="1"/>
      <c r="B1063" s="1"/>
      <c r="C1063" s="1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53"/>
      <c r="O1063" s="53"/>
      <c r="P1063" s="53"/>
      <c r="Q1063" s="34"/>
      <c r="R1063" s="34"/>
      <c r="S1063" s="34"/>
      <c r="T1063" s="34"/>
      <c r="U1063" s="34"/>
      <c r="V1063" s="34"/>
      <c r="W1063" s="34"/>
      <c r="X1063" s="34"/>
      <c r="Y1063" s="34"/>
      <c r="Z1063" s="34"/>
      <c r="AA1063" s="34"/>
      <c r="AB1063" s="34"/>
      <c r="AC1063" s="34"/>
      <c r="AD1063" s="34"/>
      <c r="AE1063" s="34"/>
      <c r="AF1063" s="34"/>
      <c r="AG1063" s="34"/>
      <c r="AH1063" s="34"/>
      <c r="AI1063" s="34"/>
      <c r="AJ1063" s="34"/>
      <c r="AK1063" s="34"/>
      <c r="AL1063" s="34"/>
      <c r="AM1063" s="34"/>
      <c r="AN1063" s="34"/>
      <c r="AO1063" s="34"/>
      <c r="AP1063" s="34"/>
      <c r="AQ1063" s="34"/>
      <c r="AR1063" s="34"/>
      <c r="AS1063" s="34"/>
      <c r="AT1063" s="34"/>
      <c r="AU1063" s="34"/>
      <c r="AV1063" s="34"/>
      <c r="AW1063" s="34"/>
      <c r="AX1063" s="34"/>
      <c r="AY1063" s="34"/>
      <c r="AZ1063" s="34"/>
      <c r="BA1063" s="34"/>
      <c r="BB1063" s="34"/>
      <c r="BC1063" s="34"/>
      <c r="BD1063" s="34"/>
      <c r="BE1063" s="34"/>
      <c r="BF1063" s="34"/>
      <c r="BG1063" s="34"/>
      <c r="BH1063" s="34"/>
      <c r="BI1063" s="34"/>
      <c r="BJ1063" s="34"/>
      <c r="BK1063" s="34"/>
      <c r="BL1063" s="34"/>
      <c r="BM1063" s="34"/>
      <c r="BN1063" s="34"/>
      <c r="BO1063" s="34"/>
      <c r="BP1063" s="34"/>
      <c r="BQ1063" s="34"/>
      <c r="BR1063" s="34"/>
      <c r="BS1063" s="34"/>
      <c r="BT1063" s="34"/>
      <c r="BU1063" s="34"/>
      <c r="BV1063" s="34"/>
      <c r="BW1063" s="34"/>
      <c r="BX1063" s="34"/>
      <c r="BY1063" s="34"/>
      <c r="BZ1063" s="34"/>
      <c r="CA1063" s="34"/>
      <c r="CB1063" s="34"/>
      <c r="CC1063" s="34"/>
      <c r="CD1063" s="34"/>
      <c r="CE1063" s="34"/>
      <c r="CF1063" s="34"/>
      <c r="CG1063" s="34"/>
      <c r="CH1063" s="34"/>
      <c r="CI1063" s="34"/>
      <c r="CJ1063" s="34"/>
      <c r="CK1063" s="34"/>
      <c r="CL1063" s="34"/>
      <c r="CM1063" s="34"/>
      <c r="CN1063" s="34"/>
      <c r="CO1063" s="34"/>
      <c r="CP1063" s="34"/>
      <c r="CQ1063" s="34"/>
      <c r="CR1063" s="34"/>
      <c r="CS1063" s="34"/>
      <c r="CT1063" s="34"/>
      <c r="CU1063" s="34"/>
      <c r="CV1063" s="34"/>
      <c r="CW1063" s="34"/>
      <c r="CX1063" s="34"/>
      <c r="CY1063" s="34"/>
      <c r="CZ1063" s="34"/>
      <c r="DA1063" s="34"/>
      <c r="DB1063" s="34"/>
      <c r="DC1063" s="34"/>
      <c r="DD1063" s="34"/>
      <c r="DE1063" s="34"/>
      <c r="DF1063" s="34"/>
      <c r="DG1063" s="34"/>
      <c r="DH1063" s="34"/>
      <c r="DI1063" s="34"/>
      <c r="DJ1063" s="34"/>
      <c r="DK1063" s="34"/>
      <c r="DL1063" s="34"/>
      <c r="DM1063" s="34"/>
      <c r="DN1063" s="34"/>
      <c r="DO1063" s="34"/>
      <c r="DP1063" s="34"/>
      <c r="DQ1063" s="34"/>
      <c r="DR1063" s="34"/>
      <c r="DS1063" s="34"/>
      <c r="DT1063" s="34"/>
      <c r="DU1063" s="34"/>
      <c r="DV1063" s="34"/>
      <c r="DW1063" s="34"/>
      <c r="DX1063" s="34"/>
      <c r="DY1063" s="34"/>
      <c r="DZ1063" s="34"/>
      <c r="EA1063" s="34"/>
    </row>
    <row r="1064" spans="1:131" ht="11.25">
      <c r="A1064" s="1"/>
      <c r="B1064" s="1"/>
      <c r="C1064" s="1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53"/>
      <c r="O1064" s="53"/>
      <c r="P1064" s="53"/>
      <c r="Q1064" s="34"/>
      <c r="R1064" s="34"/>
      <c r="S1064" s="34"/>
      <c r="T1064" s="34"/>
      <c r="U1064" s="34"/>
      <c r="V1064" s="34"/>
      <c r="W1064" s="34"/>
      <c r="X1064" s="34"/>
      <c r="Y1064" s="34"/>
      <c r="Z1064" s="34"/>
      <c r="AA1064" s="34"/>
      <c r="AB1064" s="34"/>
      <c r="AC1064" s="34"/>
      <c r="AD1064" s="34"/>
      <c r="AE1064" s="34"/>
      <c r="AF1064" s="34"/>
      <c r="AG1064" s="34"/>
      <c r="AH1064" s="34"/>
      <c r="AI1064" s="34"/>
      <c r="AJ1064" s="34"/>
      <c r="AK1064" s="34"/>
      <c r="AL1064" s="34"/>
      <c r="AM1064" s="34"/>
      <c r="AN1064" s="34"/>
      <c r="AO1064" s="34"/>
      <c r="AP1064" s="34"/>
      <c r="AQ1064" s="34"/>
      <c r="AR1064" s="34"/>
      <c r="AS1064" s="34"/>
      <c r="AT1064" s="34"/>
      <c r="AU1064" s="34"/>
      <c r="AV1064" s="34"/>
      <c r="AW1064" s="34"/>
      <c r="AX1064" s="34"/>
      <c r="AY1064" s="34"/>
      <c r="AZ1064" s="34"/>
      <c r="BA1064" s="34"/>
      <c r="BB1064" s="34"/>
      <c r="BC1064" s="34"/>
      <c r="BD1064" s="34"/>
      <c r="BE1064" s="34"/>
      <c r="BF1064" s="34"/>
      <c r="BG1064" s="34"/>
      <c r="BH1064" s="34"/>
      <c r="BI1064" s="34"/>
      <c r="BJ1064" s="34"/>
      <c r="BK1064" s="34"/>
      <c r="BL1064" s="34"/>
      <c r="BM1064" s="34"/>
      <c r="BN1064" s="34"/>
      <c r="BO1064" s="34"/>
      <c r="BP1064" s="34"/>
      <c r="BQ1064" s="34"/>
      <c r="BR1064" s="34"/>
      <c r="BS1064" s="34"/>
      <c r="BT1064" s="34"/>
      <c r="BU1064" s="34"/>
      <c r="BV1064" s="34"/>
      <c r="BW1064" s="34"/>
      <c r="BX1064" s="34"/>
      <c r="BY1064" s="34"/>
      <c r="BZ1064" s="34"/>
      <c r="CA1064" s="34"/>
      <c r="CB1064" s="34"/>
      <c r="CC1064" s="34"/>
      <c r="CD1064" s="34"/>
      <c r="CE1064" s="34"/>
      <c r="CF1064" s="34"/>
      <c r="CG1064" s="34"/>
      <c r="CH1064" s="34"/>
      <c r="CI1064" s="34"/>
      <c r="CJ1064" s="34"/>
      <c r="CK1064" s="34"/>
      <c r="CL1064" s="34"/>
      <c r="CM1064" s="34"/>
      <c r="CN1064" s="34"/>
      <c r="CO1064" s="34"/>
      <c r="CP1064" s="34"/>
      <c r="CQ1064" s="34"/>
      <c r="CR1064" s="34"/>
      <c r="CS1064" s="34"/>
      <c r="CT1064" s="34"/>
      <c r="CU1064" s="34"/>
      <c r="CV1064" s="34"/>
      <c r="CW1064" s="34"/>
      <c r="CX1064" s="34"/>
      <c r="CY1064" s="34"/>
      <c r="CZ1064" s="34"/>
      <c r="DA1064" s="34"/>
      <c r="DB1064" s="34"/>
      <c r="DC1064" s="34"/>
      <c r="DD1064" s="34"/>
      <c r="DE1064" s="34"/>
      <c r="DF1064" s="34"/>
      <c r="DG1064" s="34"/>
      <c r="DH1064" s="34"/>
      <c r="DI1064" s="34"/>
      <c r="DJ1064" s="34"/>
      <c r="DK1064" s="34"/>
      <c r="DL1064" s="34"/>
      <c r="DM1064" s="34"/>
      <c r="DN1064" s="34"/>
      <c r="DO1064" s="34"/>
      <c r="DP1064" s="34"/>
      <c r="DQ1064" s="34"/>
      <c r="DR1064" s="34"/>
      <c r="DS1064" s="34"/>
      <c r="DT1064" s="34"/>
      <c r="DU1064" s="34"/>
      <c r="DV1064" s="34"/>
      <c r="DW1064" s="34"/>
      <c r="DX1064" s="34"/>
      <c r="DY1064" s="34"/>
      <c r="DZ1064" s="34"/>
      <c r="EA1064" s="34"/>
    </row>
    <row r="1065" spans="1:131" ht="11.25">
      <c r="A1065" s="1"/>
      <c r="B1065" s="1"/>
      <c r="C1065" s="1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53"/>
      <c r="O1065" s="53"/>
      <c r="P1065" s="53"/>
      <c r="Q1065" s="34"/>
      <c r="R1065" s="34"/>
      <c r="S1065" s="34"/>
      <c r="T1065" s="34"/>
      <c r="U1065" s="34"/>
      <c r="V1065" s="34"/>
      <c r="W1065" s="34"/>
      <c r="X1065" s="34"/>
      <c r="Y1065" s="34"/>
      <c r="Z1065" s="34"/>
      <c r="AA1065" s="34"/>
      <c r="AB1065" s="34"/>
      <c r="AC1065" s="34"/>
      <c r="AD1065" s="34"/>
      <c r="AE1065" s="34"/>
      <c r="AF1065" s="34"/>
      <c r="AG1065" s="34"/>
      <c r="AH1065" s="34"/>
      <c r="AI1065" s="34"/>
      <c r="AJ1065" s="34"/>
      <c r="AK1065" s="34"/>
      <c r="AL1065" s="34"/>
      <c r="AM1065" s="34"/>
      <c r="AN1065" s="34"/>
      <c r="AO1065" s="34"/>
      <c r="AP1065" s="34"/>
      <c r="AQ1065" s="34"/>
      <c r="AR1065" s="34"/>
      <c r="AS1065" s="34"/>
      <c r="AT1065" s="34"/>
      <c r="AU1065" s="34"/>
      <c r="AV1065" s="34"/>
      <c r="AW1065" s="34"/>
      <c r="AX1065" s="34"/>
      <c r="AY1065" s="34"/>
      <c r="AZ1065" s="34"/>
      <c r="BA1065" s="34"/>
      <c r="BB1065" s="34"/>
      <c r="BC1065" s="34"/>
      <c r="BD1065" s="34"/>
      <c r="BE1065" s="34"/>
      <c r="BF1065" s="34"/>
      <c r="BG1065" s="34"/>
      <c r="BH1065" s="34"/>
      <c r="BI1065" s="34"/>
      <c r="BJ1065" s="34"/>
      <c r="BK1065" s="34"/>
      <c r="BL1065" s="34"/>
      <c r="BM1065" s="34"/>
      <c r="BN1065" s="34"/>
      <c r="BO1065" s="34"/>
      <c r="BP1065" s="34"/>
      <c r="BQ1065" s="34"/>
      <c r="BR1065" s="34"/>
      <c r="BS1065" s="34"/>
      <c r="BT1065" s="34"/>
      <c r="BU1065" s="34"/>
      <c r="BV1065" s="34"/>
      <c r="BW1065" s="34"/>
      <c r="BX1065" s="34"/>
      <c r="BY1065" s="34"/>
      <c r="BZ1065" s="34"/>
      <c r="CA1065" s="34"/>
      <c r="CB1065" s="34"/>
      <c r="CC1065" s="34"/>
      <c r="CD1065" s="34"/>
      <c r="CE1065" s="34"/>
      <c r="CF1065" s="34"/>
      <c r="CG1065" s="34"/>
      <c r="CH1065" s="34"/>
      <c r="CI1065" s="34"/>
      <c r="CJ1065" s="34"/>
      <c r="CK1065" s="34"/>
      <c r="CL1065" s="34"/>
      <c r="CM1065" s="34"/>
      <c r="CN1065" s="34"/>
      <c r="CO1065" s="34"/>
      <c r="CP1065" s="34"/>
      <c r="CQ1065" s="34"/>
      <c r="CR1065" s="34"/>
      <c r="CS1065" s="34"/>
      <c r="CT1065" s="34"/>
      <c r="CU1065" s="34"/>
      <c r="CV1065" s="34"/>
      <c r="CW1065" s="34"/>
      <c r="CX1065" s="34"/>
      <c r="CY1065" s="34"/>
      <c r="CZ1065" s="34"/>
      <c r="DA1065" s="34"/>
      <c r="DB1065" s="34"/>
      <c r="DC1065" s="34"/>
      <c r="DD1065" s="34"/>
      <c r="DE1065" s="34"/>
      <c r="DF1065" s="34"/>
      <c r="DG1065" s="34"/>
      <c r="DH1065" s="34"/>
      <c r="DI1065" s="34"/>
      <c r="DJ1065" s="34"/>
      <c r="DK1065" s="34"/>
      <c r="DL1065" s="34"/>
      <c r="DM1065" s="34"/>
      <c r="DN1065" s="34"/>
      <c r="DO1065" s="34"/>
      <c r="DP1065" s="34"/>
      <c r="DQ1065" s="34"/>
      <c r="DR1065" s="34"/>
      <c r="DS1065" s="34"/>
      <c r="DT1065" s="34"/>
      <c r="DU1065" s="34"/>
      <c r="DV1065" s="34"/>
      <c r="DW1065" s="34"/>
      <c r="DX1065" s="34"/>
      <c r="DY1065" s="34"/>
      <c r="DZ1065" s="34"/>
      <c r="EA1065" s="34"/>
    </row>
    <row r="1066" spans="1:131" ht="11.25">
      <c r="A1066" s="1"/>
      <c r="B1066" s="1"/>
      <c r="C1066" s="1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53"/>
      <c r="O1066" s="53"/>
      <c r="P1066" s="53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  <c r="AA1066" s="34"/>
      <c r="AB1066" s="34"/>
      <c r="AC1066" s="34"/>
      <c r="AD1066" s="34"/>
      <c r="AE1066" s="34"/>
      <c r="AF1066" s="34"/>
      <c r="AG1066" s="34"/>
      <c r="AH1066" s="34"/>
      <c r="AI1066" s="34"/>
      <c r="AJ1066" s="34"/>
      <c r="AK1066" s="34"/>
      <c r="AL1066" s="34"/>
      <c r="AM1066" s="34"/>
      <c r="AN1066" s="34"/>
      <c r="AO1066" s="34"/>
      <c r="AP1066" s="34"/>
      <c r="AQ1066" s="34"/>
      <c r="AR1066" s="34"/>
      <c r="AS1066" s="34"/>
      <c r="AT1066" s="34"/>
      <c r="AU1066" s="34"/>
      <c r="AV1066" s="34"/>
      <c r="AW1066" s="34"/>
      <c r="AX1066" s="34"/>
      <c r="AY1066" s="34"/>
      <c r="AZ1066" s="34"/>
      <c r="BA1066" s="34"/>
      <c r="BB1066" s="34"/>
      <c r="BC1066" s="34"/>
      <c r="BD1066" s="34"/>
      <c r="BE1066" s="34"/>
      <c r="BF1066" s="34"/>
      <c r="BG1066" s="34"/>
      <c r="BH1066" s="34"/>
      <c r="BI1066" s="34"/>
      <c r="BJ1066" s="34"/>
      <c r="BK1066" s="34"/>
      <c r="BL1066" s="34"/>
      <c r="BM1066" s="34"/>
      <c r="BN1066" s="34"/>
      <c r="BO1066" s="34"/>
      <c r="BP1066" s="34"/>
      <c r="BQ1066" s="34"/>
      <c r="BR1066" s="34"/>
      <c r="BS1066" s="34"/>
      <c r="BT1066" s="34"/>
      <c r="BU1066" s="34"/>
      <c r="BV1066" s="34"/>
      <c r="BW1066" s="34"/>
      <c r="BX1066" s="34"/>
      <c r="BY1066" s="34"/>
      <c r="BZ1066" s="34"/>
      <c r="CA1066" s="34"/>
      <c r="CB1066" s="34"/>
      <c r="CC1066" s="34"/>
      <c r="CD1066" s="34"/>
      <c r="CE1066" s="34"/>
      <c r="CF1066" s="34"/>
      <c r="CG1066" s="34"/>
      <c r="CH1066" s="34"/>
      <c r="CI1066" s="34"/>
      <c r="CJ1066" s="34"/>
      <c r="CK1066" s="34"/>
      <c r="CL1066" s="34"/>
      <c r="CM1066" s="34"/>
      <c r="CN1066" s="34"/>
      <c r="CO1066" s="34"/>
      <c r="CP1066" s="34"/>
      <c r="CQ1066" s="34"/>
      <c r="CR1066" s="34"/>
      <c r="CS1066" s="34"/>
      <c r="CT1066" s="34"/>
      <c r="CU1066" s="34"/>
      <c r="CV1066" s="34"/>
      <c r="CW1066" s="34"/>
      <c r="CX1066" s="34"/>
      <c r="CY1066" s="34"/>
      <c r="CZ1066" s="34"/>
      <c r="DA1066" s="34"/>
      <c r="DB1066" s="34"/>
      <c r="DC1066" s="34"/>
      <c r="DD1066" s="34"/>
      <c r="DE1066" s="34"/>
      <c r="DF1066" s="34"/>
      <c r="DG1066" s="34"/>
      <c r="DH1066" s="34"/>
      <c r="DI1066" s="34"/>
      <c r="DJ1066" s="34"/>
      <c r="DK1066" s="34"/>
      <c r="DL1066" s="34"/>
      <c r="DM1066" s="34"/>
      <c r="DN1066" s="34"/>
      <c r="DO1066" s="34"/>
      <c r="DP1066" s="34"/>
      <c r="DQ1066" s="34"/>
      <c r="DR1066" s="34"/>
      <c r="DS1066" s="34"/>
      <c r="DT1066" s="34"/>
      <c r="DU1066" s="34"/>
      <c r="DV1066" s="34"/>
      <c r="DW1066" s="34"/>
      <c r="DX1066" s="34"/>
      <c r="DY1066" s="34"/>
      <c r="DZ1066" s="34"/>
      <c r="EA1066" s="34"/>
    </row>
    <row r="1067" spans="1:131" ht="11.25">
      <c r="A1067" s="1"/>
      <c r="B1067" s="1"/>
      <c r="C1067" s="1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53"/>
      <c r="O1067" s="53"/>
      <c r="P1067" s="53"/>
      <c r="Q1067" s="34"/>
      <c r="R1067" s="34"/>
      <c r="S1067" s="34"/>
      <c r="T1067" s="34"/>
      <c r="U1067" s="34"/>
      <c r="V1067" s="34"/>
      <c r="W1067" s="34"/>
      <c r="X1067" s="34"/>
      <c r="Y1067" s="34"/>
      <c r="Z1067" s="34"/>
      <c r="AA1067" s="34"/>
      <c r="AB1067" s="34"/>
      <c r="AC1067" s="34"/>
      <c r="AD1067" s="34"/>
      <c r="AE1067" s="34"/>
      <c r="AF1067" s="34"/>
      <c r="AG1067" s="34"/>
      <c r="AH1067" s="34"/>
      <c r="AI1067" s="34"/>
      <c r="AJ1067" s="34"/>
      <c r="AK1067" s="34"/>
      <c r="AL1067" s="34"/>
      <c r="AM1067" s="34"/>
      <c r="AN1067" s="34"/>
      <c r="AO1067" s="34"/>
      <c r="AP1067" s="34"/>
      <c r="AQ1067" s="34"/>
      <c r="AR1067" s="34"/>
      <c r="AS1067" s="34"/>
      <c r="AT1067" s="34"/>
      <c r="AU1067" s="34"/>
      <c r="AV1067" s="34"/>
      <c r="AW1067" s="34"/>
      <c r="AX1067" s="34"/>
      <c r="AY1067" s="34"/>
      <c r="AZ1067" s="34"/>
      <c r="BA1067" s="34"/>
      <c r="BB1067" s="34"/>
      <c r="BC1067" s="34"/>
      <c r="BD1067" s="34"/>
      <c r="BE1067" s="34"/>
      <c r="BF1067" s="34"/>
      <c r="BG1067" s="34"/>
      <c r="BH1067" s="34"/>
      <c r="BI1067" s="34"/>
      <c r="BJ1067" s="34"/>
      <c r="BK1067" s="34"/>
      <c r="BL1067" s="34"/>
      <c r="BM1067" s="34"/>
      <c r="BN1067" s="34"/>
      <c r="BO1067" s="34"/>
      <c r="BP1067" s="34"/>
      <c r="BQ1067" s="34"/>
      <c r="BR1067" s="34"/>
      <c r="BS1067" s="34"/>
      <c r="BT1067" s="34"/>
      <c r="BU1067" s="34"/>
      <c r="BV1067" s="34"/>
      <c r="BW1067" s="34"/>
      <c r="BX1067" s="34"/>
      <c r="BY1067" s="34"/>
      <c r="BZ1067" s="34"/>
      <c r="CA1067" s="34"/>
      <c r="CB1067" s="34"/>
      <c r="CC1067" s="34"/>
      <c r="CD1067" s="34"/>
      <c r="CE1067" s="34"/>
      <c r="CF1067" s="34"/>
      <c r="CG1067" s="34"/>
      <c r="CH1067" s="34"/>
      <c r="CI1067" s="34"/>
      <c r="CJ1067" s="34"/>
      <c r="CK1067" s="34"/>
      <c r="CL1067" s="34"/>
      <c r="CM1067" s="34"/>
      <c r="CN1067" s="34"/>
      <c r="CO1067" s="34"/>
      <c r="CP1067" s="34"/>
      <c r="CQ1067" s="34"/>
      <c r="CR1067" s="34"/>
      <c r="CS1067" s="34"/>
      <c r="CT1067" s="34"/>
      <c r="CU1067" s="34"/>
      <c r="CV1067" s="34"/>
      <c r="CW1067" s="34"/>
      <c r="CX1067" s="34"/>
      <c r="CY1067" s="34"/>
      <c r="CZ1067" s="34"/>
      <c r="DA1067" s="34"/>
      <c r="DB1067" s="34"/>
      <c r="DC1067" s="34"/>
      <c r="DD1067" s="34"/>
      <c r="DE1067" s="34"/>
      <c r="DF1067" s="34"/>
      <c r="DG1067" s="34"/>
      <c r="DH1067" s="34"/>
      <c r="DI1067" s="34"/>
      <c r="DJ1067" s="34"/>
      <c r="DK1067" s="34"/>
      <c r="DL1067" s="34"/>
      <c r="DM1067" s="34"/>
      <c r="DN1067" s="34"/>
      <c r="DO1067" s="34"/>
      <c r="DP1067" s="34"/>
      <c r="DQ1067" s="34"/>
      <c r="DR1067" s="34"/>
      <c r="DS1067" s="34"/>
      <c r="DT1067" s="34"/>
      <c r="DU1067" s="34"/>
      <c r="DV1067" s="34"/>
      <c r="DW1067" s="34"/>
      <c r="DX1067" s="34"/>
      <c r="DY1067" s="34"/>
      <c r="DZ1067" s="34"/>
      <c r="EA1067" s="34"/>
    </row>
    <row r="1068" spans="1:131" ht="11.25">
      <c r="A1068" s="1"/>
      <c r="B1068" s="1"/>
      <c r="C1068" s="1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53"/>
      <c r="O1068" s="53"/>
      <c r="P1068" s="53"/>
      <c r="Q1068" s="34"/>
      <c r="R1068" s="34"/>
      <c r="S1068" s="34"/>
      <c r="T1068" s="34"/>
      <c r="U1068" s="34"/>
      <c r="V1068" s="34"/>
      <c r="W1068" s="34"/>
      <c r="X1068" s="34"/>
      <c r="Y1068" s="34"/>
      <c r="Z1068" s="34"/>
      <c r="AA1068" s="34"/>
      <c r="AB1068" s="34"/>
      <c r="AC1068" s="34"/>
      <c r="AD1068" s="34"/>
      <c r="AE1068" s="34"/>
      <c r="AF1068" s="34"/>
      <c r="AG1068" s="34"/>
      <c r="AH1068" s="34"/>
      <c r="AI1068" s="34"/>
      <c r="AJ1068" s="34"/>
      <c r="AK1068" s="34"/>
      <c r="AL1068" s="34"/>
      <c r="AM1068" s="34"/>
      <c r="AN1068" s="34"/>
      <c r="AO1068" s="34"/>
      <c r="AP1068" s="34"/>
      <c r="AQ1068" s="34"/>
      <c r="AR1068" s="34"/>
      <c r="AS1068" s="34"/>
      <c r="AT1068" s="34"/>
      <c r="AU1068" s="34"/>
      <c r="AV1068" s="34"/>
      <c r="AW1068" s="34"/>
      <c r="AX1068" s="34"/>
      <c r="AY1068" s="34"/>
      <c r="AZ1068" s="34"/>
      <c r="BA1068" s="34"/>
      <c r="BB1068" s="34"/>
      <c r="BC1068" s="34"/>
      <c r="BD1068" s="34"/>
      <c r="BE1068" s="34"/>
      <c r="BF1068" s="34"/>
      <c r="BG1068" s="34"/>
      <c r="BH1068" s="34"/>
      <c r="BI1068" s="34"/>
      <c r="BJ1068" s="34"/>
      <c r="BK1068" s="34"/>
      <c r="BL1068" s="34"/>
      <c r="BM1068" s="34"/>
      <c r="BN1068" s="34"/>
      <c r="BO1068" s="34"/>
      <c r="BP1068" s="34"/>
      <c r="BQ1068" s="34"/>
      <c r="BR1068" s="34"/>
      <c r="BS1068" s="34"/>
      <c r="BT1068" s="34"/>
      <c r="BU1068" s="34"/>
      <c r="BV1068" s="34"/>
      <c r="BW1068" s="34"/>
      <c r="BX1068" s="34"/>
      <c r="BY1068" s="34"/>
      <c r="BZ1068" s="34"/>
      <c r="CA1068" s="34"/>
      <c r="CB1068" s="34"/>
      <c r="CC1068" s="34"/>
      <c r="CD1068" s="34"/>
      <c r="CE1068" s="34"/>
      <c r="CF1068" s="34"/>
      <c r="CG1068" s="34"/>
      <c r="CH1068" s="34"/>
      <c r="CI1068" s="34"/>
      <c r="CJ1068" s="34"/>
      <c r="CK1068" s="34"/>
      <c r="CL1068" s="34"/>
      <c r="CM1068" s="34"/>
      <c r="CN1068" s="34"/>
      <c r="CO1068" s="34"/>
      <c r="CP1068" s="34"/>
      <c r="CQ1068" s="34"/>
      <c r="CR1068" s="34"/>
      <c r="CS1068" s="34"/>
      <c r="CT1068" s="34"/>
      <c r="CU1068" s="34"/>
      <c r="CV1068" s="34"/>
      <c r="CW1068" s="34"/>
      <c r="CX1068" s="34"/>
      <c r="CY1068" s="34"/>
      <c r="CZ1068" s="34"/>
      <c r="DA1068" s="34"/>
      <c r="DB1068" s="34"/>
      <c r="DC1068" s="34"/>
      <c r="DD1068" s="34"/>
      <c r="DE1068" s="34"/>
      <c r="DF1068" s="34"/>
      <c r="DG1068" s="34"/>
      <c r="DH1068" s="34"/>
      <c r="DI1068" s="34"/>
      <c r="DJ1068" s="34"/>
      <c r="DK1068" s="34"/>
      <c r="DL1068" s="34"/>
      <c r="DM1068" s="34"/>
      <c r="DN1068" s="34"/>
      <c r="DO1068" s="34"/>
      <c r="DP1068" s="34"/>
      <c r="DQ1068" s="34"/>
      <c r="DR1068" s="34"/>
      <c r="DS1068" s="34"/>
      <c r="DT1068" s="34"/>
      <c r="DU1068" s="34"/>
      <c r="DV1068" s="34"/>
      <c r="DW1068" s="34"/>
      <c r="DX1068" s="34"/>
      <c r="DY1068" s="34"/>
      <c r="DZ1068" s="34"/>
      <c r="EA1068" s="34"/>
    </row>
    <row r="1069" spans="1:131" ht="11.25">
      <c r="A1069" s="1"/>
      <c r="B1069" s="1"/>
      <c r="C1069" s="1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53"/>
      <c r="O1069" s="53"/>
      <c r="P1069" s="53"/>
      <c r="Q1069" s="34"/>
      <c r="R1069" s="34"/>
      <c r="S1069" s="34"/>
      <c r="T1069" s="34"/>
      <c r="U1069" s="34"/>
      <c r="V1069" s="34"/>
      <c r="W1069" s="34"/>
      <c r="X1069" s="34"/>
      <c r="Y1069" s="34"/>
      <c r="Z1069" s="34"/>
      <c r="AA1069" s="34"/>
      <c r="AB1069" s="34"/>
      <c r="AC1069" s="34"/>
      <c r="AD1069" s="34"/>
      <c r="AE1069" s="34"/>
      <c r="AF1069" s="34"/>
      <c r="AG1069" s="34"/>
      <c r="AH1069" s="34"/>
      <c r="AI1069" s="34"/>
      <c r="AJ1069" s="34"/>
      <c r="AK1069" s="34"/>
      <c r="AL1069" s="34"/>
      <c r="AM1069" s="34"/>
      <c r="AN1069" s="34"/>
      <c r="AO1069" s="34"/>
      <c r="AP1069" s="34"/>
      <c r="AQ1069" s="34"/>
      <c r="AR1069" s="34"/>
      <c r="AS1069" s="34"/>
      <c r="AT1069" s="34"/>
      <c r="AU1069" s="34"/>
      <c r="AV1069" s="34"/>
      <c r="AW1069" s="34"/>
      <c r="AX1069" s="34"/>
      <c r="AY1069" s="34"/>
      <c r="AZ1069" s="34"/>
      <c r="BA1069" s="34"/>
      <c r="BB1069" s="34"/>
      <c r="BC1069" s="34"/>
      <c r="BD1069" s="34"/>
      <c r="BE1069" s="34"/>
      <c r="BF1069" s="34"/>
      <c r="BG1069" s="34"/>
      <c r="BH1069" s="34"/>
      <c r="BI1069" s="34"/>
      <c r="BJ1069" s="34"/>
      <c r="BK1069" s="34"/>
      <c r="BL1069" s="34"/>
      <c r="BM1069" s="34"/>
      <c r="BN1069" s="34"/>
      <c r="BO1069" s="34"/>
      <c r="BP1069" s="34"/>
      <c r="BQ1069" s="34"/>
      <c r="BR1069" s="34"/>
      <c r="BS1069" s="34"/>
      <c r="BT1069" s="34"/>
      <c r="BU1069" s="34"/>
      <c r="BV1069" s="34"/>
      <c r="BW1069" s="34"/>
      <c r="BX1069" s="34"/>
      <c r="BY1069" s="34"/>
      <c r="BZ1069" s="34"/>
      <c r="CA1069" s="34"/>
      <c r="CB1069" s="34"/>
      <c r="CC1069" s="34"/>
      <c r="CD1069" s="34"/>
      <c r="CE1069" s="34"/>
      <c r="CF1069" s="34"/>
      <c r="CG1069" s="34"/>
      <c r="CH1069" s="34"/>
      <c r="CI1069" s="34"/>
      <c r="CJ1069" s="34"/>
      <c r="CK1069" s="34"/>
      <c r="CL1069" s="34"/>
      <c r="CM1069" s="34"/>
      <c r="CN1069" s="34"/>
      <c r="CO1069" s="34"/>
      <c r="CP1069" s="34"/>
      <c r="CQ1069" s="34"/>
      <c r="CR1069" s="34"/>
      <c r="CS1069" s="34"/>
      <c r="CT1069" s="34"/>
      <c r="CU1069" s="34"/>
      <c r="CV1069" s="34"/>
      <c r="CW1069" s="34"/>
      <c r="CX1069" s="34"/>
      <c r="CY1069" s="34"/>
      <c r="CZ1069" s="34"/>
      <c r="DA1069" s="34"/>
      <c r="DB1069" s="34"/>
      <c r="DC1069" s="34"/>
      <c r="DD1069" s="34"/>
      <c r="DE1069" s="34"/>
      <c r="DF1069" s="34"/>
      <c r="DG1069" s="34"/>
      <c r="DH1069" s="34"/>
      <c r="DI1069" s="34"/>
      <c r="DJ1069" s="34"/>
      <c r="DK1069" s="34"/>
      <c r="DL1069" s="34"/>
      <c r="DM1069" s="34"/>
      <c r="DN1069" s="34"/>
      <c r="DO1069" s="34"/>
      <c r="DP1069" s="34"/>
      <c r="DQ1069" s="34"/>
      <c r="DR1069" s="34"/>
      <c r="DS1069" s="34"/>
      <c r="DT1069" s="34"/>
      <c r="DU1069" s="34"/>
      <c r="DV1069" s="34"/>
      <c r="DW1069" s="34"/>
      <c r="DX1069" s="34"/>
      <c r="DY1069" s="34"/>
      <c r="DZ1069" s="34"/>
      <c r="EA1069" s="34"/>
    </row>
    <row r="1070" spans="1:131" ht="11.25">
      <c r="A1070" s="1"/>
      <c r="B1070" s="1"/>
      <c r="C1070" s="1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53"/>
      <c r="O1070" s="53"/>
      <c r="P1070" s="53"/>
      <c r="Q1070" s="34"/>
      <c r="R1070" s="34"/>
      <c r="S1070" s="34"/>
      <c r="T1070" s="34"/>
      <c r="U1070" s="34"/>
      <c r="V1070" s="34"/>
      <c r="W1070" s="34"/>
      <c r="X1070" s="34"/>
      <c r="Y1070" s="34"/>
      <c r="Z1070" s="34"/>
      <c r="AA1070" s="34"/>
      <c r="AB1070" s="34"/>
      <c r="AC1070" s="34"/>
      <c r="AD1070" s="34"/>
      <c r="AE1070" s="34"/>
      <c r="AF1070" s="34"/>
      <c r="AG1070" s="34"/>
      <c r="AH1070" s="34"/>
      <c r="AI1070" s="34"/>
      <c r="AJ1070" s="34"/>
      <c r="AK1070" s="34"/>
      <c r="AL1070" s="34"/>
      <c r="AM1070" s="34"/>
      <c r="AN1070" s="34"/>
      <c r="AO1070" s="34"/>
      <c r="AP1070" s="34"/>
      <c r="AQ1070" s="34"/>
      <c r="AR1070" s="34"/>
      <c r="AS1070" s="34"/>
      <c r="AT1070" s="34"/>
      <c r="AU1070" s="34"/>
      <c r="AV1070" s="34"/>
      <c r="AW1070" s="34"/>
      <c r="AX1070" s="34"/>
      <c r="AY1070" s="34"/>
      <c r="AZ1070" s="34"/>
      <c r="BA1070" s="34"/>
      <c r="BB1070" s="34"/>
      <c r="BC1070" s="34"/>
      <c r="BD1070" s="34"/>
      <c r="BE1070" s="34"/>
      <c r="BF1070" s="34"/>
      <c r="BG1070" s="34"/>
      <c r="BH1070" s="34"/>
      <c r="BI1070" s="34"/>
      <c r="BJ1070" s="34"/>
      <c r="BK1070" s="34"/>
      <c r="BL1070" s="34"/>
      <c r="BM1070" s="34"/>
      <c r="BN1070" s="34"/>
      <c r="BO1070" s="34"/>
      <c r="BP1070" s="34"/>
      <c r="BQ1070" s="34"/>
      <c r="BR1070" s="34"/>
      <c r="BS1070" s="34"/>
      <c r="BT1070" s="34"/>
      <c r="BU1070" s="34"/>
      <c r="BV1070" s="34"/>
      <c r="BW1070" s="34"/>
      <c r="BX1070" s="34"/>
      <c r="BY1070" s="34"/>
      <c r="BZ1070" s="34"/>
      <c r="CA1070" s="34"/>
      <c r="CB1070" s="34"/>
      <c r="CC1070" s="34"/>
      <c r="CD1070" s="34"/>
      <c r="CE1070" s="34"/>
      <c r="CF1070" s="34"/>
      <c r="CG1070" s="34"/>
      <c r="CH1070" s="34"/>
      <c r="CI1070" s="34"/>
      <c r="CJ1070" s="34"/>
      <c r="CK1070" s="34"/>
      <c r="CL1070" s="34"/>
      <c r="CM1070" s="34"/>
      <c r="CN1070" s="34"/>
      <c r="CO1070" s="34"/>
      <c r="CP1070" s="34"/>
      <c r="CQ1070" s="34"/>
      <c r="CR1070" s="34"/>
      <c r="CS1070" s="34"/>
      <c r="CT1070" s="34"/>
      <c r="CU1070" s="34"/>
      <c r="CV1070" s="34"/>
      <c r="CW1070" s="34"/>
      <c r="CX1070" s="34"/>
      <c r="CY1070" s="34"/>
      <c r="CZ1070" s="34"/>
      <c r="DA1070" s="34"/>
      <c r="DB1070" s="34"/>
      <c r="DC1070" s="34"/>
      <c r="DD1070" s="34"/>
      <c r="DE1070" s="34"/>
      <c r="DF1070" s="34"/>
      <c r="DG1070" s="34"/>
      <c r="DH1070" s="34"/>
      <c r="DI1070" s="34"/>
      <c r="DJ1070" s="34"/>
      <c r="DK1070" s="34"/>
      <c r="DL1070" s="34"/>
      <c r="DM1070" s="34"/>
      <c r="DN1070" s="34"/>
      <c r="DO1070" s="34"/>
      <c r="DP1070" s="34"/>
      <c r="DQ1070" s="34"/>
      <c r="DR1070" s="34"/>
      <c r="DS1070" s="34"/>
      <c r="DT1070" s="34"/>
      <c r="DU1070" s="34"/>
      <c r="DV1070" s="34"/>
      <c r="DW1070" s="34"/>
      <c r="DX1070" s="34"/>
      <c r="DY1070" s="34"/>
      <c r="DZ1070" s="34"/>
      <c r="EA1070" s="34"/>
    </row>
    <row r="1071" spans="1:131" ht="11.25">
      <c r="A1071" s="1"/>
      <c r="B1071" s="1"/>
      <c r="C1071" s="1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53"/>
      <c r="O1071" s="53"/>
      <c r="P1071" s="53"/>
      <c r="Q1071" s="34"/>
      <c r="R1071" s="34"/>
      <c r="S1071" s="34"/>
      <c r="T1071" s="34"/>
      <c r="U1071" s="34"/>
      <c r="V1071" s="34"/>
      <c r="W1071" s="34"/>
      <c r="X1071" s="34"/>
      <c r="Y1071" s="34"/>
      <c r="Z1071" s="34"/>
      <c r="AA1071" s="34"/>
      <c r="AB1071" s="34"/>
      <c r="AC1071" s="34"/>
      <c r="AD1071" s="34"/>
      <c r="AE1071" s="34"/>
      <c r="AF1071" s="34"/>
      <c r="AG1071" s="34"/>
      <c r="AH1071" s="34"/>
      <c r="AI1071" s="34"/>
      <c r="AJ1071" s="34"/>
      <c r="AK1071" s="34"/>
      <c r="AL1071" s="34"/>
      <c r="AM1071" s="34"/>
      <c r="AN1071" s="34"/>
      <c r="AO1071" s="34"/>
      <c r="AP1071" s="34"/>
      <c r="AQ1071" s="34"/>
      <c r="AR1071" s="34"/>
      <c r="AS1071" s="34"/>
      <c r="AT1071" s="34"/>
      <c r="AU1071" s="34"/>
      <c r="AV1071" s="34"/>
      <c r="AW1071" s="34"/>
      <c r="AX1071" s="34"/>
      <c r="AY1071" s="34"/>
      <c r="AZ1071" s="34"/>
      <c r="BA1071" s="34"/>
      <c r="BB1071" s="34"/>
      <c r="BC1071" s="34"/>
      <c r="BD1071" s="34"/>
      <c r="BE1071" s="34"/>
      <c r="BF1071" s="34"/>
      <c r="BG1071" s="34"/>
      <c r="BH1071" s="34"/>
      <c r="BI1071" s="34"/>
      <c r="BJ1071" s="34"/>
      <c r="BK1071" s="34"/>
      <c r="BL1071" s="34"/>
      <c r="BM1071" s="34"/>
      <c r="BN1071" s="34"/>
      <c r="BO1071" s="34"/>
      <c r="BP1071" s="34"/>
      <c r="BQ1071" s="34"/>
      <c r="BR1071" s="34"/>
      <c r="BS1071" s="34"/>
      <c r="BT1071" s="34"/>
      <c r="BU1071" s="34"/>
      <c r="BV1071" s="34"/>
      <c r="BW1071" s="34"/>
      <c r="BX1071" s="34"/>
      <c r="BY1071" s="34"/>
      <c r="BZ1071" s="34"/>
      <c r="CA1071" s="34"/>
      <c r="CB1071" s="34"/>
      <c r="CC1071" s="34"/>
      <c r="CD1071" s="34"/>
      <c r="CE1071" s="34"/>
      <c r="CF1071" s="34"/>
      <c r="CG1071" s="34"/>
      <c r="CH1071" s="34"/>
      <c r="CI1071" s="34"/>
      <c r="CJ1071" s="34"/>
      <c r="CK1071" s="34"/>
      <c r="CL1071" s="34"/>
      <c r="CM1071" s="34"/>
      <c r="CN1071" s="34"/>
      <c r="CO1071" s="34"/>
      <c r="CP1071" s="34"/>
      <c r="CQ1071" s="34"/>
      <c r="CR1071" s="34"/>
      <c r="CS1071" s="34"/>
      <c r="CT1071" s="34"/>
      <c r="CU1071" s="34"/>
      <c r="CV1071" s="34"/>
      <c r="CW1071" s="34"/>
      <c r="CX1071" s="34"/>
      <c r="CY1071" s="34"/>
      <c r="CZ1071" s="34"/>
      <c r="DA1071" s="34"/>
      <c r="DB1071" s="34"/>
      <c r="DC1071" s="34"/>
      <c r="DD1071" s="34"/>
      <c r="DE1071" s="34"/>
      <c r="DF1071" s="34"/>
      <c r="DG1071" s="34"/>
      <c r="DH1071" s="34"/>
      <c r="DI1071" s="34"/>
      <c r="DJ1071" s="34"/>
      <c r="DK1071" s="34"/>
      <c r="DL1071" s="34"/>
      <c r="DM1071" s="34"/>
      <c r="DN1071" s="34"/>
      <c r="DO1071" s="34"/>
      <c r="DP1071" s="34"/>
      <c r="DQ1071" s="34"/>
      <c r="DR1071" s="34"/>
      <c r="DS1071" s="34"/>
      <c r="DT1071" s="34"/>
      <c r="DU1071" s="34"/>
      <c r="DV1071" s="34"/>
      <c r="DW1071" s="34"/>
      <c r="DX1071" s="34"/>
      <c r="DY1071" s="34"/>
      <c r="DZ1071" s="34"/>
      <c r="EA1071" s="34"/>
    </row>
    <row r="1072" spans="1:131" ht="11.25">
      <c r="A1072" s="1"/>
      <c r="B1072" s="1"/>
      <c r="C1072" s="1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53"/>
      <c r="O1072" s="53"/>
      <c r="P1072" s="53"/>
      <c r="Q1072" s="34"/>
      <c r="R1072" s="34"/>
      <c r="S1072" s="34"/>
      <c r="T1072" s="34"/>
      <c r="U1072" s="34"/>
      <c r="V1072" s="34"/>
      <c r="W1072" s="34"/>
      <c r="X1072" s="34"/>
      <c r="Y1072" s="34"/>
      <c r="Z1072" s="34"/>
      <c r="AA1072" s="34"/>
      <c r="AB1072" s="34"/>
      <c r="AC1072" s="34"/>
      <c r="AD1072" s="34"/>
      <c r="AE1072" s="34"/>
      <c r="AF1072" s="34"/>
      <c r="AG1072" s="34"/>
      <c r="AH1072" s="34"/>
      <c r="AI1072" s="34"/>
      <c r="AJ1072" s="34"/>
      <c r="AK1072" s="34"/>
      <c r="AL1072" s="34"/>
      <c r="AM1072" s="34"/>
      <c r="AN1072" s="34"/>
      <c r="AO1072" s="34"/>
      <c r="AP1072" s="34"/>
      <c r="AQ1072" s="34"/>
      <c r="AR1072" s="34"/>
      <c r="AS1072" s="34"/>
      <c r="AT1072" s="34"/>
      <c r="AU1072" s="34"/>
      <c r="AV1072" s="34"/>
      <c r="AW1072" s="34"/>
      <c r="AX1072" s="34"/>
      <c r="AY1072" s="34"/>
      <c r="AZ1072" s="34"/>
      <c r="BA1072" s="34"/>
      <c r="BB1072" s="34"/>
      <c r="BC1072" s="34"/>
      <c r="BD1072" s="34"/>
      <c r="BE1072" s="34"/>
      <c r="BF1072" s="34"/>
      <c r="BG1072" s="34"/>
      <c r="BH1072" s="34"/>
      <c r="BI1072" s="34"/>
      <c r="BJ1072" s="34"/>
      <c r="BK1072" s="34"/>
      <c r="BL1072" s="34"/>
      <c r="BM1072" s="34"/>
      <c r="BN1072" s="34"/>
      <c r="BO1072" s="34"/>
      <c r="BP1072" s="34"/>
      <c r="BQ1072" s="34"/>
      <c r="BR1072" s="34"/>
      <c r="BS1072" s="34"/>
      <c r="BT1072" s="34"/>
      <c r="BU1072" s="34"/>
      <c r="BV1072" s="34"/>
      <c r="BW1072" s="34"/>
      <c r="BX1072" s="34"/>
      <c r="BY1072" s="34"/>
      <c r="BZ1072" s="34"/>
      <c r="CA1072" s="34"/>
      <c r="CB1072" s="34"/>
      <c r="CC1072" s="34"/>
      <c r="CD1072" s="34"/>
      <c r="CE1072" s="34"/>
      <c r="CF1072" s="34"/>
      <c r="CG1072" s="34"/>
      <c r="CH1072" s="34"/>
      <c r="CI1072" s="34"/>
      <c r="CJ1072" s="34"/>
      <c r="CK1072" s="34"/>
      <c r="CL1072" s="34"/>
      <c r="CM1072" s="34"/>
      <c r="CN1072" s="34"/>
      <c r="CO1072" s="34"/>
      <c r="CP1072" s="34"/>
      <c r="CQ1072" s="34"/>
      <c r="CR1072" s="34"/>
      <c r="CS1072" s="34"/>
      <c r="CT1072" s="34"/>
      <c r="CU1072" s="34"/>
      <c r="CV1072" s="34"/>
      <c r="CW1072" s="34"/>
      <c r="CX1072" s="34"/>
      <c r="CY1072" s="34"/>
      <c r="CZ1072" s="34"/>
      <c r="DA1072" s="34"/>
      <c r="DB1072" s="34"/>
      <c r="DC1072" s="34"/>
      <c r="DD1072" s="34"/>
      <c r="DE1072" s="34"/>
      <c r="DF1072" s="34"/>
      <c r="DG1072" s="34"/>
      <c r="DH1072" s="34"/>
      <c r="DI1072" s="34"/>
      <c r="DJ1072" s="34"/>
      <c r="DK1072" s="34"/>
      <c r="DL1072" s="34"/>
      <c r="DM1072" s="34"/>
      <c r="DN1072" s="34"/>
      <c r="DO1072" s="34"/>
      <c r="DP1072" s="34"/>
      <c r="DQ1072" s="34"/>
      <c r="DR1072" s="34"/>
      <c r="DS1072" s="34"/>
      <c r="DT1072" s="34"/>
      <c r="DU1072" s="34"/>
      <c r="DV1072" s="34"/>
      <c r="DW1072" s="34"/>
      <c r="DX1072" s="34"/>
      <c r="DY1072" s="34"/>
      <c r="DZ1072" s="34"/>
      <c r="EA1072" s="34"/>
    </row>
    <row r="1073" spans="1:131" ht="11.25">
      <c r="A1073" s="1"/>
      <c r="B1073" s="1"/>
      <c r="C1073" s="1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53"/>
      <c r="O1073" s="53"/>
      <c r="P1073" s="53"/>
      <c r="Q1073" s="34"/>
      <c r="R1073" s="34"/>
      <c r="S1073" s="34"/>
      <c r="T1073" s="34"/>
      <c r="U1073" s="34"/>
      <c r="V1073" s="34"/>
      <c r="W1073" s="34"/>
      <c r="X1073" s="34"/>
      <c r="Y1073" s="34"/>
      <c r="Z1073" s="34"/>
      <c r="AA1073" s="34"/>
      <c r="AB1073" s="34"/>
      <c r="AC1073" s="34"/>
      <c r="AD1073" s="34"/>
      <c r="AE1073" s="34"/>
      <c r="AF1073" s="34"/>
      <c r="AG1073" s="34"/>
      <c r="AH1073" s="34"/>
      <c r="AI1073" s="34"/>
      <c r="AJ1073" s="34"/>
      <c r="AK1073" s="34"/>
      <c r="AL1073" s="34"/>
      <c r="AM1073" s="34"/>
      <c r="AN1073" s="34"/>
      <c r="AO1073" s="34"/>
      <c r="AP1073" s="34"/>
      <c r="AQ1073" s="34"/>
      <c r="AR1073" s="34"/>
      <c r="AS1073" s="34"/>
      <c r="AT1073" s="34"/>
      <c r="AU1073" s="34"/>
      <c r="AV1073" s="34"/>
      <c r="AW1073" s="34"/>
      <c r="AX1073" s="34"/>
      <c r="AY1073" s="34"/>
      <c r="AZ1073" s="34"/>
      <c r="BA1073" s="34"/>
      <c r="BB1073" s="34"/>
      <c r="BC1073" s="34"/>
      <c r="BD1073" s="34"/>
      <c r="BE1073" s="34"/>
      <c r="BF1073" s="34"/>
      <c r="BG1073" s="34"/>
      <c r="BH1073" s="34"/>
      <c r="BI1073" s="34"/>
      <c r="BJ1073" s="34"/>
      <c r="BK1073" s="34"/>
      <c r="BL1073" s="34"/>
      <c r="BM1073" s="34"/>
      <c r="BN1073" s="34"/>
      <c r="BO1073" s="34"/>
      <c r="BP1073" s="34"/>
      <c r="BQ1073" s="34"/>
      <c r="BR1073" s="34"/>
      <c r="BS1073" s="34"/>
      <c r="BT1073" s="34"/>
      <c r="BU1073" s="34"/>
      <c r="BV1073" s="34"/>
      <c r="BW1073" s="34"/>
      <c r="BX1073" s="34"/>
      <c r="BY1073" s="34"/>
      <c r="BZ1073" s="34"/>
      <c r="CA1073" s="34"/>
      <c r="CB1073" s="34"/>
      <c r="CC1073" s="34"/>
      <c r="CD1073" s="34"/>
      <c r="CE1073" s="34"/>
      <c r="CF1073" s="34"/>
      <c r="CG1073" s="34"/>
      <c r="CH1073" s="34"/>
      <c r="CI1073" s="34"/>
      <c r="CJ1073" s="34"/>
      <c r="CK1073" s="34"/>
      <c r="CL1073" s="34"/>
      <c r="CM1073" s="34"/>
      <c r="CN1073" s="34"/>
      <c r="CO1073" s="34"/>
      <c r="CP1073" s="34"/>
      <c r="CQ1073" s="34"/>
      <c r="CR1073" s="34"/>
      <c r="CS1073" s="34"/>
      <c r="CT1073" s="34"/>
      <c r="CU1073" s="34"/>
      <c r="CV1073" s="34"/>
      <c r="CW1073" s="34"/>
      <c r="CX1073" s="34"/>
      <c r="CY1073" s="34"/>
      <c r="CZ1073" s="34"/>
      <c r="DA1073" s="34"/>
      <c r="DB1073" s="34"/>
      <c r="DC1073" s="34"/>
      <c r="DD1073" s="34"/>
      <c r="DE1073" s="34"/>
      <c r="DF1073" s="34"/>
      <c r="DG1073" s="34"/>
      <c r="DH1073" s="34"/>
      <c r="DI1073" s="34"/>
      <c r="DJ1073" s="34"/>
      <c r="DK1073" s="34"/>
      <c r="DL1073" s="34"/>
      <c r="DM1073" s="34"/>
      <c r="DN1073" s="34"/>
      <c r="DO1073" s="34"/>
      <c r="DP1073" s="34"/>
      <c r="DQ1073" s="34"/>
      <c r="DR1073" s="34"/>
      <c r="DS1073" s="34"/>
      <c r="DT1073" s="34"/>
      <c r="DU1073" s="34"/>
      <c r="DV1073" s="34"/>
      <c r="DW1073" s="34"/>
      <c r="DX1073" s="34"/>
      <c r="DY1073" s="34"/>
      <c r="DZ1073" s="34"/>
      <c r="EA1073" s="34"/>
    </row>
    <row r="1074" spans="1:131" ht="11.25">
      <c r="A1074" s="1"/>
      <c r="B1074" s="1"/>
      <c r="C1074" s="1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53"/>
      <c r="O1074" s="53"/>
      <c r="P1074" s="53"/>
      <c r="Q1074" s="34"/>
      <c r="R1074" s="34"/>
      <c r="S1074" s="34"/>
      <c r="T1074" s="34"/>
      <c r="U1074" s="34"/>
      <c r="V1074" s="34"/>
      <c r="W1074" s="34"/>
      <c r="X1074" s="34"/>
      <c r="Y1074" s="34"/>
      <c r="Z1074" s="34"/>
      <c r="AA1074" s="34"/>
      <c r="AB1074" s="34"/>
      <c r="AC1074" s="34"/>
      <c r="AD1074" s="34"/>
      <c r="AE1074" s="34"/>
      <c r="AF1074" s="34"/>
      <c r="AG1074" s="34"/>
      <c r="AH1074" s="34"/>
      <c r="AI1074" s="34"/>
      <c r="AJ1074" s="34"/>
      <c r="AK1074" s="34"/>
      <c r="AL1074" s="34"/>
      <c r="AM1074" s="34"/>
      <c r="AN1074" s="34"/>
      <c r="AO1074" s="34"/>
      <c r="AP1074" s="34"/>
      <c r="AQ1074" s="34"/>
      <c r="AR1074" s="34"/>
      <c r="AS1074" s="34"/>
      <c r="AT1074" s="34"/>
      <c r="AU1074" s="34"/>
      <c r="AV1074" s="34"/>
      <c r="AW1074" s="34"/>
      <c r="AX1074" s="34"/>
      <c r="AY1074" s="34"/>
      <c r="AZ1074" s="34"/>
      <c r="BA1074" s="34"/>
      <c r="BB1074" s="34"/>
      <c r="BC1074" s="34"/>
      <c r="BD1074" s="34"/>
      <c r="BE1074" s="34"/>
      <c r="BF1074" s="34"/>
      <c r="BG1074" s="34"/>
      <c r="BH1074" s="34"/>
      <c r="BI1074" s="34"/>
      <c r="BJ1074" s="34"/>
      <c r="BK1074" s="34"/>
      <c r="BL1074" s="34"/>
      <c r="BM1074" s="34"/>
      <c r="BN1074" s="34"/>
      <c r="BO1074" s="34"/>
      <c r="BP1074" s="34"/>
      <c r="BQ1074" s="34"/>
      <c r="BR1074" s="34"/>
      <c r="BS1074" s="34"/>
      <c r="BT1074" s="34"/>
      <c r="BU1074" s="34"/>
      <c r="BV1074" s="34"/>
      <c r="BW1074" s="34"/>
      <c r="BX1074" s="34"/>
      <c r="BY1074" s="34"/>
      <c r="BZ1074" s="34"/>
      <c r="CA1074" s="34"/>
      <c r="CB1074" s="34"/>
      <c r="CC1074" s="34"/>
      <c r="CD1074" s="34"/>
      <c r="CE1074" s="34"/>
      <c r="CF1074" s="34"/>
      <c r="CG1074" s="34"/>
      <c r="CH1074" s="34"/>
      <c r="CI1074" s="34"/>
      <c r="CJ1074" s="34"/>
      <c r="CK1074" s="34"/>
      <c r="CL1074" s="34"/>
      <c r="CM1074" s="34"/>
      <c r="CN1074" s="34"/>
      <c r="CO1074" s="34"/>
      <c r="CP1074" s="34"/>
      <c r="CQ1074" s="34"/>
      <c r="CR1074" s="34"/>
      <c r="CS1074" s="34"/>
      <c r="CT1074" s="34"/>
      <c r="CU1074" s="34"/>
      <c r="CV1074" s="34"/>
      <c r="CW1074" s="34"/>
      <c r="CX1074" s="34"/>
      <c r="CY1074" s="34"/>
      <c r="CZ1074" s="34"/>
      <c r="DA1074" s="34"/>
      <c r="DB1074" s="34"/>
      <c r="DC1074" s="34"/>
      <c r="DD1074" s="34"/>
      <c r="DE1074" s="34"/>
      <c r="DF1074" s="34"/>
      <c r="DG1074" s="34"/>
      <c r="DH1074" s="34"/>
      <c r="DI1074" s="34"/>
      <c r="DJ1074" s="34"/>
      <c r="DK1074" s="34"/>
      <c r="DL1074" s="34"/>
      <c r="DM1074" s="34"/>
      <c r="DN1074" s="34"/>
      <c r="DO1074" s="34"/>
      <c r="DP1074" s="34"/>
      <c r="DQ1074" s="34"/>
      <c r="DR1074" s="34"/>
      <c r="DS1074" s="34"/>
      <c r="DT1074" s="34"/>
      <c r="DU1074" s="34"/>
      <c r="DV1074" s="34"/>
      <c r="DW1074" s="34"/>
      <c r="DX1074" s="34"/>
      <c r="DY1074" s="34"/>
      <c r="DZ1074" s="34"/>
      <c r="EA1074" s="34"/>
    </row>
    <row r="1075" spans="1:131" ht="11.25">
      <c r="A1075" s="1"/>
      <c r="B1075" s="1"/>
      <c r="C1075" s="1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53"/>
      <c r="O1075" s="53"/>
      <c r="P1075" s="53"/>
      <c r="Q1075" s="34"/>
      <c r="R1075" s="34"/>
      <c r="S1075" s="34"/>
      <c r="T1075" s="34"/>
      <c r="U1075" s="34"/>
      <c r="V1075" s="34"/>
      <c r="W1075" s="34"/>
      <c r="X1075" s="34"/>
      <c r="Y1075" s="34"/>
      <c r="Z1075" s="34"/>
      <c r="AA1075" s="34"/>
      <c r="AB1075" s="34"/>
      <c r="AC1075" s="34"/>
      <c r="AD1075" s="34"/>
      <c r="AE1075" s="34"/>
      <c r="AF1075" s="34"/>
      <c r="AG1075" s="34"/>
      <c r="AH1075" s="34"/>
      <c r="AI1075" s="34"/>
      <c r="AJ1075" s="34"/>
      <c r="AK1075" s="34"/>
      <c r="AL1075" s="34"/>
      <c r="AM1075" s="34"/>
      <c r="AN1075" s="34"/>
      <c r="AO1075" s="34"/>
      <c r="AP1075" s="34"/>
      <c r="AQ1075" s="34"/>
      <c r="AR1075" s="34"/>
      <c r="AS1075" s="34"/>
      <c r="AT1075" s="34"/>
      <c r="AU1075" s="34"/>
      <c r="AV1075" s="34"/>
      <c r="AW1075" s="34"/>
      <c r="AX1075" s="34"/>
      <c r="AY1075" s="34"/>
      <c r="AZ1075" s="34"/>
      <c r="BA1075" s="34"/>
      <c r="BB1075" s="34"/>
      <c r="BC1075" s="34"/>
      <c r="BD1075" s="34"/>
      <c r="BE1075" s="34"/>
      <c r="BF1075" s="34"/>
      <c r="BG1075" s="34"/>
      <c r="BH1075" s="34"/>
      <c r="BI1075" s="34"/>
      <c r="BJ1075" s="34"/>
      <c r="BK1075" s="34"/>
      <c r="BL1075" s="34"/>
      <c r="BM1075" s="34"/>
      <c r="BN1075" s="34"/>
      <c r="BO1075" s="34"/>
      <c r="BP1075" s="34"/>
      <c r="BQ1075" s="34"/>
      <c r="BR1075" s="34"/>
      <c r="BS1075" s="34"/>
      <c r="BT1075" s="34"/>
      <c r="BU1075" s="34"/>
      <c r="BV1075" s="34"/>
      <c r="BW1075" s="34"/>
      <c r="BX1075" s="34"/>
      <c r="BY1075" s="34"/>
      <c r="BZ1075" s="34"/>
      <c r="CA1075" s="34"/>
      <c r="CB1075" s="34"/>
      <c r="CC1075" s="34"/>
      <c r="CD1075" s="34"/>
      <c r="CE1075" s="34"/>
      <c r="CF1075" s="34"/>
      <c r="CG1075" s="34"/>
      <c r="CH1075" s="34"/>
      <c r="CI1075" s="34"/>
      <c r="CJ1075" s="34"/>
      <c r="CK1075" s="34"/>
      <c r="CL1075" s="34"/>
      <c r="CM1075" s="34"/>
      <c r="CN1075" s="34"/>
      <c r="CO1075" s="34"/>
      <c r="CP1075" s="34"/>
      <c r="CQ1075" s="34"/>
      <c r="CR1075" s="34"/>
      <c r="CS1075" s="34"/>
      <c r="CT1075" s="34"/>
      <c r="CU1075" s="34"/>
      <c r="CV1075" s="34"/>
      <c r="CW1075" s="34"/>
      <c r="CX1075" s="34"/>
      <c r="CY1075" s="34"/>
      <c r="CZ1075" s="34"/>
      <c r="DA1075" s="34"/>
      <c r="DB1075" s="34"/>
      <c r="DC1075" s="34"/>
      <c r="DD1075" s="34"/>
      <c r="DE1075" s="34"/>
      <c r="DF1075" s="34"/>
      <c r="DG1075" s="34"/>
      <c r="DH1075" s="34"/>
      <c r="DI1075" s="34"/>
      <c r="DJ1075" s="34"/>
      <c r="DK1075" s="34"/>
      <c r="DL1075" s="34"/>
      <c r="DM1075" s="34"/>
      <c r="DN1075" s="34"/>
      <c r="DO1075" s="34"/>
      <c r="DP1075" s="34"/>
      <c r="DQ1075" s="34"/>
      <c r="DR1075" s="34"/>
      <c r="DS1075" s="34"/>
      <c r="DT1075" s="34"/>
      <c r="DU1075" s="34"/>
      <c r="DV1075" s="34"/>
      <c r="DW1075" s="34"/>
      <c r="DX1075" s="34"/>
      <c r="DY1075" s="34"/>
      <c r="DZ1075" s="34"/>
      <c r="EA1075" s="34"/>
    </row>
    <row r="1076" spans="1:131" ht="11.25">
      <c r="A1076" s="1"/>
      <c r="B1076" s="1"/>
      <c r="C1076" s="1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53"/>
      <c r="O1076" s="53"/>
      <c r="P1076" s="53"/>
      <c r="Q1076" s="34"/>
      <c r="R1076" s="34"/>
      <c r="S1076" s="34"/>
      <c r="T1076" s="34"/>
      <c r="U1076" s="34"/>
      <c r="V1076" s="34"/>
      <c r="W1076" s="34"/>
      <c r="X1076" s="34"/>
      <c r="Y1076" s="34"/>
      <c r="Z1076" s="34"/>
      <c r="AA1076" s="34"/>
      <c r="AB1076" s="34"/>
      <c r="AC1076" s="34"/>
      <c r="AD1076" s="34"/>
      <c r="AE1076" s="34"/>
      <c r="AF1076" s="34"/>
      <c r="AG1076" s="34"/>
      <c r="AH1076" s="34"/>
      <c r="AI1076" s="34"/>
      <c r="AJ1076" s="34"/>
      <c r="AK1076" s="34"/>
      <c r="AL1076" s="34"/>
      <c r="AM1076" s="34"/>
      <c r="AN1076" s="34"/>
      <c r="AO1076" s="34"/>
      <c r="AP1076" s="34"/>
      <c r="AQ1076" s="34"/>
      <c r="AR1076" s="34"/>
      <c r="AS1076" s="34"/>
      <c r="AT1076" s="34"/>
      <c r="AU1076" s="34"/>
      <c r="AV1076" s="34"/>
      <c r="AW1076" s="34"/>
      <c r="AX1076" s="34"/>
      <c r="AY1076" s="34"/>
      <c r="AZ1076" s="34"/>
      <c r="BA1076" s="34"/>
      <c r="BB1076" s="34"/>
      <c r="BC1076" s="34"/>
      <c r="BD1076" s="34"/>
      <c r="BE1076" s="34"/>
      <c r="BF1076" s="34"/>
      <c r="BG1076" s="34"/>
      <c r="BH1076" s="34"/>
      <c r="BI1076" s="34"/>
      <c r="BJ1076" s="34"/>
      <c r="BK1076" s="34"/>
      <c r="BL1076" s="34"/>
      <c r="BM1076" s="34"/>
      <c r="BN1076" s="34"/>
      <c r="BO1076" s="34"/>
      <c r="BP1076" s="34"/>
      <c r="BQ1076" s="34"/>
      <c r="BR1076" s="34"/>
      <c r="BS1076" s="34"/>
      <c r="BT1076" s="34"/>
      <c r="BU1076" s="34"/>
      <c r="BV1076" s="34"/>
      <c r="BW1076" s="34"/>
      <c r="BX1076" s="34"/>
      <c r="BY1076" s="34"/>
      <c r="BZ1076" s="34"/>
      <c r="CA1076" s="34"/>
      <c r="CB1076" s="34"/>
      <c r="CC1076" s="34"/>
      <c r="CD1076" s="34"/>
      <c r="CE1076" s="34"/>
      <c r="CF1076" s="34"/>
      <c r="CG1076" s="34"/>
      <c r="CH1076" s="34"/>
      <c r="CI1076" s="34"/>
      <c r="CJ1076" s="34"/>
      <c r="CK1076" s="34"/>
      <c r="CL1076" s="34"/>
      <c r="CM1076" s="34"/>
      <c r="CN1076" s="34"/>
      <c r="CO1076" s="34"/>
      <c r="CP1076" s="34"/>
      <c r="CQ1076" s="34"/>
      <c r="CR1076" s="34"/>
      <c r="CS1076" s="34"/>
      <c r="CT1076" s="34"/>
      <c r="CU1076" s="34"/>
      <c r="CV1076" s="34"/>
      <c r="CW1076" s="34"/>
      <c r="CX1076" s="34"/>
      <c r="CY1076" s="34"/>
      <c r="CZ1076" s="34"/>
      <c r="DA1076" s="34"/>
      <c r="DB1076" s="34"/>
      <c r="DC1076" s="34"/>
      <c r="DD1076" s="34"/>
      <c r="DE1076" s="34"/>
      <c r="DF1076" s="34"/>
      <c r="DG1076" s="34"/>
      <c r="DH1076" s="34"/>
      <c r="DI1076" s="34"/>
      <c r="DJ1076" s="34"/>
      <c r="DK1076" s="34"/>
      <c r="DL1076" s="34"/>
      <c r="DM1076" s="34"/>
      <c r="DN1076" s="34"/>
      <c r="DO1076" s="34"/>
      <c r="DP1076" s="34"/>
      <c r="DQ1076" s="34"/>
      <c r="DR1076" s="34"/>
      <c r="DS1076" s="34"/>
      <c r="DT1076" s="34"/>
      <c r="DU1076" s="34"/>
      <c r="DV1076" s="34"/>
      <c r="DW1076" s="34"/>
      <c r="DX1076" s="34"/>
      <c r="DY1076" s="34"/>
      <c r="DZ1076" s="34"/>
      <c r="EA1076" s="34"/>
    </row>
    <row r="1077" spans="1:131" ht="11.25">
      <c r="A1077" s="1"/>
      <c r="B1077" s="1"/>
      <c r="C1077" s="1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53"/>
      <c r="O1077" s="53"/>
      <c r="P1077" s="53"/>
      <c r="Q1077" s="34"/>
      <c r="R1077" s="34"/>
      <c r="S1077" s="34"/>
      <c r="T1077" s="34"/>
      <c r="U1077" s="34"/>
      <c r="V1077" s="34"/>
      <c r="W1077" s="34"/>
      <c r="X1077" s="34"/>
      <c r="Y1077" s="34"/>
      <c r="Z1077" s="34"/>
      <c r="AA1077" s="34"/>
      <c r="AB1077" s="34"/>
      <c r="AC1077" s="34"/>
      <c r="AD1077" s="34"/>
      <c r="AE1077" s="34"/>
      <c r="AF1077" s="34"/>
      <c r="AG1077" s="34"/>
      <c r="AH1077" s="34"/>
      <c r="AI1077" s="34"/>
      <c r="AJ1077" s="34"/>
      <c r="AK1077" s="34"/>
      <c r="AL1077" s="34"/>
      <c r="AM1077" s="34"/>
      <c r="AN1077" s="34"/>
      <c r="AO1077" s="34"/>
      <c r="AP1077" s="34"/>
      <c r="AQ1077" s="34"/>
      <c r="AR1077" s="34"/>
      <c r="AS1077" s="34"/>
      <c r="AT1077" s="34"/>
      <c r="AU1077" s="34"/>
      <c r="AV1077" s="34"/>
      <c r="AW1077" s="34"/>
      <c r="AX1077" s="34"/>
      <c r="AY1077" s="34"/>
      <c r="AZ1077" s="34"/>
      <c r="BA1077" s="34"/>
      <c r="BB1077" s="34"/>
      <c r="BC1077" s="34"/>
      <c r="BD1077" s="34"/>
      <c r="BE1077" s="34"/>
      <c r="BF1077" s="34"/>
      <c r="BG1077" s="34"/>
      <c r="BH1077" s="34"/>
      <c r="BI1077" s="34"/>
      <c r="BJ1077" s="34"/>
      <c r="BK1077" s="34"/>
      <c r="BL1077" s="34"/>
      <c r="BM1077" s="34"/>
      <c r="BN1077" s="34"/>
      <c r="BO1077" s="34"/>
      <c r="BP1077" s="34"/>
      <c r="BQ1077" s="34"/>
      <c r="BR1077" s="34"/>
      <c r="BS1077" s="34"/>
      <c r="BT1077" s="34"/>
      <c r="BU1077" s="34"/>
      <c r="BV1077" s="34"/>
      <c r="BW1077" s="34"/>
      <c r="BX1077" s="34"/>
      <c r="BY1077" s="34"/>
      <c r="BZ1077" s="34"/>
      <c r="CA1077" s="34"/>
      <c r="CB1077" s="34"/>
      <c r="CC1077" s="34"/>
      <c r="CD1077" s="34"/>
      <c r="CE1077" s="34"/>
      <c r="CF1077" s="34"/>
      <c r="CG1077" s="34"/>
      <c r="CH1077" s="34"/>
      <c r="CI1077" s="34"/>
      <c r="CJ1077" s="34"/>
      <c r="CK1077" s="34"/>
      <c r="CL1077" s="34"/>
      <c r="CM1077" s="34"/>
      <c r="CN1077" s="34"/>
      <c r="CO1077" s="34"/>
      <c r="CP1077" s="34"/>
      <c r="CQ1077" s="34"/>
      <c r="CR1077" s="34"/>
      <c r="CS1077" s="34"/>
      <c r="CT1077" s="34"/>
      <c r="CU1077" s="34"/>
      <c r="CV1077" s="34"/>
      <c r="CW1077" s="34"/>
      <c r="CX1077" s="34"/>
      <c r="CY1077" s="34"/>
      <c r="CZ1077" s="34"/>
      <c r="DA1077" s="34"/>
      <c r="DB1077" s="34"/>
      <c r="DC1077" s="34"/>
      <c r="DD1077" s="34"/>
      <c r="DE1077" s="34"/>
      <c r="DF1077" s="34"/>
      <c r="DG1077" s="34"/>
      <c r="DH1077" s="34"/>
      <c r="DI1077" s="34"/>
      <c r="DJ1077" s="34"/>
      <c r="DK1077" s="34"/>
      <c r="DL1077" s="34"/>
      <c r="DM1077" s="34"/>
      <c r="DN1077" s="34"/>
      <c r="DO1077" s="34"/>
      <c r="DP1077" s="34"/>
      <c r="DQ1077" s="34"/>
      <c r="DR1077" s="34"/>
      <c r="DS1077" s="34"/>
      <c r="DT1077" s="34"/>
      <c r="DU1077" s="34"/>
      <c r="DV1077" s="34"/>
      <c r="DW1077" s="34"/>
      <c r="DX1077" s="34"/>
      <c r="DY1077" s="34"/>
      <c r="DZ1077" s="34"/>
      <c r="EA1077" s="34"/>
    </row>
    <row r="1078" spans="1:131" ht="11.25">
      <c r="A1078" s="1"/>
      <c r="B1078" s="1"/>
      <c r="C1078" s="1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53"/>
      <c r="O1078" s="53"/>
      <c r="P1078" s="53"/>
      <c r="Q1078" s="34"/>
      <c r="R1078" s="34"/>
      <c r="S1078" s="34"/>
      <c r="T1078" s="34"/>
      <c r="U1078" s="34"/>
      <c r="V1078" s="34"/>
      <c r="W1078" s="34"/>
      <c r="X1078" s="34"/>
      <c r="Y1078" s="34"/>
      <c r="Z1078" s="34"/>
      <c r="AA1078" s="34"/>
      <c r="AB1078" s="34"/>
      <c r="AC1078" s="34"/>
      <c r="AD1078" s="34"/>
      <c r="AE1078" s="34"/>
      <c r="AF1078" s="34"/>
      <c r="AG1078" s="34"/>
      <c r="AH1078" s="34"/>
      <c r="AI1078" s="34"/>
      <c r="AJ1078" s="34"/>
      <c r="AK1078" s="34"/>
      <c r="AL1078" s="34"/>
      <c r="AM1078" s="34"/>
      <c r="AN1078" s="34"/>
      <c r="AO1078" s="34"/>
      <c r="AP1078" s="34"/>
      <c r="AQ1078" s="34"/>
      <c r="AR1078" s="34"/>
      <c r="AS1078" s="34"/>
      <c r="AT1078" s="34"/>
      <c r="AU1078" s="34"/>
      <c r="AV1078" s="34"/>
      <c r="AW1078" s="34"/>
      <c r="AX1078" s="34"/>
      <c r="AY1078" s="34"/>
      <c r="AZ1078" s="34"/>
      <c r="BA1078" s="34"/>
      <c r="BB1078" s="34"/>
      <c r="BC1078" s="34"/>
      <c r="BD1078" s="34"/>
      <c r="BE1078" s="34"/>
      <c r="BF1078" s="34"/>
      <c r="BG1078" s="34"/>
      <c r="BH1078" s="34"/>
      <c r="BI1078" s="34"/>
      <c r="BJ1078" s="34"/>
      <c r="BK1078" s="34"/>
      <c r="BL1078" s="34"/>
      <c r="BM1078" s="34"/>
      <c r="BN1078" s="34"/>
      <c r="BO1078" s="34"/>
      <c r="BP1078" s="34"/>
      <c r="BQ1078" s="34"/>
      <c r="BR1078" s="34"/>
      <c r="BS1078" s="34"/>
      <c r="BT1078" s="34"/>
      <c r="BU1078" s="34"/>
      <c r="BV1078" s="34"/>
      <c r="BW1078" s="34"/>
      <c r="BX1078" s="34"/>
      <c r="BY1078" s="34"/>
      <c r="BZ1078" s="34"/>
      <c r="CA1078" s="34"/>
      <c r="CB1078" s="34"/>
      <c r="CC1078" s="34"/>
      <c r="CD1078" s="34"/>
      <c r="CE1078" s="34"/>
      <c r="CF1078" s="34"/>
      <c r="CG1078" s="34"/>
      <c r="CH1078" s="34"/>
      <c r="CI1078" s="34"/>
      <c r="CJ1078" s="34"/>
      <c r="CK1078" s="34"/>
      <c r="CL1078" s="34"/>
      <c r="CM1078" s="34"/>
      <c r="CN1078" s="34"/>
      <c r="CO1078" s="34"/>
      <c r="CP1078" s="34"/>
      <c r="CQ1078" s="34"/>
      <c r="CR1078" s="34"/>
      <c r="CS1078" s="34"/>
      <c r="CT1078" s="34"/>
      <c r="CU1078" s="34"/>
      <c r="CV1078" s="34"/>
      <c r="CW1078" s="34"/>
      <c r="CX1078" s="34"/>
      <c r="CY1078" s="34"/>
      <c r="CZ1078" s="34"/>
      <c r="DA1078" s="34"/>
      <c r="DB1078" s="34"/>
      <c r="DC1078" s="34"/>
      <c r="DD1078" s="34"/>
      <c r="DE1078" s="34"/>
      <c r="DF1078" s="34"/>
      <c r="DG1078" s="34"/>
      <c r="DH1078" s="34"/>
      <c r="DI1078" s="34"/>
      <c r="DJ1078" s="34"/>
      <c r="DK1078" s="34"/>
      <c r="DL1078" s="34"/>
      <c r="DM1078" s="34"/>
      <c r="DN1078" s="34"/>
      <c r="DO1078" s="34"/>
      <c r="DP1078" s="34"/>
      <c r="DQ1078" s="34"/>
      <c r="DR1078" s="34"/>
      <c r="DS1078" s="34"/>
      <c r="DT1078" s="34"/>
      <c r="DU1078" s="34"/>
      <c r="DV1078" s="34"/>
      <c r="DW1078" s="34"/>
      <c r="DX1078" s="34"/>
      <c r="DY1078" s="34"/>
      <c r="DZ1078" s="34"/>
      <c r="EA1078" s="34"/>
    </row>
    <row r="1079" spans="1:131" ht="11.25">
      <c r="A1079" s="1"/>
      <c r="B1079" s="1"/>
      <c r="C1079" s="1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53"/>
      <c r="O1079" s="53"/>
      <c r="P1079" s="53"/>
      <c r="Q1079" s="34"/>
      <c r="R1079" s="34"/>
      <c r="S1079" s="34"/>
      <c r="T1079" s="34"/>
      <c r="U1079" s="34"/>
      <c r="V1079" s="34"/>
      <c r="W1079" s="34"/>
      <c r="X1079" s="34"/>
      <c r="Y1079" s="34"/>
      <c r="Z1079" s="34"/>
      <c r="AA1079" s="34"/>
      <c r="AB1079" s="34"/>
      <c r="AC1079" s="34"/>
      <c r="AD1079" s="34"/>
      <c r="AE1079" s="34"/>
      <c r="AF1079" s="34"/>
      <c r="AG1079" s="34"/>
      <c r="AH1079" s="34"/>
      <c r="AI1079" s="34"/>
      <c r="AJ1079" s="34"/>
      <c r="AK1079" s="34"/>
      <c r="AL1079" s="34"/>
      <c r="AM1079" s="34"/>
      <c r="AN1079" s="34"/>
      <c r="AO1079" s="34"/>
      <c r="AP1079" s="34"/>
      <c r="AQ1079" s="34"/>
      <c r="AR1079" s="34"/>
      <c r="AS1079" s="34"/>
      <c r="AT1079" s="34"/>
      <c r="AU1079" s="34"/>
      <c r="AV1079" s="34"/>
      <c r="AW1079" s="34"/>
      <c r="AX1079" s="34"/>
      <c r="AY1079" s="34"/>
      <c r="AZ1079" s="34"/>
      <c r="BA1079" s="34"/>
      <c r="BB1079" s="34"/>
      <c r="BC1079" s="34"/>
      <c r="BD1079" s="34"/>
      <c r="BE1079" s="34"/>
      <c r="BF1079" s="34"/>
      <c r="BG1079" s="34"/>
      <c r="BH1079" s="34"/>
      <c r="BI1079" s="34"/>
      <c r="BJ1079" s="34"/>
      <c r="BK1079" s="34"/>
      <c r="BL1079" s="34"/>
      <c r="BM1079" s="34"/>
      <c r="BN1079" s="34"/>
      <c r="BO1079" s="34"/>
      <c r="BP1079" s="34"/>
      <c r="BQ1079" s="34"/>
      <c r="BR1079" s="34"/>
      <c r="BS1079" s="34"/>
      <c r="BT1079" s="34"/>
      <c r="BU1079" s="34"/>
      <c r="BV1079" s="34"/>
      <c r="BW1079" s="34"/>
      <c r="BX1079" s="34"/>
      <c r="BY1079" s="34"/>
      <c r="BZ1079" s="34"/>
      <c r="CA1079" s="34"/>
      <c r="CB1079" s="34"/>
      <c r="CC1079" s="34"/>
      <c r="CD1079" s="34"/>
      <c r="CE1079" s="34"/>
      <c r="CF1079" s="34"/>
      <c r="CG1079" s="34"/>
      <c r="CH1079" s="34"/>
      <c r="CI1079" s="34"/>
      <c r="CJ1079" s="34"/>
      <c r="CK1079" s="34"/>
      <c r="CL1079" s="34"/>
      <c r="CM1079" s="34"/>
      <c r="CN1079" s="34"/>
      <c r="CO1079" s="34"/>
      <c r="CP1079" s="34"/>
      <c r="CQ1079" s="34"/>
      <c r="CR1079" s="34"/>
      <c r="CS1079" s="34"/>
      <c r="CT1079" s="34"/>
      <c r="CU1079" s="34"/>
      <c r="CV1079" s="34"/>
      <c r="CW1079" s="34"/>
      <c r="CX1079" s="34"/>
      <c r="CY1079" s="34"/>
      <c r="CZ1079" s="34"/>
      <c r="DA1079" s="34"/>
      <c r="DB1079" s="34"/>
      <c r="DC1079" s="34"/>
      <c r="DD1079" s="34"/>
      <c r="DE1079" s="34"/>
      <c r="DF1079" s="34"/>
      <c r="DG1079" s="34"/>
      <c r="DH1079" s="34"/>
      <c r="DI1079" s="34"/>
      <c r="DJ1079" s="34"/>
      <c r="DK1079" s="34"/>
      <c r="DL1079" s="34"/>
      <c r="DM1079" s="34"/>
      <c r="DN1079" s="34"/>
      <c r="DO1079" s="34"/>
      <c r="DP1079" s="34"/>
      <c r="DQ1079" s="34"/>
      <c r="DR1079" s="34"/>
      <c r="DS1079" s="34"/>
      <c r="DT1079" s="34"/>
      <c r="DU1079" s="34"/>
      <c r="DV1079" s="34"/>
      <c r="DW1079" s="34"/>
      <c r="DX1079" s="34"/>
      <c r="DY1079" s="34"/>
      <c r="DZ1079" s="34"/>
      <c r="EA1079" s="34"/>
    </row>
    <row r="1080" spans="1:131" ht="11.25">
      <c r="A1080" s="1"/>
      <c r="B1080" s="1"/>
      <c r="C1080" s="1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53"/>
      <c r="O1080" s="53"/>
      <c r="P1080" s="53"/>
      <c r="Q1080" s="34"/>
      <c r="R1080" s="34"/>
      <c r="S1080" s="34"/>
      <c r="T1080" s="34"/>
      <c r="U1080" s="34"/>
      <c r="V1080" s="34"/>
      <c r="W1080" s="34"/>
      <c r="X1080" s="34"/>
      <c r="Y1080" s="34"/>
      <c r="Z1080" s="34"/>
      <c r="AA1080" s="34"/>
      <c r="AB1080" s="34"/>
      <c r="AC1080" s="34"/>
      <c r="AD1080" s="34"/>
      <c r="AE1080" s="34"/>
      <c r="AF1080" s="34"/>
      <c r="AG1080" s="34"/>
      <c r="AH1080" s="34"/>
      <c r="AI1080" s="34"/>
      <c r="AJ1080" s="34"/>
      <c r="AK1080" s="34"/>
      <c r="AL1080" s="34"/>
      <c r="AM1080" s="34"/>
      <c r="AN1080" s="34"/>
      <c r="AO1080" s="34"/>
      <c r="AP1080" s="34"/>
      <c r="AQ1080" s="34"/>
      <c r="AR1080" s="34"/>
      <c r="AS1080" s="34"/>
      <c r="AT1080" s="34"/>
      <c r="AU1080" s="34"/>
      <c r="AV1080" s="34"/>
      <c r="AW1080" s="34"/>
      <c r="AX1080" s="34"/>
      <c r="AY1080" s="34"/>
      <c r="AZ1080" s="34"/>
      <c r="BA1080" s="34"/>
      <c r="BB1080" s="34"/>
      <c r="BC1080" s="34"/>
      <c r="BD1080" s="34"/>
      <c r="BE1080" s="34"/>
      <c r="BF1080" s="34"/>
      <c r="BG1080" s="34"/>
      <c r="BH1080" s="34"/>
      <c r="BI1080" s="34"/>
      <c r="BJ1080" s="34"/>
      <c r="BK1080" s="34"/>
      <c r="BL1080" s="34"/>
      <c r="BM1080" s="34"/>
      <c r="BN1080" s="34"/>
      <c r="BO1080" s="34"/>
      <c r="BP1080" s="34"/>
      <c r="BQ1080" s="34"/>
      <c r="BR1080" s="34"/>
      <c r="BS1080" s="34"/>
      <c r="BT1080" s="34"/>
      <c r="BU1080" s="34"/>
      <c r="BV1080" s="34"/>
      <c r="BW1080" s="34"/>
      <c r="BX1080" s="34"/>
      <c r="BY1080" s="34"/>
      <c r="BZ1080" s="34"/>
      <c r="CA1080" s="34"/>
      <c r="CB1080" s="34"/>
      <c r="CC1080" s="34"/>
      <c r="CD1080" s="34"/>
      <c r="CE1080" s="34"/>
      <c r="CF1080" s="34"/>
      <c r="CG1080" s="34"/>
      <c r="CH1080" s="34"/>
      <c r="CI1080" s="34"/>
      <c r="CJ1080" s="34"/>
      <c r="CK1080" s="34"/>
      <c r="CL1080" s="34"/>
      <c r="CM1080" s="34"/>
      <c r="CN1080" s="34"/>
      <c r="CO1080" s="34"/>
      <c r="CP1080" s="34"/>
      <c r="CQ1080" s="34"/>
      <c r="CR1080" s="34"/>
      <c r="CS1080" s="34"/>
      <c r="CT1080" s="34"/>
      <c r="CU1080" s="34"/>
      <c r="CV1080" s="34"/>
      <c r="CW1080" s="34"/>
      <c r="CX1080" s="34"/>
      <c r="CY1080" s="34"/>
      <c r="CZ1080" s="34"/>
      <c r="DA1080" s="34"/>
      <c r="DB1080" s="34"/>
      <c r="DC1080" s="34"/>
      <c r="DD1080" s="34"/>
      <c r="DE1080" s="34"/>
      <c r="DF1080" s="34"/>
      <c r="DG1080" s="34"/>
      <c r="DH1080" s="34"/>
      <c r="DI1080" s="34"/>
      <c r="DJ1080" s="34"/>
      <c r="DK1080" s="34"/>
      <c r="DL1080" s="34"/>
      <c r="DM1080" s="34"/>
      <c r="DN1080" s="34"/>
      <c r="DO1080" s="34"/>
      <c r="DP1080" s="34"/>
      <c r="DQ1080" s="34"/>
      <c r="DR1080" s="34"/>
      <c r="DS1080" s="34"/>
      <c r="DT1080" s="34"/>
      <c r="DU1080" s="34"/>
      <c r="DV1080" s="34"/>
      <c r="DW1080" s="34"/>
      <c r="DX1080" s="34"/>
      <c r="DY1080" s="34"/>
      <c r="DZ1080" s="34"/>
      <c r="EA1080" s="34"/>
    </row>
    <row r="1081" spans="1:131" ht="11.25">
      <c r="A1081" s="1"/>
      <c r="B1081" s="1"/>
      <c r="C1081" s="1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53"/>
      <c r="O1081" s="53"/>
      <c r="P1081" s="53"/>
      <c r="Q1081" s="34"/>
      <c r="R1081" s="34"/>
      <c r="S1081" s="34"/>
      <c r="T1081" s="34"/>
      <c r="U1081" s="34"/>
      <c r="V1081" s="34"/>
      <c r="W1081" s="34"/>
      <c r="X1081" s="34"/>
      <c r="Y1081" s="34"/>
      <c r="Z1081" s="34"/>
      <c r="AA1081" s="34"/>
      <c r="AB1081" s="34"/>
      <c r="AC1081" s="34"/>
      <c r="AD1081" s="34"/>
      <c r="AE1081" s="34"/>
      <c r="AF1081" s="34"/>
      <c r="AG1081" s="34"/>
      <c r="AH1081" s="34"/>
      <c r="AI1081" s="34"/>
      <c r="AJ1081" s="34"/>
      <c r="AK1081" s="34"/>
      <c r="AL1081" s="34"/>
      <c r="AM1081" s="34"/>
      <c r="AN1081" s="34"/>
      <c r="AO1081" s="34"/>
      <c r="AP1081" s="34"/>
      <c r="AQ1081" s="34"/>
      <c r="AR1081" s="34"/>
      <c r="AS1081" s="34"/>
      <c r="AT1081" s="34"/>
      <c r="AU1081" s="34"/>
      <c r="AV1081" s="34"/>
      <c r="AW1081" s="34"/>
      <c r="AX1081" s="34"/>
      <c r="AY1081" s="34"/>
      <c r="AZ1081" s="34"/>
      <c r="BA1081" s="34"/>
      <c r="BB1081" s="34"/>
      <c r="BC1081" s="34"/>
      <c r="BD1081" s="34"/>
      <c r="BE1081" s="34"/>
      <c r="BF1081" s="34"/>
      <c r="BG1081" s="34"/>
      <c r="BH1081" s="34"/>
      <c r="BI1081" s="34"/>
      <c r="BJ1081" s="34"/>
      <c r="BK1081" s="34"/>
      <c r="BL1081" s="34"/>
      <c r="BM1081" s="34"/>
      <c r="BN1081" s="34"/>
      <c r="BO1081" s="34"/>
      <c r="BP1081" s="34"/>
      <c r="BQ1081" s="34"/>
      <c r="BR1081" s="34"/>
      <c r="BS1081" s="34"/>
      <c r="BT1081" s="34"/>
      <c r="BU1081" s="34"/>
      <c r="BV1081" s="34"/>
      <c r="BW1081" s="34"/>
      <c r="BX1081" s="34"/>
      <c r="BY1081" s="34"/>
      <c r="BZ1081" s="34"/>
      <c r="CA1081" s="34"/>
      <c r="CB1081" s="34"/>
      <c r="CC1081" s="34"/>
      <c r="CD1081" s="34"/>
      <c r="CE1081" s="34"/>
      <c r="CF1081" s="34"/>
      <c r="CG1081" s="34"/>
      <c r="CH1081" s="34"/>
      <c r="CI1081" s="34"/>
      <c r="CJ1081" s="34"/>
      <c r="CK1081" s="34"/>
      <c r="CL1081" s="34"/>
      <c r="CM1081" s="34"/>
      <c r="CN1081" s="34"/>
      <c r="CO1081" s="34"/>
      <c r="CP1081" s="34"/>
      <c r="CQ1081" s="34"/>
      <c r="CR1081" s="34"/>
      <c r="CS1081" s="34"/>
      <c r="CT1081" s="34"/>
      <c r="CU1081" s="34"/>
      <c r="CV1081" s="34"/>
      <c r="CW1081" s="34"/>
      <c r="CX1081" s="34"/>
      <c r="CY1081" s="34"/>
      <c r="CZ1081" s="34"/>
      <c r="DA1081" s="34"/>
      <c r="DB1081" s="34"/>
      <c r="DC1081" s="34"/>
      <c r="DD1081" s="34"/>
      <c r="DE1081" s="34"/>
      <c r="DF1081" s="34"/>
      <c r="DG1081" s="34"/>
      <c r="DH1081" s="34"/>
      <c r="DI1081" s="34"/>
      <c r="DJ1081" s="34"/>
      <c r="DK1081" s="34"/>
      <c r="DL1081" s="34"/>
      <c r="DM1081" s="34"/>
      <c r="DN1081" s="34"/>
      <c r="DO1081" s="34"/>
      <c r="DP1081" s="34"/>
      <c r="DQ1081" s="34"/>
      <c r="DR1081" s="34"/>
      <c r="DS1081" s="34"/>
      <c r="DT1081" s="34"/>
      <c r="DU1081" s="34"/>
      <c r="DV1081" s="34"/>
      <c r="DW1081" s="34"/>
      <c r="DX1081" s="34"/>
      <c r="DY1081" s="34"/>
      <c r="DZ1081" s="34"/>
      <c r="EA1081" s="34"/>
    </row>
    <row r="1082" spans="1:131" ht="11.25">
      <c r="A1082" s="1"/>
      <c r="B1082" s="1"/>
      <c r="C1082" s="1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53"/>
      <c r="O1082" s="53"/>
      <c r="P1082" s="53"/>
      <c r="Q1082" s="34"/>
      <c r="R1082" s="34"/>
      <c r="S1082" s="34"/>
      <c r="T1082" s="34"/>
      <c r="U1082" s="34"/>
      <c r="V1082" s="34"/>
      <c r="W1082" s="34"/>
      <c r="X1082" s="34"/>
      <c r="Y1082" s="34"/>
      <c r="Z1082" s="34"/>
      <c r="AA1082" s="34"/>
      <c r="AB1082" s="34"/>
      <c r="AC1082" s="34"/>
      <c r="AD1082" s="34"/>
      <c r="AE1082" s="34"/>
      <c r="AF1082" s="34"/>
      <c r="AG1082" s="34"/>
      <c r="AH1082" s="34"/>
      <c r="AI1082" s="34"/>
      <c r="AJ1082" s="34"/>
      <c r="AK1082" s="34"/>
      <c r="AL1082" s="34"/>
      <c r="AM1082" s="34"/>
      <c r="AN1082" s="34"/>
      <c r="AO1082" s="34"/>
      <c r="AP1082" s="34"/>
      <c r="AQ1082" s="34"/>
      <c r="AR1082" s="34"/>
      <c r="AS1082" s="34"/>
      <c r="AT1082" s="34"/>
      <c r="AU1082" s="34"/>
      <c r="AV1082" s="34"/>
      <c r="AW1082" s="34"/>
      <c r="AX1082" s="34"/>
      <c r="AY1082" s="34"/>
      <c r="AZ1082" s="34"/>
      <c r="BA1082" s="34"/>
      <c r="BB1082" s="34"/>
      <c r="BC1082" s="34"/>
      <c r="BD1082" s="34"/>
      <c r="BE1082" s="34"/>
      <c r="BF1082" s="34"/>
      <c r="BG1082" s="34"/>
      <c r="BH1082" s="34"/>
      <c r="BI1082" s="34"/>
      <c r="BJ1082" s="34"/>
      <c r="BK1082" s="34"/>
      <c r="BL1082" s="34"/>
      <c r="BM1082" s="34"/>
      <c r="BN1082" s="34"/>
      <c r="BO1082" s="34"/>
      <c r="BP1082" s="34"/>
      <c r="BQ1082" s="34"/>
      <c r="BR1082" s="34"/>
      <c r="BS1082" s="34"/>
      <c r="BT1082" s="34"/>
      <c r="BU1082" s="34"/>
      <c r="BV1082" s="34"/>
      <c r="BW1082" s="34"/>
      <c r="BX1082" s="34"/>
      <c r="BY1082" s="34"/>
      <c r="BZ1082" s="34"/>
      <c r="CA1082" s="34"/>
      <c r="CB1082" s="34"/>
      <c r="CC1082" s="34"/>
      <c r="CD1082" s="34"/>
      <c r="CE1082" s="34"/>
      <c r="CF1082" s="34"/>
      <c r="CG1082" s="34"/>
      <c r="CH1082" s="34"/>
      <c r="CI1082" s="34"/>
      <c r="CJ1082" s="34"/>
      <c r="CK1082" s="34"/>
      <c r="CL1082" s="34"/>
      <c r="CM1082" s="34"/>
      <c r="CN1082" s="34"/>
      <c r="CO1082" s="34"/>
      <c r="CP1082" s="34"/>
      <c r="CQ1082" s="34"/>
      <c r="CR1082" s="34"/>
      <c r="CS1082" s="34"/>
      <c r="CT1082" s="34"/>
      <c r="CU1082" s="34"/>
      <c r="CV1082" s="34"/>
      <c r="CW1082" s="34"/>
      <c r="CX1082" s="34"/>
      <c r="CY1082" s="34"/>
      <c r="CZ1082" s="34"/>
      <c r="DA1082" s="34"/>
      <c r="DB1082" s="34"/>
      <c r="DC1082" s="34"/>
      <c r="DD1082" s="34"/>
      <c r="DE1082" s="34"/>
      <c r="DF1082" s="34"/>
      <c r="DG1082" s="34"/>
      <c r="DH1082" s="34"/>
      <c r="DI1082" s="34"/>
      <c r="DJ1082" s="34"/>
      <c r="DK1082" s="34"/>
      <c r="DL1082" s="34"/>
      <c r="DM1082" s="34"/>
      <c r="DN1082" s="34"/>
      <c r="DO1082" s="34"/>
      <c r="DP1082" s="34"/>
      <c r="DQ1082" s="34"/>
      <c r="DR1082" s="34"/>
      <c r="DS1082" s="34"/>
      <c r="DT1082" s="34"/>
      <c r="DU1082" s="34"/>
      <c r="DV1082" s="34"/>
      <c r="DW1082" s="34"/>
      <c r="DX1082" s="34"/>
      <c r="DY1082" s="34"/>
      <c r="DZ1082" s="34"/>
      <c r="EA1082" s="34"/>
    </row>
    <row r="1083" spans="1:131" ht="11.25">
      <c r="A1083" s="1"/>
      <c r="B1083" s="1"/>
      <c r="C1083" s="1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53"/>
      <c r="O1083" s="53"/>
      <c r="P1083" s="53"/>
      <c r="Q1083" s="34"/>
      <c r="R1083" s="34"/>
      <c r="S1083" s="34"/>
      <c r="T1083" s="34"/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34"/>
      <c r="AF1083" s="34"/>
      <c r="AG1083" s="34"/>
      <c r="AH1083" s="34"/>
      <c r="AI1083" s="34"/>
      <c r="AJ1083" s="34"/>
      <c r="AK1083" s="34"/>
      <c r="AL1083" s="34"/>
      <c r="AM1083" s="34"/>
      <c r="AN1083" s="34"/>
      <c r="AO1083" s="34"/>
      <c r="AP1083" s="34"/>
      <c r="AQ1083" s="34"/>
      <c r="AR1083" s="34"/>
      <c r="AS1083" s="34"/>
      <c r="AT1083" s="34"/>
      <c r="AU1083" s="34"/>
      <c r="AV1083" s="34"/>
      <c r="AW1083" s="34"/>
      <c r="AX1083" s="34"/>
      <c r="AY1083" s="34"/>
      <c r="AZ1083" s="34"/>
      <c r="BA1083" s="34"/>
      <c r="BB1083" s="34"/>
      <c r="BC1083" s="34"/>
      <c r="BD1083" s="34"/>
      <c r="BE1083" s="34"/>
      <c r="BF1083" s="34"/>
      <c r="BG1083" s="34"/>
      <c r="BH1083" s="34"/>
      <c r="BI1083" s="34"/>
      <c r="BJ1083" s="34"/>
      <c r="BK1083" s="34"/>
      <c r="BL1083" s="34"/>
      <c r="BM1083" s="34"/>
      <c r="BN1083" s="34"/>
      <c r="BO1083" s="34"/>
      <c r="BP1083" s="34"/>
      <c r="BQ1083" s="34"/>
      <c r="BR1083" s="34"/>
      <c r="BS1083" s="34"/>
      <c r="BT1083" s="34"/>
      <c r="BU1083" s="34"/>
      <c r="BV1083" s="34"/>
      <c r="BW1083" s="34"/>
      <c r="BX1083" s="34"/>
      <c r="BY1083" s="34"/>
      <c r="BZ1083" s="34"/>
      <c r="CA1083" s="34"/>
      <c r="CB1083" s="34"/>
      <c r="CC1083" s="34"/>
      <c r="CD1083" s="34"/>
      <c r="CE1083" s="34"/>
      <c r="CF1083" s="34"/>
      <c r="CG1083" s="34"/>
      <c r="CH1083" s="34"/>
      <c r="CI1083" s="34"/>
      <c r="CJ1083" s="34"/>
      <c r="CK1083" s="34"/>
      <c r="CL1083" s="34"/>
      <c r="CM1083" s="34"/>
      <c r="CN1083" s="34"/>
      <c r="CO1083" s="34"/>
      <c r="CP1083" s="34"/>
      <c r="CQ1083" s="34"/>
      <c r="CR1083" s="34"/>
      <c r="CS1083" s="34"/>
      <c r="CT1083" s="34"/>
      <c r="CU1083" s="34"/>
      <c r="CV1083" s="34"/>
      <c r="CW1083" s="34"/>
      <c r="CX1083" s="34"/>
      <c r="CY1083" s="34"/>
      <c r="CZ1083" s="34"/>
      <c r="DA1083" s="34"/>
      <c r="DB1083" s="34"/>
      <c r="DC1083" s="34"/>
      <c r="DD1083" s="34"/>
      <c r="DE1083" s="34"/>
      <c r="DF1083" s="34"/>
      <c r="DG1083" s="34"/>
      <c r="DH1083" s="34"/>
      <c r="DI1083" s="34"/>
      <c r="DJ1083" s="34"/>
      <c r="DK1083" s="34"/>
      <c r="DL1083" s="34"/>
      <c r="DM1083" s="34"/>
      <c r="DN1083" s="34"/>
      <c r="DO1083" s="34"/>
      <c r="DP1083" s="34"/>
      <c r="DQ1083" s="34"/>
      <c r="DR1083" s="34"/>
      <c r="DS1083" s="34"/>
      <c r="DT1083" s="34"/>
      <c r="DU1083" s="34"/>
      <c r="DV1083" s="34"/>
      <c r="DW1083" s="34"/>
      <c r="DX1083" s="34"/>
      <c r="DY1083" s="34"/>
      <c r="DZ1083" s="34"/>
      <c r="EA1083" s="34"/>
    </row>
    <row r="1084" spans="1:131" ht="11.25">
      <c r="A1084" s="1"/>
      <c r="B1084" s="1"/>
      <c r="C1084" s="1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53"/>
      <c r="O1084" s="53"/>
      <c r="P1084" s="53"/>
      <c r="Q1084" s="34"/>
      <c r="R1084" s="34"/>
      <c r="S1084" s="34"/>
      <c r="T1084" s="34"/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  <c r="AF1084" s="34"/>
      <c r="AG1084" s="34"/>
      <c r="AH1084" s="34"/>
      <c r="AI1084" s="34"/>
      <c r="AJ1084" s="34"/>
      <c r="AK1084" s="34"/>
      <c r="AL1084" s="34"/>
      <c r="AM1084" s="34"/>
      <c r="AN1084" s="34"/>
      <c r="AO1084" s="34"/>
      <c r="AP1084" s="34"/>
      <c r="AQ1084" s="34"/>
      <c r="AR1084" s="34"/>
      <c r="AS1084" s="34"/>
      <c r="AT1084" s="34"/>
      <c r="AU1084" s="34"/>
      <c r="AV1084" s="34"/>
      <c r="AW1084" s="34"/>
      <c r="AX1084" s="34"/>
      <c r="AY1084" s="34"/>
      <c r="AZ1084" s="34"/>
      <c r="BA1084" s="34"/>
      <c r="BB1084" s="34"/>
      <c r="BC1084" s="34"/>
      <c r="BD1084" s="34"/>
      <c r="BE1084" s="34"/>
      <c r="BF1084" s="34"/>
      <c r="BG1084" s="34"/>
      <c r="BH1084" s="34"/>
      <c r="BI1084" s="34"/>
      <c r="BJ1084" s="34"/>
      <c r="BK1084" s="34"/>
      <c r="BL1084" s="34"/>
      <c r="BM1084" s="34"/>
      <c r="BN1084" s="34"/>
      <c r="BO1084" s="34"/>
      <c r="BP1084" s="34"/>
      <c r="BQ1084" s="34"/>
      <c r="BR1084" s="34"/>
      <c r="BS1084" s="34"/>
      <c r="BT1084" s="34"/>
      <c r="BU1084" s="34"/>
      <c r="BV1084" s="34"/>
      <c r="BW1084" s="34"/>
      <c r="BX1084" s="34"/>
      <c r="BY1084" s="34"/>
      <c r="BZ1084" s="34"/>
      <c r="CA1084" s="34"/>
      <c r="CB1084" s="34"/>
      <c r="CC1084" s="34"/>
      <c r="CD1084" s="34"/>
      <c r="CE1084" s="34"/>
      <c r="CF1084" s="34"/>
      <c r="CG1084" s="34"/>
      <c r="CH1084" s="34"/>
      <c r="CI1084" s="34"/>
      <c r="CJ1084" s="34"/>
      <c r="CK1084" s="34"/>
      <c r="CL1084" s="34"/>
      <c r="CM1084" s="34"/>
      <c r="CN1084" s="34"/>
      <c r="CO1084" s="34"/>
      <c r="CP1084" s="34"/>
      <c r="CQ1084" s="34"/>
      <c r="CR1084" s="34"/>
      <c r="CS1084" s="34"/>
      <c r="CT1084" s="34"/>
      <c r="CU1084" s="34"/>
      <c r="CV1084" s="34"/>
      <c r="CW1084" s="34"/>
      <c r="CX1084" s="34"/>
      <c r="CY1084" s="34"/>
      <c r="CZ1084" s="34"/>
      <c r="DA1084" s="34"/>
      <c r="DB1084" s="34"/>
      <c r="DC1084" s="34"/>
      <c r="DD1084" s="34"/>
      <c r="DE1084" s="34"/>
      <c r="DF1084" s="34"/>
      <c r="DG1084" s="34"/>
      <c r="DH1084" s="34"/>
      <c r="DI1084" s="34"/>
      <c r="DJ1084" s="34"/>
      <c r="DK1084" s="34"/>
      <c r="DL1084" s="34"/>
      <c r="DM1084" s="34"/>
      <c r="DN1084" s="34"/>
      <c r="DO1084" s="34"/>
      <c r="DP1084" s="34"/>
      <c r="DQ1084" s="34"/>
      <c r="DR1084" s="34"/>
      <c r="DS1084" s="34"/>
      <c r="DT1084" s="34"/>
      <c r="DU1084" s="34"/>
      <c r="DV1084" s="34"/>
      <c r="DW1084" s="34"/>
      <c r="DX1084" s="34"/>
      <c r="DY1084" s="34"/>
      <c r="DZ1084" s="34"/>
      <c r="EA1084" s="34"/>
    </row>
    <row r="1085" spans="1:131" ht="11.25">
      <c r="A1085" s="1"/>
      <c r="B1085" s="1"/>
      <c r="C1085" s="1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53"/>
      <c r="O1085" s="53"/>
      <c r="P1085" s="53"/>
      <c r="Q1085" s="34"/>
      <c r="R1085" s="34"/>
      <c r="S1085" s="34"/>
      <c r="T1085" s="34"/>
      <c r="U1085" s="34"/>
      <c r="V1085" s="34"/>
      <c r="W1085" s="34"/>
      <c r="X1085" s="34"/>
      <c r="Y1085" s="34"/>
      <c r="Z1085" s="34"/>
      <c r="AA1085" s="34"/>
      <c r="AB1085" s="34"/>
      <c r="AC1085" s="34"/>
      <c r="AD1085" s="34"/>
      <c r="AE1085" s="34"/>
      <c r="AF1085" s="34"/>
      <c r="AG1085" s="34"/>
      <c r="AH1085" s="34"/>
      <c r="AI1085" s="34"/>
      <c r="AJ1085" s="34"/>
      <c r="AK1085" s="34"/>
      <c r="AL1085" s="34"/>
      <c r="AM1085" s="34"/>
      <c r="AN1085" s="34"/>
      <c r="AO1085" s="34"/>
      <c r="AP1085" s="34"/>
      <c r="AQ1085" s="34"/>
      <c r="AR1085" s="34"/>
      <c r="AS1085" s="34"/>
      <c r="AT1085" s="34"/>
      <c r="AU1085" s="34"/>
      <c r="AV1085" s="34"/>
      <c r="AW1085" s="34"/>
      <c r="AX1085" s="34"/>
      <c r="AY1085" s="34"/>
      <c r="AZ1085" s="34"/>
      <c r="BA1085" s="34"/>
      <c r="BB1085" s="34"/>
      <c r="BC1085" s="34"/>
      <c r="BD1085" s="34"/>
      <c r="BE1085" s="34"/>
      <c r="BF1085" s="34"/>
      <c r="BG1085" s="34"/>
      <c r="BH1085" s="34"/>
      <c r="BI1085" s="34"/>
      <c r="BJ1085" s="34"/>
      <c r="BK1085" s="34"/>
      <c r="BL1085" s="34"/>
      <c r="BM1085" s="34"/>
      <c r="BN1085" s="34"/>
      <c r="BO1085" s="34"/>
      <c r="BP1085" s="34"/>
      <c r="BQ1085" s="34"/>
      <c r="BR1085" s="34"/>
      <c r="BS1085" s="34"/>
      <c r="BT1085" s="34"/>
      <c r="BU1085" s="34"/>
      <c r="BV1085" s="34"/>
      <c r="BW1085" s="34"/>
      <c r="BX1085" s="34"/>
      <c r="BY1085" s="34"/>
      <c r="BZ1085" s="34"/>
      <c r="CA1085" s="34"/>
      <c r="CB1085" s="34"/>
      <c r="CC1085" s="34"/>
      <c r="CD1085" s="34"/>
      <c r="CE1085" s="34"/>
      <c r="CF1085" s="34"/>
      <c r="CG1085" s="34"/>
      <c r="CH1085" s="34"/>
      <c r="CI1085" s="34"/>
      <c r="CJ1085" s="34"/>
      <c r="CK1085" s="34"/>
      <c r="CL1085" s="34"/>
      <c r="CM1085" s="34"/>
      <c r="CN1085" s="34"/>
      <c r="CO1085" s="34"/>
      <c r="CP1085" s="34"/>
      <c r="CQ1085" s="34"/>
      <c r="CR1085" s="34"/>
      <c r="CS1085" s="34"/>
      <c r="CT1085" s="34"/>
      <c r="CU1085" s="34"/>
      <c r="CV1085" s="34"/>
      <c r="CW1085" s="34"/>
      <c r="CX1085" s="34"/>
      <c r="CY1085" s="34"/>
      <c r="CZ1085" s="34"/>
      <c r="DA1085" s="34"/>
      <c r="DB1085" s="34"/>
      <c r="DC1085" s="34"/>
      <c r="DD1085" s="34"/>
      <c r="DE1085" s="34"/>
      <c r="DF1085" s="34"/>
      <c r="DG1085" s="34"/>
      <c r="DH1085" s="34"/>
      <c r="DI1085" s="34"/>
      <c r="DJ1085" s="34"/>
      <c r="DK1085" s="34"/>
      <c r="DL1085" s="34"/>
      <c r="DM1085" s="34"/>
      <c r="DN1085" s="34"/>
      <c r="DO1085" s="34"/>
      <c r="DP1085" s="34"/>
      <c r="DQ1085" s="34"/>
      <c r="DR1085" s="34"/>
      <c r="DS1085" s="34"/>
      <c r="DT1085" s="34"/>
      <c r="DU1085" s="34"/>
      <c r="DV1085" s="34"/>
      <c r="DW1085" s="34"/>
      <c r="DX1085" s="34"/>
      <c r="DY1085" s="34"/>
      <c r="DZ1085" s="34"/>
      <c r="EA1085" s="34"/>
    </row>
    <row r="1086" spans="1:131" ht="11.25">
      <c r="A1086" s="1"/>
      <c r="B1086" s="1"/>
      <c r="C1086" s="1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53"/>
      <c r="O1086" s="53"/>
      <c r="P1086" s="53"/>
      <c r="Q1086" s="34"/>
      <c r="R1086" s="34"/>
      <c r="S1086" s="34"/>
      <c r="T1086" s="34"/>
      <c r="U1086" s="34"/>
      <c r="V1086" s="34"/>
      <c r="W1086" s="34"/>
      <c r="X1086" s="34"/>
      <c r="Y1086" s="34"/>
      <c r="Z1086" s="34"/>
      <c r="AA1086" s="34"/>
      <c r="AB1086" s="34"/>
      <c r="AC1086" s="34"/>
      <c r="AD1086" s="34"/>
      <c r="AE1086" s="34"/>
      <c r="AF1086" s="34"/>
      <c r="AG1086" s="34"/>
      <c r="AH1086" s="34"/>
      <c r="AI1086" s="34"/>
      <c r="AJ1086" s="34"/>
      <c r="AK1086" s="34"/>
      <c r="AL1086" s="34"/>
      <c r="AM1086" s="34"/>
      <c r="AN1086" s="34"/>
      <c r="AO1086" s="34"/>
      <c r="AP1086" s="34"/>
      <c r="AQ1086" s="34"/>
      <c r="AR1086" s="34"/>
      <c r="AS1086" s="34"/>
      <c r="AT1086" s="34"/>
      <c r="AU1086" s="34"/>
      <c r="AV1086" s="34"/>
      <c r="AW1086" s="34"/>
      <c r="AX1086" s="34"/>
      <c r="AY1086" s="34"/>
      <c r="AZ1086" s="34"/>
      <c r="BA1086" s="34"/>
      <c r="BB1086" s="34"/>
      <c r="BC1086" s="34"/>
      <c r="BD1086" s="34"/>
      <c r="BE1086" s="34"/>
      <c r="BF1086" s="34"/>
      <c r="BG1086" s="34"/>
      <c r="BH1086" s="34"/>
      <c r="BI1086" s="34"/>
      <c r="BJ1086" s="34"/>
      <c r="BK1086" s="34"/>
      <c r="BL1086" s="34"/>
      <c r="BM1086" s="34"/>
      <c r="BN1086" s="34"/>
      <c r="BO1086" s="34"/>
      <c r="BP1086" s="34"/>
      <c r="BQ1086" s="34"/>
      <c r="BR1086" s="34"/>
      <c r="BS1086" s="34"/>
      <c r="BT1086" s="34"/>
      <c r="BU1086" s="34"/>
      <c r="BV1086" s="34"/>
      <c r="BW1086" s="34"/>
      <c r="BX1086" s="34"/>
      <c r="BY1086" s="34"/>
      <c r="BZ1086" s="34"/>
      <c r="CA1086" s="34"/>
      <c r="CB1086" s="34"/>
      <c r="CC1086" s="34"/>
      <c r="CD1086" s="34"/>
      <c r="CE1086" s="34"/>
      <c r="CF1086" s="34"/>
      <c r="CG1086" s="34"/>
      <c r="CH1086" s="34"/>
      <c r="CI1086" s="34"/>
      <c r="CJ1086" s="34"/>
      <c r="CK1086" s="34"/>
      <c r="CL1086" s="34"/>
      <c r="CM1086" s="34"/>
      <c r="CN1086" s="34"/>
      <c r="CO1086" s="34"/>
      <c r="CP1086" s="34"/>
      <c r="CQ1086" s="34"/>
      <c r="CR1086" s="34"/>
      <c r="CS1086" s="34"/>
      <c r="CT1086" s="34"/>
      <c r="CU1086" s="34"/>
      <c r="CV1086" s="34"/>
      <c r="CW1086" s="34"/>
      <c r="CX1086" s="34"/>
      <c r="CY1086" s="34"/>
      <c r="CZ1086" s="34"/>
      <c r="DA1086" s="34"/>
      <c r="DB1086" s="34"/>
      <c r="DC1086" s="34"/>
      <c r="DD1086" s="34"/>
      <c r="DE1086" s="34"/>
      <c r="DF1086" s="34"/>
      <c r="DG1086" s="34"/>
      <c r="DH1086" s="34"/>
      <c r="DI1086" s="34"/>
      <c r="DJ1086" s="34"/>
      <c r="DK1086" s="34"/>
      <c r="DL1086" s="34"/>
      <c r="DM1086" s="34"/>
      <c r="DN1086" s="34"/>
      <c r="DO1086" s="34"/>
      <c r="DP1086" s="34"/>
      <c r="DQ1086" s="34"/>
      <c r="DR1086" s="34"/>
      <c r="DS1086" s="34"/>
      <c r="DT1086" s="34"/>
      <c r="DU1086" s="34"/>
      <c r="DV1086" s="34"/>
      <c r="DW1086" s="34"/>
      <c r="DX1086" s="34"/>
      <c r="DY1086" s="34"/>
      <c r="DZ1086" s="34"/>
      <c r="EA1086" s="34"/>
    </row>
    <row r="1087" spans="1:131" ht="11.25">
      <c r="A1087" s="1"/>
      <c r="B1087" s="1"/>
      <c r="C1087" s="1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53"/>
      <c r="O1087" s="53"/>
      <c r="P1087" s="53"/>
      <c r="Q1087" s="34"/>
      <c r="R1087" s="34"/>
      <c r="S1087" s="34"/>
      <c r="T1087" s="34"/>
      <c r="U1087" s="34"/>
      <c r="V1087" s="34"/>
      <c r="W1087" s="34"/>
      <c r="X1087" s="34"/>
      <c r="Y1087" s="34"/>
      <c r="Z1087" s="34"/>
      <c r="AA1087" s="34"/>
      <c r="AB1087" s="34"/>
      <c r="AC1087" s="34"/>
      <c r="AD1087" s="34"/>
      <c r="AE1087" s="34"/>
      <c r="AF1087" s="34"/>
      <c r="AG1087" s="34"/>
      <c r="AH1087" s="34"/>
      <c r="AI1087" s="34"/>
      <c r="AJ1087" s="34"/>
      <c r="AK1087" s="34"/>
      <c r="AL1087" s="34"/>
      <c r="AM1087" s="34"/>
      <c r="AN1087" s="34"/>
      <c r="AO1087" s="34"/>
      <c r="AP1087" s="34"/>
      <c r="AQ1087" s="34"/>
      <c r="AR1087" s="34"/>
      <c r="AS1087" s="34"/>
      <c r="AT1087" s="34"/>
      <c r="AU1087" s="34"/>
      <c r="AV1087" s="34"/>
      <c r="AW1087" s="34"/>
      <c r="AX1087" s="34"/>
      <c r="AY1087" s="34"/>
      <c r="AZ1087" s="34"/>
      <c r="BA1087" s="34"/>
      <c r="BB1087" s="34"/>
      <c r="BC1087" s="34"/>
      <c r="BD1087" s="34"/>
      <c r="BE1087" s="34"/>
      <c r="BF1087" s="34"/>
      <c r="BG1087" s="34"/>
      <c r="BH1087" s="34"/>
      <c r="BI1087" s="34"/>
      <c r="BJ1087" s="34"/>
      <c r="BK1087" s="34"/>
      <c r="BL1087" s="34"/>
      <c r="BM1087" s="34"/>
      <c r="BN1087" s="34"/>
      <c r="BO1087" s="34"/>
      <c r="BP1087" s="34"/>
      <c r="BQ1087" s="34"/>
      <c r="BR1087" s="34"/>
      <c r="BS1087" s="34"/>
      <c r="BT1087" s="34"/>
      <c r="BU1087" s="34"/>
      <c r="BV1087" s="34"/>
      <c r="BW1087" s="34"/>
      <c r="BX1087" s="34"/>
      <c r="BY1087" s="34"/>
      <c r="BZ1087" s="34"/>
      <c r="CA1087" s="34"/>
      <c r="CB1087" s="34"/>
      <c r="CC1087" s="34"/>
      <c r="CD1087" s="34"/>
      <c r="CE1087" s="34"/>
      <c r="CF1087" s="34"/>
      <c r="CG1087" s="34"/>
      <c r="CH1087" s="34"/>
      <c r="CI1087" s="34"/>
      <c r="CJ1087" s="34"/>
      <c r="CK1087" s="34"/>
      <c r="CL1087" s="34"/>
      <c r="CM1087" s="34"/>
      <c r="CN1087" s="34"/>
      <c r="CO1087" s="34"/>
      <c r="CP1087" s="34"/>
      <c r="CQ1087" s="34"/>
      <c r="CR1087" s="34"/>
      <c r="CS1087" s="34"/>
      <c r="CT1087" s="34"/>
      <c r="CU1087" s="34"/>
      <c r="CV1087" s="34"/>
      <c r="CW1087" s="34"/>
      <c r="CX1087" s="34"/>
      <c r="CY1087" s="34"/>
      <c r="CZ1087" s="34"/>
      <c r="DA1087" s="34"/>
      <c r="DB1087" s="34"/>
      <c r="DC1087" s="34"/>
      <c r="DD1087" s="34"/>
      <c r="DE1087" s="34"/>
      <c r="DF1087" s="34"/>
      <c r="DG1087" s="34"/>
      <c r="DH1087" s="34"/>
      <c r="DI1087" s="34"/>
      <c r="DJ1087" s="34"/>
      <c r="DK1087" s="34"/>
      <c r="DL1087" s="34"/>
      <c r="DM1087" s="34"/>
      <c r="DN1087" s="34"/>
      <c r="DO1087" s="34"/>
      <c r="DP1087" s="34"/>
      <c r="DQ1087" s="34"/>
      <c r="DR1087" s="34"/>
      <c r="DS1087" s="34"/>
      <c r="DT1087" s="34"/>
      <c r="DU1087" s="34"/>
      <c r="DV1087" s="34"/>
      <c r="DW1087" s="34"/>
      <c r="DX1087" s="34"/>
      <c r="DY1087" s="34"/>
      <c r="DZ1087" s="34"/>
      <c r="EA1087" s="34"/>
    </row>
    <row r="1088" spans="1:131" ht="11.25">
      <c r="A1088" s="1"/>
      <c r="B1088" s="1"/>
      <c r="C1088" s="1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53"/>
      <c r="O1088" s="53"/>
      <c r="P1088" s="53"/>
      <c r="Q1088" s="34"/>
      <c r="R1088" s="34"/>
      <c r="S1088" s="34"/>
      <c r="T1088" s="34"/>
      <c r="U1088" s="34"/>
      <c r="V1088" s="34"/>
      <c r="W1088" s="34"/>
      <c r="X1088" s="34"/>
      <c r="Y1088" s="34"/>
      <c r="Z1088" s="34"/>
      <c r="AA1088" s="34"/>
      <c r="AB1088" s="34"/>
      <c r="AC1088" s="34"/>
      <c r="AD1088" s="34"/>
      <c r="AE1088" s="34"/>
      <c r="AF1088" s="34"/>
      <c r="AG1088" s="34"/>
      <c r="AH1088" s="34"/>
      <c r="AI1088" s="34"/>
      <c r="AJ1088" s="34"/>
      <c r="AK1088" s="34"/>
      <c r="AL1088" s="34"/>
      <c r="AM1088" s="34"/>
      <c r="AN1088" s="34"/>
      <c r="AO1088" s="34"/>
      <c r="AP1088" s="34"/>
      <c r="AQ1088" s="34"/>
      <c r="AR1088" s="34"/>
      <c r="AS1088" s="34"/>
      <c r="AT1088" s="34"/>
      <c r="AU1088" s="34"/>
      <c r="AV1088" s="34"/>
      <c r="AW1088" s="34"/>
      <c r="AX1088" s="34"/>
      <c r="AY1088" s="34"/>
      <c r="AZ1088" s="34"/>
      <c r="BA1088" s="34"/>
      <c r="BB1088" s="34"/>
      <c r="BC1088" s="34"/>
      <c r="BD1088" s="34"/>
      <c r="BE1088" s="34"/>
      <c r="BF1088" s="34"/>
      <c r="BG1088" s="34"/>
      <c r="BH1088" s="34"/>
      <c r="BI1088" s="34"/>
      <c r="BJ1088" s="34"/>
      <c r="BK1088" s="34"/>
      <c r="BL1088" s="34"/>
      <c r="BM1088" s="34"/>
      <c r="BN1088" s="34"/>
      <c r="BO1088" s="34"/>
      <c r="BP1088" s="34"/>
      <c r="BQ1088" s="34"/>
      <c r="BR1088" s="34"/>
      <c r="BS1088" s="34"/>
      <c r="BT1088" s="34"/>
      <c r="BU1088" s="34"/>
      <c r="BV1088" s="34"/>
      <c r="BW1088" s="34"/>
      <c r="BX1088" s="34"/>
      <c r="BY1088" s="34"/>
      <c r="BZ1088" s="34"/>
      <c r="CA1088" s="34"/>
      <c r="CB1088" s="34"/>
      <c r="CC1088" s="34"/>
      <c r="CD1088" s="34"/>
      <c r="CE1088" s="34"/>
      <c r="CF1088" s="34"/>
      <c r="CG1088" s="34"/>
      <c r="CH1088" s="34"/>
      <c r="CI1088" s="34"/>
      <c r="CJ1088" s="34"/>
      <c r="CK1088" s="34"/>
      <c r="CL1088" s="34"/>
      <c r="CM1088" s="34"/>
      <c r="CN1088" s="34"/>
      <c r="CO1088" s="34"/>
      <c r="CP1088" s="34"/>
      <c r="CQ1088" s="34"/>
      <c r="CR1088" s="34"/>
      <c r="CS1088" s="34"/>
      <c r="CT1088" s="34"/>
      <c r="CU1088" s="34"/>
      <c r="CV1088" s="34"/>
      <c r="CW1088" s="34"/>
      <c r="CX1088" s="34"/>
      <c r="CY1088" s="34"/>
      <c r="CZ1088" s="34"/>
      <c r="DA1088" s="34"/>
      <c r="DB1088" s="34"/>
      <c r="DC1088" s="34"/>
      <c r="DD1088" s="34"/>
      <c r="DE1088" s="34"/>
      <c r="DF1088" s="34"/>
      <c r="DG1088" s="34"/>
      <c r="DH1088" s="34"/>
      <c r="DI1088" s="34"/>
      <c r="DJ1088" s="34"/>
      <c r="DK1088" s="34"/>
      <c r="DL1088" s="34"/>
      <c r="DM1088" s="34"/>
      <c r="DN1088" s="34"/>
      <c r="DO1088" s="34"/>
      <c r="DP1088" s="34"/>
      <c r="DQ1088" s="34"/>
      <c r="DR1088" s="34"/>
      <c r="DS1088" s="34"/>
      <c r="DT1088" s="34"/>
      <c r="DU1088" s="34"/>
      <c r="DV1088" s="34"/>
      <c r="DW1088" s="34"/>
      <c r="DX1088" s="34"/>
      <c r="DY1088" s="34"/>
      <c r="DZ1088" s="34"/>
      <c r="EA1088" s="34"/>
    </row>
    <row r="1089" spans="1:131" ht="11.25">
      <c r="A1089" s="1"/>
      <c r="B1089" s="1"/>
      <c r="C1089" s="1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53"/>
      <c r="O1089" s="53"/>
      <c r="P1089" s="53"/>
      <c r="Q1089" s="34"/>
      <c r="R1089" s="34"/>
      <c r="S1089" s="34"/>
      <c r="T1089" s="34"/>
      <c r="U1089" s="34"/>
      <c r="V1089" s="34"/>
      <c r="W1089" s="34"/>
      <c r="X1089" s="34"/>
      <c r="Y1089" s="34"/>
      <c r="Z1089" s="34"/>
      <c r="AA1089" s="34"/>
      <c r="AB1089" s="34"/>
      <c r="AC1089" s="34"/>
      <c r="AD1089" s="34"/>
      <c r="AE1089" s="34"/>
      <c r="AF1089" s="34"/>
      <c r="AG1089" s="34"/>
      <c r="AH1089" s="34"/>
      <c r="AI1089" s="34"/>
      <c r="AJ1089" s="34"/>
      <c r="AK1089" s="34"/>
      <c r="AL1089" s="34"/>
      <c r="AM1089" s="34"/>
      <c r="AN1089" s="34"/>
      <c r="AO1089" s="34"/>
      <c r="AP1089" s="34"/>
      <c r="AQ1089" s="34"/>
      <c r="AR1089" s="34"/>
      <c r="AS1089" s="34"/>
      <c r="AT1089" s="34"/>
      <c r="AU1089" s="34"/>
      <c r="AV1089" s="34"/>
      <c r="AW1089" s="34"/>
      <c r="AX1089" s="34"/>
      <c r="AY1089" s="34"/>
      <c r="AZ1089" s="34"/>
      <c r="BA1089" s="34"/>
      <c r="BB1089" s="34"/>
      <c r="BC1089" s="34"/>
      <c r="BD1089" s="34"/>
      <c r="BE1089" s="34"/>
      <c r="BF1089" s="34"/>
      <c r="BG1089" s="34"/>
      <c r="BH1089" s="34"/>
      <c r="BI1089" s="34"/>
      <c r="BJ1089" s="34"/>
      <c r="BK1089" s="34"/>
      <c r="BL1089" s="34"/>
      <c r="BM1089" s="34"/>
      <c r="BN1089" s="34"/>
      <c r="BO1089" s="34"/>
      <c r="BP1089" s="34"/>
      <c r="BQ1089" s="34"/>
      <c r="BR1089" s="34"/>
      <c r="BS1089" s="34"/>
      <c r="BT1089" s="34"/>
      <c r="BU1089" s="34"/>
      <c r="BV1089" s="34"/>
      <c r="BW1089" s="34"/>
      <c r="BX1089" s="34"/>
      <c r="BY1089" s="34"/>
      <c r="BZ1089" s="34"/>
      <c r="CA1089" s="34"/>
      <c r="CB1089" s="34"/>
      <c r="CC1089" s="34"/>
      <c r="CD1089" s="34"/>
      <c r="CE1089" s="34"/>
      <c r="CF1089" s="34"/>
      <c r="CG1089" s="34"/>
      <c r="CH1089" s="34"/>
      <c r="CI1089" s="34"/>
      <c r="CJ1089" s="34"/>
      <c r="CK1089" s="34"/>
      <c r="CL1089" s="34"/>
      <c r="CM1089" s="34"/>
      <c r="CN1089" s="34"/>
      <c r="CO1089" s="34"/>
      <c r="CP1089" s="34"/>
      <c r="CQ1089" s="34"/>
      <c r="CR1089" s="34"/>
      <c r="CS1089" s="34"/>
      <c r="CT1089" s="34"/>
      <c r="CU1089" s="34"/>
      <c r="CV1089" s="34"/>
      <c r="CW1089" s="34"/>
      <c r="CX1089" s="34"/>
      <c r="CY1089" s="34"/>
      <c r="CZ1089" s="34"/>
      <c r="DA1089" s="34"/>
      <c r="DB1089" s="34"/>
      <c r="DC1089" s="34"/>
      <c r="DD1089" s="34"/>
      <c r="DE1089" s="34"/>
      <c r="DF1089" s="34"/>
      <c r="DG1089" s="34"/>
      <c r="DH1089" s="34"/>
      <c r="DI1089" s="34"/>
      <c r="DJ1089" s="34"/>
      <c r="DK1089" s="34"/>
      <c r="DL1089" s="34"/>
      <c r="DM1089" s="34"/>
      <c r="DN1089" s="34"/>
      <c r="DO1089" s="34"/>
      <c r="DP1089" s="34"/>
      <c r="DQ1089" s="34"/>
      <c r="DR1089" s="34"/>
      <c r="DS1089" s="34"/>
      <c r="DT1089" s="34"/>
      <c r="DU1089" s="34"/>
      <c r="DV1089" s="34"/>
      <c r="DW1089" s="34"/>
      <c r="DX1089" s="34"/>
      <c r="DY1089" s="34"/>
      <c r="DZ1089" s="34"/>
      <c r="EA1089" s="34"/>
    </row>
    <row r="1090" spans="1:131" ht="11.25">
      <c r="A1090" s="1"/>
      <c r="B1090" s="1"/>
      <c r="C1090" s="1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53"/>
      <c r="O1090" s="53"/>
      <c r="P1090" s="53"/>
      <c r="Q1090" s="34"/>
      <c r="R1090" s="34"/>
      <c r="S1090" s="34"/>
      <c r="T1090" s="34"/>
      <c r="U1090" s="34"/>
      <c r="V1090" s="34"/>
      <c r="W1090" s="34"/>
      <c r="X1090" s="34"/>
      <c r="Y1090" s="34"/>
      <c r="Z1090" s="34"/>
      <c r="AA1090" s="34"/>
      <c r="AB1090" s="34"/>
      <c r="AC1090" s="34"/>
      <c r="AD1090" s="34"/>
      <c r="AE1090" s="34"/>
      <c r="AF1090" s="34"/>
      <c r="AG1090" s="34"/>
      <c r="AH1090" s="34"/>
      <c r="AI1090" s="34"/>
      <c r="AJ1090" s="34"/>
      <c r="AK1090" s="34"/>
      <c r="AL1090" s="34"/>
      <c r="AM1090" s="34"/>
      <c r="AN1090" s="34"/>
      <c r="AO1090" s="34"/>
      <c r="AP1090" s="34"/>
      <c r="AQ1090" s="34"/>
      <c r="AR1090" s="34"/>
      <c r="AS1090" s="34"/>
      <c r="AT1090" s="34"/>
      <c r="AU1090" s="34"/>
      <c r="AV1090" s="34"/>
      <c r="AW1090" s="34"/>
      <c r="AX1090" s="34"/>
      <c r="AY1090" s="34"/>
      <c r="AZ1090" s="34"/>
      <c r="BA1090" s="34"/>
      <c r="BB1090" s="34"/>
      <c r="BC1090" s="34"/>
      <c r="BD1090" s="34"/>
      <c r="BE1090" s="34"/>
      <c r="BF1090" s="34"/>
      <c r="BG1090" s="34"/>
      <c r="BH1090" s="34"/>
      <c r="BI1090" s="34"/>
      <c r="BJ1090" s="34"/>
      <c r="BK1090" s="34"/>
      <c r="BL1090" s="34"/>
      <c r="BM1090" s="34"/>
      <c r="BN1090" s="34"/>
      <c r="BO1090" s="34"/>
      <c r="BP1090" s="34"/>
      <c r="BQ1090" s="34"/>
      <c r="BR1090" s="34"/>
      <c r="BS1090" s="34"/>
      <c r="BT1090" s="34"/>
      <c r="BU1090" s="34"/>
      <c r="BV1090" s="34"/>
      <c r="BW1090" s="34"/>
      <c r="BX1090" s="34"/>
      <c r="BY1090" s="34"/>
      <c r="BZ1090" s="34"/>
      <c r="CA1090" s="34"/>
      <c r="CB1090" s="34"/>
      <c r="CC1090" s="34"/>
      <c r="CD1090" s="34"/>
      <c r="CE1090" s="34"/>
      <c r="CF1090" s="34"/>
      <c r="CG1090" s="34"/>
      <c r="CH1090" s="34"/>
      <c r="CI1090" s="34"/>
      <c r="CJ1090" s="34"/>
      <c r="CK1090" s="34"/>
      <c r="CL1090" s="34"/>
      <c r="CM1090" s="34"/>
      <c r="CN1090" s="34"/>
      <c r="CO1090" s="34"/>
      <c r="CP1090" s="34"/>
      <c r="CQ1090" s="34"/>
      <c r="CR1090" s="34"/>
      <c r="CS1090" s="34"/>
      <c r="CT1090" s="34"/>
      <c r="CU1090" s="34"/>
      <c r="CV1090" s="34"/>
      <c r="CW1090" s="34"/>
      <c r="CX1090" s="34"/>
      <c r="CY1090" s="34"/>
      <c r="CZ1090" s="34"/>
      <c r="DA1090" s="34"/>
      <c r="DB1090" s="34"/>
      <c r="DC1090" s="34"/>
      <c r="DD1090" s="34"/>
      <c r="DE1090" s="34"/>
      <c r="DF1090" s="34"/>
      <c r="DG1090" s="34"/>
      <c r="DH1090" s="34"/>
      <c r="DI1090" s="34"/>
      <c r="DJ1090" s="34"/>
      <c r="DK1090" s="34"/>
      <c r="DL1090" s="34"/>
      <c r="DM1090" s="34"/>
      <c r="DN1090" s="34"/>
      <c r="DO1090" s="34"/>
      <c r="DP1090" s="34"/>
      <c r="DQ1090" s="34"/>
      <c r="DR1090" s="34"/>
      <c r="DS1090" s="34"/>
      <c r="DT1090" s="34"/>
      <c r="DU1090" s="34"/>
      <c r="DV1090" s="34"/>
      <c r="DW1090" s="34"/>
      <c r="DX1090" s="34"/>
      <c r="DY1090" s="34"/>
      <c r="DZ1090" s="34"/>
      <c r="EA1090" s="34"/>
    </row>
    <row r="1091" spans="1:131" ht="11.25">
      <c r="A1091" s="1"/>
      <c r="B1091" s="1"/>
      <c r="C1091" s="1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53"/>
      <c r="O1091" s="53"/>
      <c r="P1091" s="53"/>
      <c r="Q1091" s="34"/>
      <c r="R1091" s="34"/>
      <c r="S1091" s="34"/>
      <c r="T1091" s="34"/>
      <c r="U1091" s="34"/>
      <c r="V1091" s="34"/>
      <c r="W1091" s="34"/>
      <c r="X1091" s="34"/>
      <c r="Y1091" s="34"/>
      <c r="Z1091" s="34"/>
      <c r="AA1091" s="34"/>
      <c r="AB1091" s="34"/>
      <c r="AC1091" s="34"/>
      <c r="AD1091" s="34"/>
      <c r="AE1091" s="34"/>
      <c r="AF1091" s="34"/>
      <c r="AG1091" s="34"/>
      <c r="AH1091" s="34"/>
      <c r="AI1091" s="34"/>
      <c r="AJ1091" s="34"/>
      <c r="AK1091" s="34"/>
      <c r="AL1091" s="34"/>
      <c r="AM1091" s="34"/>
      <c r="AN1091" s="34"/>
      <c r="AO1091" s="34"/>
      <c r="AP1091" s="34"/>
      <c r="AQ1091" s="34"/>
      <c r="AR1091" s="34"/>
      <c r="AS1091" s="34"/>
      <c r="AT1091" s="34"/>
      <c r="AU1091" s="34"/>
      <c r="AV1091" s="34"/>
      <c r="AW1091" s="34"/>
      <c r="AX1091" s="34"/>
      <c r="AY1091" s="34"/>
      <c r="AZ1091" s="34"/>
      <c r="BA1091" s="34"/>
      <c r="BB1091" s="34"/>
      <c r="BC1091" s="34"/>
      <c r="BD1091" s="34"/>
      <c r="BE1091" s="34"/>
      <c r="BF1091" s="34"/>
      <c r="BG1091" s="34"/>
      <c r="BH1091" s="34"/>
      <c r="BI1091" s="34"/>
      <c r="BJ1091" s="34"/>
      <c r="BK1091" s="34"/>
      <c r="BL1091" s="34"/>
      <c r="BM1091" s="34"/>
      <c r="BN1091" s="34"/>
      <c r="BO1091" s="34"/>
      <c r="BP1091" s="34"/>
      <c r="BQ1091" s="34"/>
      <c r="BR1091" s="34"/>
      <c r="BS1091" s="34"/>
      <c r="BT1091" s="34"/>
      <c r="BU1091" s="34"/>
      <c r="BV1091" s="34"/>
      <c r="BW1091" s="34"/>
      <c r="BX1091" s="34"/>
      <c r="BY1091" s="34"/>
      <c r="BZ1091" s="34"/>
      <c r="CA1091" s="34"/>
      <c r="CB1091" s="34"/>
      <c r="CC1091" s="34"/>
      <c r="CD1091" s="34"/>
      <c r="CE1091" s="34"/>
      <c r="CF1091" s="34"/>
      <c r="CG1091" s="34"/>
      <c r="CH1091" s="34"/>
      <c r="CI1091" s="34"/>
      <c r="CJ1091" s="34"/>
      <c r="CK1091" s="34"/>
      <c r="CL1091" s="34"/>
      <c r="CM1091" s="34"/>
      <c r="CN1091" s="34"/>
      <c r="CO1091" s="34"/>
      <c r="CP1091" s="34"/>
      <c r="CQ1091" s="34"/>
      <c r="CR1091" s="34"/>
      <c r="CS1091" s="34"/>
      <c r="CT1091" s="34"/>
      <c r="CU1091" s="34"/>
      <c r="CV1091" s="34"/>
      <c r="CW1091" s="34"/>
      <c r="CX1091" s="34"/>
      <c r="CY1091" s="34"/>
      <c r="CZ1091" s="34"/>
      <c r="DA1091" s="34"/>
      <c r="DB1091" s="34"/>
      <c r="DC1091" s="34"/>
      <c r="DD1091" s="34"/>
      <c r="DE1091" s="34"/>
      <c r="DF1091" s="34"/>
      <c r="DG1091" s="34"/>
      <c r="DH1091" s="34"/>
      <c r="DI1091" s="34"/>
      <c r="DJ1091" s="34"/>
      <c r="DK1091" s="34"/>
      <c r="DL1091" s="34"/>
      <c r="DM1091" s="34"/>
      <c r="DN1091" s="34"/>
      <c r="DO1091" s="34"/>
      <c r="DP1091" s="34"/>
      <c r="DQ1091" s="34"/>
      <c r="DR1091" s="34"/>
      <c r="DS1091" s="34"/>
      <c r="DT1091" s="34"/>
      <c r="DU1091" s="34"/>
      <c r="DV1091" s="34"/>
      <c r="DW1091" s="34"/>
      <c r="DX1091" s="34"/>
      <c r="DY1091" s="34"/>
      <c r="DZ1091" s="34"/>
      <c r="EA1091" s="34"/>
    </row>
    <row r="1092" spans="1:131" ht="11.25">
      <c r="A1092" s="1"/>
      <c r="B1092" s="1"/>
      <c r="C1092" s="1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53"/>
      <c r="O1092" s="53"/>
      <c r="P1092" s="53"/>
      <c r="Q1092" s="34"/>
      <c r="R1092" s="34"/>
      <c r="S1092" s="34"/>
      <c r="T1092" s="34"/>
      <c r="U1092" s="34"/>
      <c r="V1092" s="34"/>
      <c r="W1092" s="34"/>
      <c r="X1092" s="34"/>
      <c r="Y1092" s="34"/>
      <c r="Z1092" s="34"/>
      <c r="AA1092" s="34"/>
      <c r="AB1092" s="34"/>
      <c r="AC1092" s="34"/>
      <c r="AD1092" s="34"/>
      <c r="AE1092" s="34"/>
      <c r="AF1092" s="34"/>
      <c r="AG1092" s="34"/>
      <c r="AH1092" s="34"/>
      <c r="AI1092" s="34"/>
      <c r="AJ1092" s="34"/>
      <c r="AK1092" s="34"/>
      <c r="AL1092" s="34"/>
      <c r="AM1092" s="34"/>
      <c r="AN1092" s="34"/>
      <c r="AO1092" s="34"/>
      <c r="AP1092" s="34"/>
      <c r="AQ1092" s="34"/>
      <c r="AR1092" s="34"/>
      <c r="AS1092" s="34"/>
      <c r="AT1092" s="34"/>
      <c r="AU1092" s="34"/>
      <c r="AV1092" s="34"/>
      <c r="AW1092" s="34"/>
      <c r="AX1092" s="34"/>
      <c r="AY1092" s="34"/>
      <c r="AZ1092" s="34"/>
      <c r="BA1092" s="34"/>
      <c r="BB1092" s="34"/>
      <c r="BC1092" s="34"/>
      <c r="BD1092" s="34"/>
      <c r="BE1092" s="34"/>
      <c r="BF1092" s="34"/>
      <c r="BG1092" s="34"/>
      <c r="BH1092" s="34"/>
      <c r="BI1092" s="34"/>
      <c r="BJ1092" s="34"/>
      <c r="BK1092" s="34"/>
      <c r="BL1092" s="34"/>
      <c r="BM1092" s="34"/>
      <c r="BN1092" s="34"/>
      <c r="BO1092" s="34"/>
      <c r="BP1092" s="34"/>
      <c r="BQ1092" s="34"/>
      <c r="BR1092" s="34"/>
      <c r="BS1092" s="34"/>
      <c r="BT1092" s="34"/>
      <c r="BU1092" s="34"/>
      <c r="BV1092" s="34"/>
      <c r="BW1092" s="34"/>
      <c r="BX1092" s="34"/>
      <c r="BY1092" s="34"/>
      <c r="BZ1092" s="34"/>
      <c r="CA1092" s="34"/>
      <c r="CB1092" s="34"/>
      <c r="CC1092" s="34"/>
      <c r="CD1092" s="34"/>
      <c r="CE1092" s="34"/>
      <c r="CF1092" s="34"/>
      <c r="CG1092" s="34"/>
      <c r="CH1092" s="34"/>
      <c r="CI1092" s="34"/>
      <c r="CJ1092" s="34"/>
      <c r="CK1092" s="34"/>
      <c r="CL1092" s="34"/>
      <c r="CM1092" s="34"/>
      <c r="CN1092" s="34"/>
      <c r="CO1092" s="34"/>
      <c r="CP1092" s="34"/>
      <c r="CQ1092" s="34"/>
      <c r="CR1092" s="34"/>
      <c r="CS1092" s="34"/>
      <c r="CT1092" s="34"/>
      <c r="CU1092" s="34"/>
      <c r="CV1092" s="34"/>
      <c r="CW1092" s="34"/>
      <c r="CX1092" s="34"/>
      <c r="CY1092" s="34"/>
      <c r="CZ1092" s="34"/>
      <c r="DA1092" s="34"/>
      <c r="DB1092" s="34"/>
      <c r="DC1092" s="34"/>
      <c r="DD1092" s="34"/>
      <c r="DE1092" s="34"/>
      <c r="DF1092" s="34"/>
      <c r="DG1092" s="34"/>
      <c r="DH1092" s="34"/>
      <c r="DI1092" s="34"/>
      <c r="DJ1092" s="34"/>
      <c r="DK1092" s="34"/>
      <c r="DL1092" s="34"/>
      <c r="DM1092" s="34"/>
      <c r="DN1092" s="34"/>
      <c r="DO1092" s="34"/>
      <c r="DP1092" s="34"/>
      <c r="DQ1092" s="34"/>
      <c r="DR1092" s="34"/>
      <c r="DS1092" s="34"/>
      <c r="DT1092" s="34"/>
      <c r="DU1092" s="34"/>
      <c r="DV1092" s="34"/>
      <c r="DW1092" s="34"/>
      <c r="DX1092" s="34"/>
      <c r="DY1092" s="34"/>
      <c r="DZ1092" s="34"/>
      <c r="EA1092" s="34"/>
    </row>
    <row r="1093" spans="1:131" ht="11.25">
      <c r="A1093" s="1"/>
      <c r="B1093" s="1"/>
      <c r="C1093" s="1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53"/>
      <c r="O1093" s="53"/>
      <c r="P1093" s="53"/>
      <c r="Q1093" s="34"/>
      <c r="R1093" s="34"/>
      <c r="S1093" s="34"/>
      <c r="T1093" s="34"/>
      <c r="U1093" s="34"/>
      <c r="V1093" s="34"/>
      <c r="W1093" s="34"/>
      <c r="X1093" s="34"/>
      <c r="Y1093" s="34"/>
      <c r="Z1093" s="34"/>
      <c r="AA1093" s="34"/>
      <c r="AB1093" s="34"/>
      <c r="AC1093" s="34"/>
      <c r="AD1093" s="34"/>
      <c r="AE1093" s="34"/>
      <c r="AF1093" s="34"/>
      <c r="AG1093" s="34"/>
      <c r="AH1093" s="34"/>
      <c r="AI1093" s="34"/>
      <c r="AJ1093" s="34"/>
      <c r="AK1093" s="34"/>
      <c r="AL1093" s="34"/>
      <c r="AM1093" s="34"/>
      <c r="AN1093" s="34"/>
      <c r="AO1093" s="34"/>
      <c r="AP1093" s="34"/>
      <c r="AQ1093" s="34"/>
      <c r="AR1093" s="34"/>
      <c r="AS1093" s="34"/>
      <c r="AT1093" s="34"/>
      <c r="AU1093" s="34"/>
      <c r="AV1093" s="34"/>
      <c r="AW1093" s="34"/>
      <c r="AX1093" s="34"/>
      <c r="AY1093" s="34"/>
      <c r="AZ1093" s="34"/>
      <c r="BA1093" s="34"/>
      <c r="BB1093" s="34"/>
      <c r="BC1093" s="34"/>
      <c r="BD1093" s="34"/>
      <c r="BE1093" s="34"/>
      <c r="BF1093" s="34"/>
      <c r="BG1093" s="34"/>
      <c r="BH1093" s="34"/>
      <c r="BI1093" s="34"/>
      <c r="BJ1093" s="34"/>
      <c r="BK1093" s="34"/>
      <c r="BL1093" s="34"/>
      <c r="BM1093" s="34"/>
      <c r="BN1093" s="34"/>
      <c r="BO1093" s="34"/>
      <c r="BP1093" s="34"/>
      <c r="BQ1093" s="34"/>
      <c r="BR1093" s="34"/>
      <c r="BS1093" s="34"/>
      <c r="BT1093" s="34"/>
      <c r="BU1093" s="34"/>
      <c r="BV1093" s="34"/>
      <c r="BW1093" s="34"/>
      <c r="BX1093" s="34"/>
      <c r="BY1093" s="34"/>
      <c r="BZ1093" s="34"/>
      <c r="CA1093" s="34"/>
      <c r="CB1093" s="34"/>
      <c r="CC1093" s="34"/>
      <c r="CD1093" s="34"/>
      <c r="CE1093" s="34"/>
      <c r="CF1093" s="34"/>
      <c r="CG1093" s="34"/>
      <c r="CH1093" s="34"/>
      <c r="CI1093" s="34"/>
      <c r="CJ1093" s="34"/>
      <c r="CK1093" s="34"/>
      <c r="CL1093" s="34"/>
      <c r="CM1093" s="34"/>
      <c r="CN1093" s="34"/>
      <c r="CO1093" s="34"/>
      <c r="CP1093" s="34"/>
      <c r="CQ1093" s="34"/>
      <c r="CR1093" s="34"/>
      <c r="CS1093" s="34"/>
      <c r="CT1093" s="34"/>
      <c r="CU1093" s="34"/>
      <c r="CV1093" s="34"/>
      <c r="CW1093" s="34"/>
      <c r="CX1093" s="34"/>
      <c r="CY1093" s="34"/>
      <c r="CZ1093" s="34"/>
      <c r="DA1093" s="34"/>
      <c r="DB1093" s="34"/>
      <c r="DC1093" s="34"/>
      <c r="DD1093" s="34"/>
      <c r="DE1093" s="34"/>
      <c r="DF1093" s="34"/>
      <c r="DG1093" s="34"/>
      <c r="DH1093" s="34"/>
      <c r="DI1093" s="34"/>
      <c r="DJ1093" s="34"/>
      <c r="DK1093" s="34"/>
      <c r="DL1093" s="34"/>
      <c r="DM1093" s="34"/>
      <c r="DN1093" s="34"/>
      <c r="DO1093" s="34"/>
      <c r="DP1093" s="34"/>
      <c r="DQ1093" s="34"/>
      <c r="DR1093" s="34"/>
      <c r="DS1093" s="34"/>
      <c r="DT1093" s="34"/>
      <c r="DU1093" s="34"/>
      <c r="DV1093" s="34"/>
      <c r="DW1093" s="34"/>
      <c r="DX1093" s="34"/>
      <c r="DY1093" s="34"/>
      <c r="DZ1093" s="34"/>
      <c r="EA1093" s="34"/>
    </row>
    <row r="1094" spans="1:131" ht="11.25">
      <c r="A1094" s="1"/>
      <c r="B1094" s="1"/>
      <c r="C1094" s="1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53"/>
      <c r="O1094" s="53"/>
      <c r="P1094" s="53"/>
      <c r="Q1094" s="34"/>
      <c r="R1094" s="34"/>
      <c r="S1094" s="34"/>
      <c r="T1094" s="34"/>
      <c r="U1094" s="34"/>
      <c r="V1094" s="34"/>
      <c r="W1094" s="34"/>
      <c r="X1094" s="34"/>
      <c r="Y1094" s="34"/>
      <c r="Z1094" s="34"/>
      <c r="AA1094" s="34"/>
      <c r="AB1094" s="34"/>
      <c r="AC1094" s="34"/>
      <c r="AD1094" s="34"/>
      <c r="AE1094" s="34"/>
      <c r="AF1094" s="34"/>
      <c r="AG1094" s="34"/>
      <c r="AH1094" s="34"/>
      <c r="AI1094" s="34"/>
      <c r="AJ1094" s="34"/>
      <c r="AK1094" s="34"/>
      <c r="AL1094" s="34"/>
      <c r="AM1094" s="34"/>
      <c r="AN1094" s="34"/>
      <c r="AO1094" s="34"/>
      <c r="AP1094" s="34"/>
      <c r="AQ1094" s="34"/>
      <c r="AR1094" s="34"/>
      <c r="AS1094" s="34"/>
      <c r="AT1094" s="34"/>
      <c r="AU1094" s="34"/>
      <c r="AV1094" s="34"/>
      <c r="AW1094" s="34"/>
      <c r="AX1094" s="34"/>
      <c r="AY1094" s="34"/>
      <c r="AZ1094" s="34"/>
      <c r="BA1094" s="34"/>
      <c r="BB1094" s="34"/>
      <c r="BC1094" s="34"/>
      <c r="BD1094" s="34"/>
      <c r="BE1094" s="34"/>
      <c r="BF1094" s="34"/>
      <c r="BG1094" s="34"/>
      <c r="BH1094" s="34"/>
      <c r="BI1094" s="34"/>
      <c r="BJ1094" s="34"/>
      <c r="BK1094" s="34"/>
      <c r="BL1094" s="34"/>
      <c r="BM1094" s="34"/>
      <c r="BN1094" s="34"/>
      <c r="BO1094" s="34"/>
      <c r="BP1094" s="34"/>
      <c r="BQ1094" s="34"/>
      <c r="BR1094" s="34"/>
      <c r="BS1094" s="34"/>
      <c r="BT1094" s="34"/>
      <c r="BU1094" s="34"/>
      <c r="BV1094" s="34"/>
      <c r="BW1094" s="34"/>
      <c r="BX1094" s="34"/>
      <c r="BY1094" s="34"/>
      <c r="BZ1094" s="34"/>
      <c r="CA1094" s="34"/>
      <c r="CB1094" s="34"/>
      <c r="CC1094" s="34"/>
      <c r="CD1094" s="34"/>
      <c r="CE1094" s="34"/>
      <c r="CF1094" s="34"/>
      <c r="CG1094" s="34"/>
      <c r="CH1094" s="34"/>
      <c r="CI1094" s="34"/>
      <c r="CJ1094" s="34"/>
      <c r="CK1094" s="34"/>
      <c r="CL1094" s="34"/>
      <c r="CM1094" s="34"/>
      <c r="CN1094" s="34"/>
      <c r="CO1094" s="34"/>
      <c r="CP1094" s="34"/>
      <c r="CQ1094" s="34"/>
      <c r="CR1094" s="34"/>
      <c r="CS1094" s="34"/>
      <c r="CT1094" s="34"/>
      <c r="CU1094" s="34"/>
      <c r="CV1094" s="34"/>
      <c r="CW1094" s="34"/>
      <c r="CX1094" s="34"/>
      <c r="CY1094" s="34"/>
      <c r="CZ1094" s="34"/>
      <c r="DA1094" s="34"/>
      <c r="DB1094" s="34"/>
      <c r="DC1094" s="34"/>
      <c r="DD1094" s="34"/>
      <c r="DE1094" s="34"/>
      <c r="DF1094" s="34"/>
      <c r="DG1094" s="34"/>
      <c r="DH1094" s="34"/>
      <c r="DI1094" s="34"/>
      <c r="DJ1094" s="34"/>
      <c r="DK1094" s="34"/>
      <c r="DL1094" s="34"/>
      <c r="DM1094" s="34"/>
      <c r="DN1094" s="34"/>
      <c r="DO1094" s="34"/>
      <c r="DP1094" s="34"/>
      <c r="DQ1094" s="34"/>
      <c r="DR1094" s="34"/>
      <c r="DS1094" s="34"/>
      <c r="DT1094" s="34"/>
      <c r="DU1094" s="34"/>
      <c r="DV1094" s="34"/>
      <c r="DW1094" s="34"/>
      <c r="DX1094" s="34"/>
      <c r="DY1094" s="34"/>
      <c r="DZ1094" s="34"/>
      <c r="EA1094" s="34"/>
    </row>
    <row r="1095" spans="1:131" ht="11.25">
      <c r="A1095" s="1"/>
      <c r="B1095" s="1"/>
      <c r="C1095" s="1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53"/>
      <c r="O1095" s="53"/>
      <c r="P1095" s="53"/>
      <c r="Q1095" s="34"/>
      <c r="R1095" s="34"/>
      <c r="S1095" s="34"/>
      <c r="T1095" s="34"/>
      <c r="U1095" s="34"/>
      <c r="V1095" s="34"/>
      <c r="W1095" s="34"/>
      <c r="X1095" s="34"/>
      <c r="Y1095" s="34"/>
      <c r="Z1095" s="34"/>
      <c r="AA1095" s="34"/>
      <c r="AB1095" s="34"/>
      <c r="AC1095" s="34"/>
      <c r="AD1095" s="34"/>
      <c r="AE1095" s="34"/>
      <c r="AF1095" s="34"/>
      <c r="AG1095" s="34"/>
      <c r="AH1095" s="34"/>
      <c r="AI1095" s="34"/>
      <c r="AJ1095" s="34"/>
      <c r="AK1095" s="34"/>
      <c r="AL1095" s="34"/>
      <c r="AM1095" s="34"/>
      <c r="AN1095" s="34"/>
      <c r="AO1095" s="34"/>
      <c r="AP1095" s="34"/>
      <c r="AQ1095" s="34"/>
      <c r="AR1095" s="34"/>
      <c r="AS1095" s="34"/>
      <c r="AT1095" s="34"/>
      <c r="AU1095" s="34"/>
      <c r="AV1095" s="34"/>
      <c r="AW1095" s="34"/>
      <c r="AX1095" s="34"/>
      <c r="AY1095" s="34"/>
      <c r="AZ1095" s="34"/>
      <c r="BA1095" s="34"/>
      <c r="BB1095" s="34"/>
      <c r="BC1095" s="34"/>
      <c r="BD1095" s="34"/>
      <c r="BE1095" s="34"/>
      <c r="BF1095" s="34"/>
      <c r="BG1095" s="34"/>
      <c r="BH1095" s="34"/>
      <c r="BI1095" s="34"/>
      <c r="BJ1095" s="34"/>
      <c r="BK1095" s="34"/>
      <c r="BL1095" s="34"/>
      <c r="BM1095" s="34"/>
      <c r="BN1095" s="34"/>
      <c r="BO1095" s="34"/>
      <c r="BP1095" s="34"/>
      <c r="BQ1095" s="34"/>
      <c r="BR1095" s="34"/>
      <c r="BS1095" s="34"/>
      <c r="BT1095" s="34"/>
      <c r="BU1095" s="34"/>
      <c r="BV1095" s="34"/>
      <c r="BW1095" s="34"/>
      <c r="BX1095" s="34"/>
      <c r="BY1095" s="34"/>
      <c r="BZ1095" s="34"/>
      <c r="CA1095" s="34"/>
      <c r="CB1095" s="34"/>
      <c r="CC1095" s="34"/>
      <c r="CD1095" s="34"/>
      <c r="CE1095" s="34"/>
      <c r="CF1095" s="34"/>
      <c r="CG1095" s="34"/>
      <c r="CH1095" s="34"/>
      <c r="CI1095" s="34"/>
      <c r="CJ1095" s="34"/>
      <c r="CK1095" s="34"/>
      <c r="CL1095" s="34"/>
      <c r="CM1095" s="34"/>
      <c r="CN1095" s="34"/>
      <c r="CO1095" s="34"/>
      <c r="CP1095" s="34"/>
      <c r="CQ1095" s="34"/>
      <c r="CR1095" s="34"/>
      <c r="CS1095" s="34"/>
      <c r="CT1095" s="34"/>
      <c r="CU1095" s="34"/>
      <c r="CV1095" s="34"/>
      <c r="CW1095" s="34"/>
      <c r="CX1095" s="34"/>
      <c r="CY1095" s="34"/>
      <c r="CZ1095" s="34"/>
      <c r="DA1095" s="34"/>
      <c r="DB1095" s="34"/>
      <c r="DC1095" s="34"/>
      <c r="DD1095" s="34"/>
      <c r="DE1095" s="34"/>
      <c r="DF1095" s="34"/>
      <c r="DG1095" s="34"/>
      <c r="DH1095" s="34"/>
      <c r="DI1095" s="34"/>
      <c r="DJ1095" s="34"/>
      <c r="DK1095" s="34"/>
      <c r="DL1095" s="34"/>
      <c r="DM1095" s="34"/>
      <c r="DN1095" s="34"/>
      <c r="DO1095" s="34"/>
      <c r="DP1095" s="34"/>
      <c r="DQ1095" s="34"/>
      <c r="DR1095" s="34"/>
      <c r="DS1095" s="34"/>
      <c r="DT1095" s="34"/>
      <c r="DU1095" s="34"/>
      <c r="DV1095" s="34"/>
      <c r="DW1095" s="34"/>
      <c r="DX1095" s="34"/>
      <c r="DY1095" s="34"/>
      <c r="DZ1095" s="34"/>
      <c r="EA1095" s="34"/>
    </row>
    <row r="1096" spans="1:131" ht="11.25">
      <c r="A1096" s="1"/>
      <c r="B1096" s="1"/>
      <c r="C1096" s="1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53"/>
      <c r="O1096" s="53"/>
      <c r="P1096" s="53"/>
      <c r="Q1096" s="34"/>
      <c r="R1096" s="34"/>
      <c r="S1096" s="34"/>
      <c r="T1096" s="34"/>
      <c r="U1096" s="34"/>
      <c r="V1096" s="34"/>
      <c r="W1096" s="34"/>
      <c r="X1096" s="34"/>
      <c r="Y1096" s="34"/>
      <c r="Z1096" s="34"/>
      <c r="AA1096" s="34"/>
      <c r="AB1096" s="34"/>
      <c r="AC1096" s="34"/>
      <c r="AD1096" s="34"/>
      <c r="AE1096" s="34"/>
      <c r="AF1096" s="34"/>
      <c r="AG1096" s="34"/>
      <c r="AH1096" s="34"/>
      <c r="AI1096" s="34"/>
      <c r="AJ1096" s="34"/>
      <c r="AK1096" s="34"/>
      <c r="AL1096" s="34"/>
      <c r="AM1096" s="34"/>
      <c r="AN1096" s="34"/>
      <c r="AO1096" s="34"/>
      <c r="AP1096" s="34"/>
      <c r="AQ1096" s="34"/>
      <c r="AR1096" s="34"/>
      <c r="AS1096" s="34"/>
      <c r="AT1096" s="34"/>
      <c r="AU1096" s="34"/>
      <c r="AV1096" s="34"/>
      <c r="AW1096" s="34"/>
      <c r="AX1096" s="34"/>
      <c r="AY1096" s="34"/>
      <c r="AZ1096" s="34"/>
      <c r="BA1096" s="34"/>
      <c r="BB1096" s="34"/>
      <c r="BC1096" s="34"/>
      <c r="BD1096" s="34"/>
      <c r="BE1096" s="34"/>
      <c r="BF1096" s="34"/>
      <c r="BG1096" s="34"/>
      <c r="BH1096" s="34"/>
      <c r="BI1096" s="34"/>
      <c r="BJ1096" s="34"/>
      <c r="BK1096" s="34"/>
      <c r="BL1096" s="34"/>
      <c r="BM1096" s="34"/>
      <c r="BN1096" s="34"/>
      <c r="BO1096" s="34"/>
      <c r="BP1096" s="34"/>
      <c r="BQ1096" s="34"/>
      <c r="BR1096" s="34"/>
      <c r="BS1096" s="34"/>
      <c r="BT1096" s="34"/>
      <c r="BU1096" s="34"/>
      <c r="BV1096" s="34"/>
      <c r="BW1096" s="34"/>
      <c r="BX1096" s="34"/>
      <c r="BY1096" s="34"/>
      <c r="BZ1096" s="34"/>
      <c r="CA1096" s="34"/>
      <c r="CB1096" s="34"/>
      <c r="CC1096" s="34"/>
      <c r="CD1096" s="34"/>
      <c r="CE1096" s="34"/>
      <c r="CF1096" s="34"/>
      <c r="CG1096" s="34"/>
      <c r="CH1096" s="34"/>
      <c r="CI1096" s="34"/>
      <c r="CJ1096" s="34"/>
      <c r="CK1096" s="34"/>
      <c r="CL1096" s="34"/>
      <c r="CM1096" s="34"/>
      <c r="CN1096" s="34"/>
      <c r="CO1096" s="34"/>
      <c r="CP1096" s="34"/>
      <c r="CQ1096" s="34"/>
      <c r="CR1096" s="34"/>
      <c r="CS1096" s="34"/>
      <c r="CT1096" s="34"/>
      <c r="CU1096" s="34"/>
      <c r="CV1096" s="34"/>
      <c r="CW1096" s="34"/>
      <c r="CX1096" s="34"/>
      <c r="CY1096" s="34"/>
      <c r="CZ1096" s="34"/>
      <c r="DA1096" s="34"/>
      <c r="DB1096" s="34"/>
      <c r="DC1096" s="34"/>
      <c r="DD1096" s="34"/>
      <c r="DE1096" s="34"/>
      <c r="DF1096" s="34"/>
      <c r="DG1096" s="34"/>
      <c r="DH1096" s="34"/>
      <c r="DI1096" s="34"/>
      <c r="DJ1096" s="34"/>
      <c r="DK1096" s="34"/>
      <c r="DL1096" s="34"/>
      <c r="DM1096" s="34"/>
      <c r="DN1096" s="34"/>
      <c r="DO1096" s="34"/>
      <c r="DP1096" s="34"/>
      <c r="DQ1096" s="34"/>
      <c r="DR1096" s="34"/>
      <c r="DS1096" s="34"/>
      <c r="DT1096" s="34"/>
      <c r="DU1096" s="34"/>
      <c r="DV1096" s="34"/>
      <c r="DW1096" s="34"/>
      <c r="DX1096" s="34"/>
      <c r="DY1096" s="34"/>
      <c r="DZ1096" s="34"/>
      <c r="EA1096" s="34"/>
    </row>
    <row r="1097" spans="1:131" ht="11.25">
      <c r="A1097" s="1"/>
      <c r="B1097" s="1"/>
      <c r="C1097" s="1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53"/>
      <c r="O1097" s="53"/>
      <c r="P1097" s="53"/>
      <c r="Q1097" s="34"/>
      <c r="R1097" s="34"/>
      <c r="S1097" s="34"/>
      <c r="T1097" s="34"/>
      <c r="U1097" s="34"/>
      <c r="V1097" s="34"/>
      <c r="W1097" s="34"/>
      <c r="X1097" s="34"/>
      <c r="Y1097" s="34"/>
      <c r="Z1097" s="34"/>
      <c r="AA1097" s="34"/>
      <c r="AB1097" s="34"/>
      <c r="AC1097" s="34"/>
      <c r="AD1097" s="34"/>
      <c r="AE1097" s="34"/>
      <c r="AF1097" s="34"/>
      <c r="AG1097" s="34"/>
      <c r="AH1097" s="34"/>
      <c r="AI1097" s="34"/>
      <c r="AJ1097" s="34"/>
      <c r="AK1097" s="34"/>
      <c r="AL1097" s="34"/>
      <c r="AM1097" s="34"/>
      <c r="AN1097" s="34"/>
      <c r="AO1097" s="34"/>
      <c r="AP1097" s="34"/>
      <c r="AQ1097" s="34"/>
      <c r="AR1097" s="34"/>
      <c r="AS1097" s="34"/>
      <c r="AT1097" s="34"/>
      <c r="AU1097" s="34"/>
      <c r="AV1097" s="34"/>
      <c r="AW1097" s="34"/>
      <c r="AX1097" s="34"/>
      <c r="AY1097" s="34"/>
      <c r="AZ1097" s="34"/>
      <c r="BA1097" s="34"/>
      <c r="BB1097" s="34"/>
      <c r="BC1097" s="34"/>
      <c r="BD1097" s="34"/>
      <c r="BE1097" s="34"/>
      <c r="BF1097" s="34"/>
      <c r="BG1097" s="34"/>
      <c r="BH1097" s="34"/>
      <c r="BI1097" s="34"/>
      <c r="BJ1097" s="34"/>
      <c r="BK1097" s="34"/>
      <c r="BL1097" s="34"/>
      <c r="BM1097" s="34"/>
      <c r="BN1097" s="34"/>
      <c r="BO1097" s="34"/>
      <c r="BP1097" s="34"/>
      <c r="BQ1097" s="34"/>
      <c r="BR1097" s="34"/>
      <c r="BS1097" s="34"/>
      <c r="BT1097" s="34"/>
      <c r="BU1097" s="34"/>
      <c r="BV1097" s="34"/>
      <c r="BW1097" s="34"/>
      <c r="BX1097" s="34"/>
      <c r="BY1097" s="34"/>
      <c r="BZ1097" s="34"/>
      <c r="CA1097" s="34"/>
      <c r="CB1097" s="34"/>
      <c r="CC1097" s="34"/>
      <c r="CD1097" s="34"/>
      <c r="CE1097" s="34"/>
      <c r="CF1097" s="34"/>
      <c r="CG1097" s="34"/>
      <c r="CH1097" s="34"/>
      <c r="CI1097" s="34"/>
      <c r="CJ1097" s="34"/>
      <c r="CK1097" s="34"/>
      <c r="CL1097" s="34"/>
      <c r="CM1097" s="34"/>
      <c r="CN1097" s="34"/>
      <c r="CO1097" s="34"/>
      <c r="CP1097" s="34"/>
      <c r="CQ1097" s="34"/>
      <c r="CR1097" s="34"/>
      <c r="CS1097" s="34"/>
      <c r="CT1097" s="34"/>
      <c r="CU1097" s="34"/>
      <c r="CV1097" s="34"/>
      <c r="CW1097" s="34"/>
      <c r="CX1097" s="34"/>
      <c r="CY1097" s="34"/>
      <c r="CZ1097" s="34"/>
      <c r="DA1097" s="34"/>
      <c r="DB1097" s="34"/>
      <c r="DC1097" s="34"/>
      <c r="DD1097" s="34"/>
      <c r="DE1097" s="34"/>
      <c r="DF1097" s="34"/>
      <c r="DG1097" s="34"/>
      <c r="DH1097" s="34"/>
      <c r="DI1097" s="34"/>
      <c r="DJ1097" s="34"/>
      <c r="DK1097" s="34"/>
      <c r="DL1097" s="34"/>
      <c r="DM1097" s="34"/>
      <c r="DN1097" s="34"/>
      <c r="DO1097" s="34"/>
      <c r="DP1097" s="34"/>
      <c r="DQ1097" s="34"/>
      <c r="DR1097" s="34"/>
      <c r="DS1097" s="34"/>
      <c r="DT1097" s="34"/>
      <c r="DU1097" s="34"/>
      <c r="DV1097" s="34"/>
      <c r="DW1097" s="34"/>
      <c r="DX1097" s="34"/>
      <c r="DY1097" s="34"/>
      <c r="DZ1097" s="34"/>
      <c r="EA1097" s="34"/>
    </row>
    <row r="1098" spans="1:131" ht="11.25">
      <c r="A1098" s="1"/>
      <c r="B1098" s="1"/>
      <c r="C1098" s="1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53"/>
      <c r="O1098" s="53"/>
      <c r="P1098" s="53"/>
      <c r="Q1098" s="34"/>
      <c r="R1098" s="34"/>
      <c r="S1098" s="34"/>
      <c r="T1098" s="34"/>
      <c r="U1098" s="34"/>
      <c r="V1098" s="34"/>
      <c r="W1098" s="34"/>
      <c r="X1098" s="34"/>
      <c r="Y1098" s="34"/>
      <c r="Z1098" s="34"/>
      <c r="AA1098" s="34"/>
      <c r="AB1098" s="34"/>
      <c r="AC1098" s="34"/>
      <c r="AD1098" s="34"/>
      <c r="AE1098" s="34"/>
      <c r="AF1098" s="34"/>
      <c r="AG1098" s="34"/>
      <c r="AH1098" s="34"/>
      <c r="AI1098" s="34"/>
      <c r="AJ1098" s="34"/>
      <c r="AK1098" s="34"/>
      <c r="AL1098" s="34"/>
      <c r="AM1098" s="34"/>
      <c r="AN1098" s="34"/>
      <c r="AO1098" s="34"/>
      <c r="AP1098" s="34"/>
      <c r="AQ1098" s="34"/>
      <c r="AR1098" s="34"/>
      <c r="AS1098" s="34"/>
      <c r="AT1098" s="34"/>
      <c r="AU1098" s="34"/>
      <c r="AV1098" s="34"/>
      <c r="AW1098" s="34"/>
      <c r="AX1098" s="34"/>
      <c r="AY1098" s="34"/>
      <c r="AZ1098" s="34"/>
      <c r="BA1098" s="34"/>
      <c r="BB1098" s="34"/>
      <c r="BC1098" s="34"/>
      <c r="BD1098" s="34"/>
      <c r="BE1098" s="34"/>
      <c r="BF1098" s="34"/>
      <c r="BG1098" s="34"/>
      <c r="BH1098" s="34"/>
      <c r="BI1098" s="34"/>
      <c r="BJ1098" s="34"/>
      <c r="BK1098" s="34"/>
      <c r="BL1098" s="34"/>
      <c r="BM1098" s="34"/>
      <c r="BN1098" s="34"/>
      <c r="BO1098" s="34"/>
      <c r="BP1098" s="34"/>
      <c r="BQ1098" s="34"/>
      <c r="BR1098" s="34"/>
      <c r="BS1098" s="34"/>
      <c r="BT1098" s="34"/>
      <c r="BU1098" s="34"/>
      <c r="BV1098" s="34"/>
      <c r="BW1098" s="34"/>
      <c r="BX1098" s="34"/>
      <c r="BY1098" s="34"/>
      <c r="BZ1098" s="34"/>
      <c r="CA1098" s="34"/>
      <c r="CB1098" s="34"/>
      <c r="CC1098" s="34"/>
      <c r="CD1098" s="34"/>
      <c r="CE1098" s="34"/>
      <c r="CF1098" s="34"/>
      <c r="CG1098" s="34"/>
      <c r="CH1098" s="34"/>
      <c r="CI1098" s="34"/>
      <c r="CJ1098" s="34"/>
      <c r="CK1098" s="34"/>
      <c r="CL1098" s="34"/>
      <c r="CM1098" s="34"/>
      <c r="CN1098" s="34"/>
      <c r="CO1098" s="34"/>
      <c r="CP1098" s="34"/>
      <c r="CQ1098" s="34"/>
      <c r="CR1098" s="34"/>
      <c r="CS1098" s="34"/>
      <c r="CT1098" s="34"/>
      <c r="CU1098" s="34"/>
      <c r="CV1098" s="34"/>
      <c r="CW1098" s="34"/>
      <c r="CX1098" s="34"/>
      <c r="CY1098" s="34"/>
      <c r="CZ1098" s="34"/>
      <c r="DA1098" s="34"/>
      <c r="DB1098" s="34"/>
      <c r="DC1098" s="34"/>
      <c r="DD1098" s="34"/>
      <c r="DE1098" s="34"/>
      <c r="DF1098" s="34"/>
      <c r="DG1098" s="34"/>
      <c r="DH1098" s="34"/>
      <c r="DI1098" s="34"/>
      <c r="DJ1098" s="34"/>
      <c r="DK1098" s="34"/>
      <c r="DL1098" s="34"/>
      <c r="DM1098" s="34"/>
      <c r="DN1098" s="34"/>
      <c r="DO1098" s="34"/>
      <c r="DP1098" s="34"/>
      <c r="DQ1098" s="34"/>
      <c r="DR1098" s="34"/>
      <c r="DS1098" s="34"/>
      <c r="DT1098" s="34"/>
      <c r="DU1098" s="34"/>
      <c r="DV1098" s="34"/>
      <c r="DW1098" s="34"/>
      <c r="DX1098" s="34"/>
      <c r="DY1098" s="34"/>
      <c r="DZ1098" s="34"/>
      <c r="EA1098" s="34"/>
    </row>
    <row r="1099" spans="1:131" ht="11.25">
      <c r="A1099" s="1"/>
      <c r="B1099" s="1"/>
      <c r="C1099" s="1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53"/>
      <c r="O1099" s="53"/>
      <c r="P1099" s="53"/>
      <c r="Q1099" s="34"/>
      <c r="R1099" s="34"/>
      <c r="S1099" s="34"/>
      <c r="T1099" s="34"/>
      <c r="U1099" s="34"/>
      <c r="V1099" s="34"/>
      <c r="W1099" s="34"/>
      <c r="X1099" s="34"/>
      <c r="Y1099" s="34"/>
      <c r="Z1099" s="34"/>
      <c r="AA1099" s="34"/>
      <c r="AB1099" s="34"/>
      <c r="AC1099" s="34"/>
      <c r="AD1099" s="34"/>
      <c r="AE1099" s="34"/>
      <c r="AF1099" s="34"/>
      <c r="AG1099" s="34"/>
      <c r="AH1099" s="34"/>
      <c r="AI1099" s="34"/>
      <c r="AJ1099" s="34"/>
      <c r="AK1099" s="34"/>
      <c r="AL1099" s="34"/>
      <c r="AM1099" s="34"/>
      <c r="AN1099" s="34"/>
      <c r="AO1099" s="34"/>
      <c r="AP1099" s="34"/>
      <c r="AQ1099" s="34"/>
      <c r="AR1099" s="34"/>
      <c r="AS1099" s="34"/>
      <c r="AT1099" s="34"/>
      <c r="AU1099" s="34"/>
      <c r="AV1099" s="34"/>
      <c r="AW1099" s="34"/>
      <c r="AX1099" s="34"/>
      <c r="AY1099" s="34"/>
      <c r="AZ1099" s="34"/>
      <c r="BA1099" s="34"/>
      <c r="BB1099" s="34"/>
      <c r="BC1099" s="34"/>
      <c r="BD1099" s="34"/>
      <c r="BE1099" s="34"/>
      <c r="BF1099" s="34"/>
      <c r="BG1099" s="34"/>
      <c r="BH1099" s="34"/>
      <c r="BI1099" s="34"/>
      <c r="BJ1099" s="34"/>
      <c r="BK1099" s="34"/>
      <c r="BL1099" s="34"/>
      <c r="BM1099" s="34"/>
      <c r="BN1099" s="34"/>
      <c r="BO1099" s="34"/>
      <c r="BP1099" s="34"/>
      <c r="BQ1099" s="34"/>
      <c r="BR1099" s="34"/>
      <c r="BS1099" s="34"/>
      <c r="BT1099" s="34"/>
      <c r="BU1099" s="34"/>
      <c r="BV1099" s="34"/>
      <c r="BW1099" s="34"/>
      <c r="BX1099" s="34"/>
      <c r="BY1099" s="34"/>
      <c r="BZ1099" s="34"/>
      <c r="CA1099" s="34"/>
      <c r="CB1099" s="34"/>
      <c r="CC1099" s="34"/>
      <c r="CD1099" s="34"/>
      <c r="CE1099" s="34"/>
      <c r="CF1099" s="34"/>
      <c r="CG1099" s="34"/>
      <c r="CH1099" s="34"/>
      <c r="CI1099" s="34"/>
      <c r="CJ1099" s="34"/>
      <c r="CK1099" s="34"/>
      <c r="CL1099" s="34"/>
      <c r="CM1099" s="34"/>
      <c r="CN1099" s="34"/>
      <c r="CO1099" s="34"/>
      <c r="CP1099" s="34"/>
      <c r="CQ1099" s="34"/>
      <c r="CR1099" s="34"/>
      <c r="CS1099" s="34"/>
      <c r="CT1099" s="34"/>
      <c r="CU1099" s="34"/>
      <c r="CV1099" s="34"/>
      <c r="CW1099" s="34"/>
      <c r="CX1099" s="34"/>
      <c r="CY1099" s="34"/>
      <c r="CZ1099" s="34"/>
      <c r="DA1099" s="34"/>
      <c r="DB1099" s="34"/>
      <c r="DC1099" s="34"/>
      <c r="DD1099" s="34"/>
      <c r="DE1099" s="34"/>
      <c r="DF1099" s="34"/>
      <c r="DG1099" s="34"/>
      <c r="DH1099" s="34"/>
      <c r="DI1099" s="34"/>
      <c r="DJ1099" s="34"/>
      <c r="DK1099" s="34"/>
      <c r="DL1099" s="34"/>
      <c r="DM1099" s="34"/>
      <c r="DN1099" s="34"/>
      <c r="DO1099" s="34"/>
      <c r="DP1099" s="34"/>
      <c r="DQ1099" s="34"/>
      <c r="DR1099" s="34"/>
      <c r="DS1099" s="34"/>
      <c r="DT1099" s="34"/>
      <c r="DU1099" s="34"/>
      <c r="DV1099" s="34"/>
      <c r="DW1099" s="34"/>
      <c r="DX1099" s="34"/>
      <c r="DY1099" s="34"/>
      <c r="DZ1099" s="34"/>
      <c r="EA1099" s="34"/>
    </row>
    <row r="1100" spans="1:131" ht="11.25">
      <c r="A1100" s="1"/>
      <c r="B1100" s="1"/>
      <c r="C1100" s="1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53"/>
      <c r="O1100" s="53"/>
      <c r="P1100" s="53"/>
      <c r="Q1100" s="34"/>
      <c r="R1100" s="34"/>
      <c r="S1100" s="34"/>
      <c r="T1100" s="34"/>
      <c r="U1100" s="34"/>
      <c r="V1100" s="34"/>
      <c r="W1100" s="34"/>
      <c r="X1100" s="34"/>
      <c r="Y1100" s="34"/>
      <c r="Z1100" s="34"/>
      <c r="AA1100" s="34"/>
      <c r="AB1100" s="34"/>
      <c r="AC1100" s="34"/>
      <c r="AD1100" s="34"/>
      <c r="AE1100" s="34"/>
      <c r="AF1100" s="34"/>
      <c r="AG1100" s="34"/>
      <c r="AH1100" s="34"/>
      <c r="AI1100" s="34"/>
      <c r="AJ1100" s="34"/>
      <c r="AK1100" s="34"/>
      <c r="AL1100" s="34"/>
      <c r="AM1100" s="34"/>
      <c r="AN1100" s="34"/>
      <c r="AO1100" s="34"/>
      <c r="AP1100" s="34"/>
      <c r="AQ1100" s="34"/>
      <c r="AR1100" s="34"/>
      <c r="AS1100" s="34"/>
      <c r="AT1100" s="34"/>
      <c r="AU1100" s="34"/>
      <c r="AV1100" s="34"/>
      <c r="AW1100" s="34"/>
      <c r="AX1100" s="34"/>
      <c r="AY1100" s="34"/>
      <c r="AZ1100" s="34"/>
      <c r="BA1100" s="34"/>
      <c r="BB1100" s="34"/>
      <c r="BC1100" s="34"/>
      <c r="BD1100" s="34"/>
      <c r="BE1100" s="34"/>
      <c r="BF1100" s="34"/>
      <c r="BG1100" s="34"/>
      <c r="BH1100" s="34"/>
      <c r="BI1100" s="34"/>
      <c r="BJ1100" s="34"/>
      <c r="BK1100" s="34"/>
      <c r="BL1100" s="34"/>
      <c r="BM1100" s="34"/>
      <c r="BN1100" s="34"/>
      <c r="BO1100" s="34"/>
      <c r="BP1100" s="34"/>
      <c r="BQ1100" s="34"/>
      <c r="BR1100" s="34"/>
      <c r="BS1100" s="34"/>
      <c r="BT1100" s="34"/>
      <c r="BU1100" s="34"/>
      <c r="BV1100" s="34"/>
      <c r="BW1100" s="34"/>
      <c r="BX1100" s="34"/>
      <c r="BY1100" s="34"/>
      <c r="BZ1100" s="34"/>
      <c r="CA1100" s="34"/>
      <c r="CB1100" s="34"/>
      <c r="CC1100" s="34"/>
      <c r="CD1100" s="34"/>
      <c r="CE1100" s="34"/>
      <c r="CF1100" s="34"/>
      <c r="CG1100" s="34"/>
      <c r="CH1100" s="34"/>
      <c r="CI1100" s="34"/>
      <c r="CJ1100" s="34"/>
      <c r="CK1100" s="34"/>
      <c r="CL1100" s="34"/>
      <c r="CM1100" s="34"/>
      <c r="CN1100" s="34"/>
      <c r="CO1100" s="34"/>
      <c r="CP1100" s="34"/>
      <c r="CQ1100" s="34"/>
      <c r="CR1100" s="34"/>
      <c r="CS1100" s="34"/>
      <c r="CT1100" s="34"/>
      <c r="CU1100" s="34"/>
      <c r="CV1100" s="34"/>
      <c r="CW1100" s="34"/>
      <c r="CX1100" s="34"/>
      <c r="CY1100" s="34"/>
      <c r="CZ1100" s="34"/>
      <c r="DA1100" s="34"/>
      <c r="DB1100" s="34"/>
      <c r="DC1100" s="34"/>
      <c r="DD1100" s="34"/>
      <c r="DE1100" s="34"/>
      <c r="DF1100" s="34"/>
      <c r="DG1100" s="34"/>
      <c r="DH1100" s="34"/>
      <c r="DI1100" s="34"/>
      <c r="DJ1100" s="34"/>
      <c r="DK1100" s="34"/>
      <c r="DL1100" s="34"/>
      <c r="DM1100" s="34"/>
      <c r="DN1100" s="34"/>
      <c r="DO1100" s="34"/>
      <c r="DP1100" s="34"/>
      <c r="DQ1100" s="34"/>
      <c r="DR1100" s="34"/>
      <c r="DS1100" s="34"/>
      <c r="DT1100" s="34"/>
      <c r="DU1100" s="34"/>
      <c r="DV1100" s="34"/>
      <c r="DW1100" s="34"/>
      <c r="DX1100" s="34"/>
      <c r="DY1100" s="34"/>
      <c r="DZ1100" s="34"/>
      <c r="EA1100" s="34"/>
    </row>
    <row r="1101" spans="1:131" ht="11.25">
      <c r="A1101" s="1"/>
      <c r="B1101" s="1"/>
      <c r="C1101" s="1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53"/>
      <c r="O1101" s="53"/>
      <c r="P1101" s="53"/>
      <c r="Q1101" s="34"/>
      <c r="R1101" s="34"/>
      <c r="S1101" s="34"/>
      <c r="T1101" s="34"/>
      <c r="U1101" s="34"/>
      <c r="V1101" s="34"/>
      <c r="W1101" s="34"/>
      <c r="X1101" s="34"/>
      <c r="Y1101" s="34"/>
      <c r="Z1101" s="34"/>
      <c r="AA1101" s="34"/>
      <c r="AB1101" s="34"/>
      <c r="AC1101" s="34"/>
      <c r="AD1101" s="34"/>
      <c r="AE1101" s="34"/>
      <c r="AF1101" s="34"/>
      <c r="AG1101" s="34"/>
      <c r="AH1101" s="34"/>
      <c r="AI1101" s="34"/>
      <c r="AJ1101" s="34"/>
      <c r="AK1101" s="34"/>
      <c r="AL1101" s="34"/>
      <c r="AM1101" s="34"/>
      <c r="AN1101" s="34"/>
      <c r="AO1101" s="34"/>
      <c r="AP1101" s="34"/>
      <c r="AQ1101" s="34"/>
      <c r="AR1101" s="34"/>
      <c r="AS1101" s="34"/>
      <c r="AT1101" s="34"/>
      <c r="AU1101" s="34"/>
      <c r="AV1101" s="34"/>
      <c r="AW1101" s="34"/>
      <c r="AX1101" s="34"/>
      <c r="AY1101" s="34"/>
      <c r="AZ1101" s="34"/>
      <c r="BA1101" s="34"/>
      <c r="BB1101" s="34"/>
      <c r="BC1101" s="34"/>
      <c r="BD1101" s="34"/>
      <c r="BE1101" s="34"/>
      <c r="BF1101" s="34"/>
      <c r="BG1101" s="34"/>
      <c r="BH1101" s="34"/>
      <c r="BI1101" s="34"/>
      <c r="BJ1101" s="34"/>
      <c r="BK1101" s="34"/>
      <c r="BL1101" s="34"/>
      <c r="BM1101" s="34"/>
      <c r="BN1101" s="34"/>
      <c r="BO1101" s="34"/>
      <c r="BP1101" s="34"/>
      <c r="BQ1101" s="34"/>
      <c r="BR1101" s="34"/>
      <c r="BS1101" s="34"/>
      <c r="BT1101" s="34"/>
      <c r="BU1101" s="34"/>
      <c r="BV1101" s="34"/>
      <c r="BW1101" s="34"/>
      <c r="BX1101" s="34"/>
      <c r="BY1101" s="34"/>
      <c r="BZ1101" s="34"/>
      <c r="CA1101" s="34"/>
      <c r="CB1101" s="34"/>
      <c r="CC1101" s="34"/>
      <c r="CD1101" s="34"/>
      <c r="CE1101" s="34"/>
      <c r="CF1101" s="34"/>
      <c r="CG1101" s="34"/>
      <c r="CH1101" s="34"/>
      <c r="CI1101" s="34"/>
      <c r="CJ1101" s="34"/>
      <c r="CK1101" s="34"/>
      <c r="CL1101" s="34"/>
      <c r="CM1101" s="34"/>
      <c r="CN1101" s="34"/>
      <c r="CO1101" s="34"/>
      <c r="CP1101" s="34"/>
      <c r="CQ1101" s="34"/>
      <c r="CR1101" s="34"/>
      <c r="CS1101" s="34"/>
      <c r="CT1101" s="34"/>
      <c r="CU1101" s="34"/>
      <c r="CV1101" s="34"/>
      <c r="CW1101" s="34"/>
      <c r="CX1101" s="34"/>
      <c r="CY1101" s="34"/>
      <c r="CZ1101" s="34"/>
      <c r="DA1101" s="34"/>
      <c r="DB1101" s="34"/>
      <c r="DC1101" s="34"/>
      <c r="DD1101" s="34"/>
      <c r="DE1101" s="34"/>
      <c r="DF1101" s="34"/>
      <c r="DG1101" s="34"/>
      <c r="DH1101" s="34"/>
      <c r="DI1101" s="34"/>
      <c r="DJ1101" s="34"/>
      <c r="DK1101" s="34"/>
      <c r="DL1101" s="34"/>
      <c r="DM1101" s="34"/>
      <c r="DN1101" s="34"/>
      <c r="DO1101" s="34"/>
      <c r="DP1101" s="34"/>
      <c r="DQ1101" s="34"/>
      <c r="DR1101" s="34"/>
      <c r="DS1101" s="34"/>
      <c r="DT1101" s="34"/>
      <c r="DU1101" s="34"/>
      <c r="DV1101" s="34"/>
      <c r="DW1101" s="34"/>
      <c r="DX1101" s="34"/>
      <c r="DY1101" s="34"/>
      <c r="DZ1101" s="34"/>
      <c r="EA1101" s="34"/>
    </row>
    <row r="1102" spans="1:131" ht="11.25">
      <c r="A1102" s="1"/>
      <c r="B1102" s="1"/>
      <c r="C1102" s="1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53"/>
      <c r="O1102" s="53"/>
      <c r="P1102" s="53"/>
      <c r="Q1102" s="34"/>
      <c r="R1102" s="34"/>
      <c r="S1102" s="34"/>
      <c r="T1102" s="34"/>
      <c r="U1102" s="34"/>
      <c r="V1102" s="34"/>
      <c r="W1102" s="34"/>
      <c r="X1102" s="34"/>
      <c r="Y1102" s="34"/>
      <c r="Z1102" s="34"/>
      <c r="AA1102" s="34"/>
      <c r="AB1102" s="34"/>
      <c r="AC1102" s="34"/>
      <c r="AD1102" s="34"/>
      <c r="AE1102" s="34"/>
      <c r="AF1102" s="34"/>
      <c r="AG1102" s="34"/>
      <c r="AH1102" s="34"/>
      <c r="AI1102" s="34"/>
      <c r="AJ1102" s="34"/>
      <c r="AK1102" s="34"/>
      <c r="AL1102" s="34"/>
      <c r="AM1102" s="34"/>
      <c r="AN1102" s="34"/>
      <c r="AO1102" s="34"/>
      <c r="AP1102" s="34"/>
      <c r="AQ1102" s="34"/>
      <c r="AR1102" s="34"/>
      <c r="AS1102" s="34"/>
      <c r="AT1102" s="34"/>
      <c r="AU1102" s="34"/>
      <c r="AV1102" s="34"/>
      <c r="AW1102" s="34"/>
      <c r="AX1102" s="34"/>
      <c r="AY1102" s="34"/>
      <c r="AZ1102" s="34"/>
      <c r="BA1102" s="34"/>
      <c r="BB1102" s="34"/>
      <c r="BC1102" s="34"/>
      <c r="BD1102" s="34"/>
      <c r="BE1102" s="34"/>
      <c r="BF1102" s="34"/>
      <c r="BG1102" s="34"/>
      <c r="BH1102" s="34"/>
      <c r="BI1102" s="34"/>
      <c r="BJ1102" s="34"/>
      <c r="BK1102" s="34"/>
      <c r="BL1102" s="34"/>
      <c r="BM1102" s="34"/>
      <c r="BN1102" s="34"/>
      <c r="BO1102" s="34"/>
      <c r="BP1102" s="34"/>
      <c r="BQ1102" s="34"/>
      <c r="BR1102" s="34"/>
      <c r="BS1102" s="34"/>
      <c r="BT1102" s="34"/>
      <c r="BU1102" s="34"/>
      <c r="BV1102" s="34"/>
      <c r="BW1102" s="34"/>
      <c r="BX1102" s="34"/>
      <c r="BY1102" s="34"/>
      <c r="BZ1102" s="34"/>
      <c r="CA1102" s="34"/>
      <c r="CB1102" s="34"/>
      <c r="CC1102" s="34"/>
      <c r="CD1102" s="34"/>
      <c r="CE1102" s="34"/>
      <c r="CF1102" s="34"/>
      <c r="CG1102" s="34"/>
      <c r="CH1102" s="34"/>
      <c r="CI1102" s="34"/>
      <c r="CJ1102" s="34"/>
      <c r="CK1102" s="34"/>
      <c r="CL1102" s="34"/>
      <c r="CM1102" s="34"/>
      <c r="CN1102" s="34"/>
      <c r="CO1102" s="34"/>
      <c r="CP1102" s="34"/>
      <c r="CQ1102" s="34"/>
      <c r="CR1102" s="34"/>
      <c r="CS1102" s="34"/>
      <c r="CT1102" s="34"/>
      <c r="CU1102" s="34"/>
      <c r="CV1102" s="34"/>
      <c r="CW1102" s="34"/>
      <c r="CX1102" s="34"/>
      <c r="CY1102" s="34"/>
      <c r="CZ1102" s="34"/>
      <c r="DA1102" s="34"/>
      <c r="DB1102" s="34"/>
      <c r="DC1102" s="34"/>
      <c r="DD1102" s="34"/>
      <c r="DE1102" s="34"/>
      <c r="DF1102" s="34"/>
      <c r="DG1102" s="34"/>
      <c r="DH1102" s="34"/>
      <c r="DI1102" s="34"/>
      <c r="DJ1102" s="34"/>
      <c r="DK1102" s="34"/>
      <c r="DL1102" s="34"/>
      <c r="DM1102" s="34"/>
      <c r="DN1102" s="34"/>
      <c r="DO1102" s="34"/>
      <c r="DP1102" s="34"/>
      <c r="DQ1102" s="34"/>
      <c r="DR1102" s="34"/>
      <c r="DS1102" s="34"/>
      <c r="DT1102" s="34"/>
      <c r="DU1102" s="34"/>
      <c r="DV1102" s="34"/>
      <c r="DW1102" s="34"/>
      <c r="DX1102" s="34"/>
      <c r="DY1102" s="34"/>
      <c r="DZ1102" s="34"/>
      <c r="EA1102" s="34"/>
    </row>
    <row r="1103" spans="1:131" ht="11.25">
      <c r="A1103" s="1"/>
      <c r="B1103" s="1"/>
      <c r="C1103" s="1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53"/>
      <c r="O1103" s="53"/>
      <c r="P1103" s="53"/>
      <c r="Q1103" s="34"/>
      <c r="R1103" s="34"/>
      <c r="S1103" s="34"/>
      <c r="T1103" s="34"/>
      <c r="U1103" s="34"/>
      <c r="V1103" s="34"/>
      <c r="W1103" s="34"/>
      <c r="X1103" s="34"/>
      <c r="Y1103" s="34"/>
      <c r="Z1103" s="34"/>
      <c r="AA1103" s="34"/>
      <c r="AB1103" s="34"/>
      <c r="AC1103" s="34"/>
      <c r="AD1103" s="34"/>
      <c r="AE1103" s="34"/>
      <c r="AF1103" s="34"/>
      <c r="AG1103" s="34"/>
      <c r="AH1103" s="34"/>
      <c r="AI1103" s="34"/>
      <c r="AJ1103" s="34"/>
      <c r="AK1103" s="34"/>
      <c r="AL1103" s="34"/>
      <c r="AM1103" s="34"/>
      <c r="AN1103" s="34"/>
      <c r="AO1103" s="34"/>
      <c r="AP1103" s="34"/>
      <c r="AQ1103" s="34"/>
      <c r="AR1103" s="34"/>
      <c r="AS1103" s="34"/>
      <c r="AT1103" s="34"/>
      <c r="AU1103" s="34"/>
      <c r="AV1103" s="34"/>
      <c r="AW1103" s="34"/>
      <c r="AX1103" s="34"/>
      <c r="AY1103" s="34"/>
      <c r="AZ1103" s="34"/>
      <c r="BA1103" s="34"/>
      <c r="BB1103" s="34"/>
      <c r="BC1103" s="34"/>
      <c r="BD1103" s="34"/>
      <c r="BE1103" s="34"/>
      <c r="BF1103" s="34"/>
      <c r="BG1103" s="34"/>
      <c r="BH1103" s="34"/>
      <c r="BI1103" s="34"/>
      <c r="BJ1103" s="34"/>
      <c r="BK1103" s="34"/>
      <c r="BL1103" s="34"/>
      <c r="BM1103" s="34"/>
      <c r="BN1103" s="34"/>
      <c r="BO1103" s="34"/>
      <c r="BP1103" s="34"/>
      <c r="BQ1103" s="34"/>
      <c r="BR1103" s="34"/>
      <c r="BS1103" s="34"/>
      <c r="BT1103" s="34"/>
      <c r="BU1103" s="34"/>
      <c r="BV1103" s="34"/>
      <c r="BW1103" s="34"/>
      <c r="BX1103" s="34"/>
      <c r="BY1103" s="34"/>
      <c r="BZ1103" s="34"/>
      <c r="CA1103" s="34"/>
      <c r="CB1103" s="34"/>
      <c r="CC1103" s="34"/>
      <c r="CD1103" s="34"/>
      <c r="CE1103" s="34"/>
      <c r="CF1103" s="34"/>
      <c r="CG1103" s="34"/>
      <c r="CH1103" s="34"/>
      <c r="CI1103" s="34"/>
      <c r="CJ1103" s="34"/>
      <c r="CK1103" s="34"/>
      <c r="CL1103" s="34"/>
      <c r="CM1103" s="34"/>
      <c r="CN1103" s="34"/>
      <c r="CO1103" s="34"/>
      <c r="CP1103" s="34"/>
      <c r="CQ1103" s="34"/>
      <c r="CR1103" s="34"/>
      <c r="CS1103" s="34"/>
      <c r="CT1103" s="34"/>
      <c r="CU1103" s="34"/>
      <c r="CV1103" s="34"/>
      <c r="CW1103" s="34"/>
      <c r="CX1103" s="34"/>
      <c r="CY1103" s="34"/>
      <c r="CZ1103" s="34"/>
      <c r="DA1103" s="34"/>
      <c r="DB1103" s="34"/>
      <c r="DC1103" s="34"/>
      <c r="DD1103" s="34"/>
      <c r="DE1103" s="34"/>
      <c r="DF1103" s="34"/>
      <c r="DG1103" s="34"/>
      <c r="DH1103" s="34"/>
      <c r="DI1103" s="34"/>
      <c r="DJ1103" s="34"/>
      <c r="DK1103" s="34"/>
      <c r="DL1103" s="34"/>
      <c r="DM1103" s="34"/>
      <c r="DN1103" s="34"/>
      <c r="DO1103" s="34"/>
      <c r="DP1103" s="34"/>
      <c r="DQ1103" s="34"/>
      <c r="DR1103" s="34"/>
      <c r="DS1103" s="34"/>
      <c r="DT1103" s="34"/>
      <c r="DU1103" s="34"/>
      <c r="DV1103" s="34"/>
      <c r="DW1103" s="34"/>
      <c r="DX1103" s="34"/>
      <c r="DY1103" s="34"/>
      <c r="DZ1103" s="34"/>
      <c r="EA1103" s="34"/>
    </row>
    <row r="1104" spans="1:131" ht="11.25">
      <c r="A1104" s="1"/>
      <c r="B1104" s="1"/>
      <c r="C1104" s="1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53"/>
      <c r="O1104" s="53"/>
      <c r="P1104" s="53"/>
      <c r="Q1104" s="34"/>
      <c r="R1104" s="34"/>
      <c r="S1104" s="34"/>
      <c r="T1104" s="34"/>
      <c r="U1104" s="34"/>
      <c r="V1104" s="34"/>
      <c r="W1104" s="34"/>
      <c r="X1104" s="34"/>
      <c r="Y1104" s="34"/>
      <c r="Z1104" s="34"/>
      <c r="AA1104" s="34"/>
      <c r="AB1104" s="34"/>
      <c r="AC1104" s="34"/>
      <c r="AD1104" s="34"/>
      <c r="AE1104" s="34"/>
      <c r="AF1104" s="34"/>
      <c r="AG1104" s="34"/>
      <c r="AH1104" s="34"/>
      <c r="AI1104" s="34"/>
      <c r="AJ1104" s="34"/>
      <c r="AK1104" s="34"/>
      <c r="AL1104" s="34"/>
      <c r="AM1104" s="34"/>
      <c r="AN1104" s="34"/>
      <c r="AO1104" s="34"/>
      <c r="AP1104" s="34"/>
      <c r="AQ1104" s="34"/>
      <c r="AR1104" s="34"/>
      <c r="AS1104" s="34"/>
      <c r="AT1104" s="34"/>
      <c r="AU1104" s="34"/>
      <c r="AV1104" s="34"/>
      <c r="AW1104" s="34"/>
      <c r="AX1104" s="34"/>
      <c r="AY1104" s="34"/>
      <c r="AZ1104" s="34"/>
      <c r="BA1104" s="34"/>
      <c r="BB1104" s="34"/>
      <c r="BC1104" s="34"/>
      <c r="BD1104" s="34"/>
      <c r="BE1104" s="34"/>
      <c r="BF1104" s="34"/>
      <c r="BG1104" s="34"/>
      <c r="BH1104" s="34"/>
      <c r="BI1104" s="34"/>
      <c r="BJ1104" s="34"/>
      <c r="BK1104" s="34"/>
      <c r="BL1104" s="34"/>
      <c r="BM1104" s="34"/>
      <c r="BN1104" s="34"/>
      <c r="BO1104" s="34"/>
      <c r="BP1104" s="34"/>
      <c r="BQ1104" s="34"/>
      <c r="BR1104" s="34"/>
      <c r="BS1104" s="34"/>
      <c r="BT1104" s="34"/>
      <c r="BU1104" s="34"/>
      <c r="BV1104" s="34"/>
      <c r="BW1104" s="34"/>
      <c r="BX1104" s="34"/>
      <c r="BY1104" s="34"/>
      <c r="BZ1104" s="34"/>
      <c r="CA1104" s="34"/>
      <c r="CB1104" s="34"/>
      <c r="CC1104" s="34"/>
      <c r="CD1104" s="34"/>
      <c r="CE1104" s="34"/>
      <c r="CF1104" s="34"/>
      <c r="CG1104" s="34"/>
      <c r="CH1104" s="34"/>
      <c r="CI1104" s="34"/>
      <c r="CJ1104" s="34"/>
      <c r="CK1104" s="34"/>
      <c r="CL1104" s="34"/>
      <c r="CM1104" s="34"/>
      <c r="CN1104" s="34"/>
      <c r="CO1104" s="34"/>
      <c r="CP1104" s="34"/>
      <c r="CQ1104" s="34"/>
      <c r="CR1104" s="34"/>
      <c r="CS1104" s="34"/>
      <c r="CT1104" s="34"/>
      <c r="CU1104" s="34"/>
      <c r="CV1104" s="34"/>
      <c r="CW1104" s="34"/>
      <c r="CX1104" s="34"/>
      <c r="CY1104" s="34"/>
      <c r="CZ1104" s="34"/>
      <c r="DA1104" s="34"/>
      <c r="DB1104" s="34"/>
      <c r="DC1104" s="34"/>
      <c r="DD1104" s="34"/>
      <c r="DE1104" s="34"/>
      <c r="DF1104" s="34"/>
      <c r="DG1104" s="34"/>
      <c r="DH1104" s="34"/>
      <c r="DI1104" s="34"/>
      <c r="DJ1104" s="34"/>
      <c r="DK1104" s="34"/>
      <c r="DL1104" s="34"/>
      <c r="DM1104" s="34"/>
      <c r="DN1104" s="34"/>
      <c r="DO1104" s="34"/>
      <c r="DP1104" s="34"/>
      <c r="DQ1104" s="34"/>
      <c r="DR1104" s="34"/>
      <c r="DS1104" s="34"/>
      <c r="DT1104" s="34"/>
      <c r="DU1104" s="34"/>
      <c r="DV1104" s="34"/>
      <c r="DW1104" s="34"/>
      <c r="DX1104" s="34"/>
      <c r="DY1104" s="34"/>
      <c r="DZ1104" s="34"/>
      <c r="EA1104" s="34"/>
    </row>
    <row r="1105" spans="1:131" ht="11.25">
      <c r="A1105" s="1"/>
      <c r="B1105" s="1"/>
      <c r="C1105" s="1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53"/>
      <c r="O1105" s="53"/>
      <c r="P1105" s="53"/>
      <c r="Q1105" s="34"/>
      <c r="R1105" s="34"/>
      <c r="S1105" s="34"/>
      <c r="T1105" s="34"/>
      <c r="U1105" s="34"/>
      <c r="V1105" s="34"/>
      <c r="W1105" s="34"/>
      <c r="X1105" s="34"/>
      <c r="Y1105" s="34"/>
      <c r="Z1105" s="34"/>
      <c r="AA1105" s="34"/>
      <c r="AB1105" s="34"/>
      <c r="AC1105" s="34"/>
      <c r="AD1105" s="34"/>
      <c r="AE1105" s="34"/>
      <c r="AF1105" s="34"/>
      <c r="AG1105" s="34"/>
      <c r="AH1105" s="34"/>
      <c r="AI1105" s="34"/>
      <c r="AJ1105" s="34"/>
      <c r="AK1105" s="34"/>
      <c r="AL1105" s="34"/>
      <c r="AM1105" s="34"/>
      <c r="AN1105" s="34"/>
      <c r="AO1105" s="34"/>
      <c r="AP1105" s="34"/>
      <c r="AQ1105" s="34"/>
      <c r="AR1105" s="34"/>
      <c r="AS1105" s="34"/>
      <c r="AT1105" s="34"/>
      <c r="AU1105" s="34"/>
      <c r="AV1105" s="34"/>
      <c r="AW1105" s="34"/>
      <c r="AX1105" s="34"/>
      <c r="AY1105" s="34"/>
      <c r="AZ1105" s="34"/>
      <c r="BA1105" s="34"/>
      <c r="BB1105" s="34"/>
      <c r="BC1105" s="34"/>
      <c r="BD1105" s="34"/>
      <c r="BE1105" s="34"/>
      <c r="BF1105" s="34"/>
      <c r="BG1105" s="34"/>
      <c r="BH1105" s="34"/>
      <c r="BI1105" s="34"/>
      <c r="BJ1105" s="34"/>
      <c r="BK1105" s="34"/>
      <c r="BL1105" s="34"/>
      <c r="BM1105" s="34"/>
      <c r="BN1105" s="34"/>
      <c r="BO1105" s="34"/>
      <c r="BP1105" s="34"/>
      <c r="BQ1105" s="34"/>
      <c r="BR1105" s="34"/>
      <c r="BS1105" s="34"/>
      <c r="BT1105" s="34"/>
      <c r="BU1105" s="34"/>
      <c r="BV1105" s="34"/>
      <c r="BW1105" s="34"/>
      <c r="BX1105" s="34"/>
      <c r="BY1105" s="34"/>
      <c r="BZ1105" s="34"/>
      <c r="CA1105" s="34"/>
      <c r="CB1105" s="34"/>
      <c r="CC1105" s="34"/>
      <c r="CD1105" s="34"/>
      <c r="CE1105" s="34"/>
      <c r="CF1105" s="34"/>
      <c r="CG1105" s="34"/>
      <c r="CH1105" s="34"/>
      <c r="CI1105" s="34"/>
      <c r="CJ1105" s="34"/>
      <c r="CK1105" s="34"/>
      <c r="CL1105" s="34"/>
      <c r="CM1105" s="34"/>
      <c r="CN1105" s="34"/>
      <c r="CO1105" s="34"/>
      <c r="CP1105" s="34"/>
      <c r="CQ1105" s="34"/>
      <c r="CR1105" s="34"/>
      <c r="CS1105" s="34"/>
      <c r="CT1105" s="34"/>
      <c r="CU1105" s="34"/>
      <c r="CV1105" s="34"/>
      <c r="CW1105" s="34"/>
      <c r="CX1105" s="34"/>
      <c r="CY1105" s="34"/>
      <c r="CZ1105" s="34"/>
      <c r="DA1105" s="34"/>
      <c r="DB1105" s="34"/>
      <c r="DC1105" s="34"/>
      <c r="DD1105" s="34"/>
      <c r="DE1105" s="34"/>
      <c r="DF1105" s="34"/>
      <c r="DG1105" s="34"/>
      <c r="DH1105" s="34"/>
      <c r="DI1105" s="34"/>
      <c r="DJ1105" s="34"/>
      <c r="DK1105" s="34"/>
      <c r="DL1105" s="34"/>
      <c r="DM1105" s="34"/>
      <c r="DN1105" s="34"/>
      <c r="DO1105" s="34"/>
      <c r="DP1105" s="34"/>
      <c r="DQ1105" s="34"/>
      <c r="DR1105" s="34"/>
      <c r="DS1105" s="34"/>
      <c r="DT1105" s="34"/>
      <c r="DU1105" s="34"/>
      <c r="DV1105" s="34"/>
      <c r="DW1105" s="34"/>
      <c r="DX1105" s="34"/>
      <c r="DY1105" s="34"/>
      <c r="DZ1105" s="34"/>
      <c r="EA1105" s="34"/>
    </row>
    <row r="1106" spans="1:131" ht="11.25">
      <c r="A1106" s="1"/>
      <c r="B1106" s="1"/>
      <c r="C1106" s="1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53"/>
      <c r="O1106" s="53"/>
      <c r="P1106" s="53"/>
      <c r="Q1106" s="34"/>
      <c r="R1106" s="34"/>
      <c r="S1106" s="34"/>
      <c r="T1106" s="34"/>
      <c r="U1106" s="34"/>
      <c r="V1106" s="34"/>
      <c r="W1106" s="34"/>
      <c r="X1106" s="34"/>
      <c r="Y1106" s="34"/>
      <c r="Z1106" s="34"/>
      <c r="AA1106" s="34"/>
      <c r="AB1106" s="34"/>
      <c r="AC1106" s="34"/>
      <c r="AD1106" s="34"/>
      <c r="AE1106" s="34"/>
      <c r="AF1106" s="34"/>
      <c r="AG1106" s="34"/>
      <c r="AH1106" s="34"/>
      <c r="AI1106" s="34"/>
      <c r="AJ1106" s="34"/>
      <c r="AK1106" s="34"/>
      <c r="AL1106" s="34"/>
      <c r="AM1106" s="34"/>
      <c r="AN1106" s="34"/>
      <c r="AO1106" s="34"/>
      <c r="AP1106" s="34"/>
      <c r="AQ1106" s="34"/>
      <c r="AR1106" s="34"/>
      <c r="AS1106" s="34"/>
      <c r="AT1106" s="34"/>
      <c r="AU1106" s="34"/>
      <c r="AV1106" s="34"/>
      <c r="AW1106" s="34"/>
      <c r="AX1106" s="34"/>
      <c r="AY1106" s="34"/>
      <c r="AZ1106" s="34"/>
      <c r="BA1106" s="34"/>
      <c r="BB1106" s="34"/>
      <c r="BC1106" s="34"/>
      <c r="BD1106" s="34"/>
      <c r="BE1106" s="34"/>
      <c r="BF1106" s="34"/>
      <c r="BG1106" s="34"/>
      <c r="BH1106" s="34"/>
      <c r="BI1106" s="34"/>
      <c r="BJ1106" s="34"/>
      <c r="BK1106" s="34"/>
      <c r="BL1106" s="34"/>
      <c r="BM1106" s="34"/>
      <c r="BN1106" s="34"/>
      <c r="BO1106" s="34"/>
      <c r="BP1106" s="34"/>
      <c r="BQ1106" s="34"/>
      <c r="BR1106" s="34"/>
      <c r="BS1106" s="34"/>
      <c r="BT1106" s="34"/>
      <c r="BU1106" s="34"/>
      <c r="BV1106" s="34"/>
      <c r="BW1106" s="34"/>
      <c r="BX1106" s="34"/>
      <c r="BY1106" s="34"/>
      <c r="BZ1106" s="34"/>
      <c r="CA1106" s="34"/>
      <c r="CB1106" s="34"/>
      <c r="CC1106" s="34"/>
      <c r="CD1106" s="34"/>
      <c r="CE1106" s="34"/>
      <c r="CF1106" s="34"/>
      <c r="CG1106" s="34"/>
      <c r="CH1106" s="34"/>
      <c r="CI1106" s="34"/>
      <c r="CJ1106" s="34"/>
      <c r="CK1106" s="34"/>
      <c r="CL1106" s="34"/>
      <c r="CM1106" s="34"/>
      <c r="CN1106" s="34"/>
      <c r="CO1106" s="34"/>
      <c r="CP1106" s="34"/>
      <c r="CQ1106" s="34"/>
      <c r="CR1106" s="34"/>
      <c r="CS1106" s="34"/>
      <c r="CT1106" s="34"/>
      <c r="CU1106" s="34"/>
      <c r="CV1106" s="34"/>
      <c r="CW1106" s="34"/>
      <c r="CX1106" s="34"/>
      <c r="CY1106" s="34"/>
      <c r="CZ1106" s="34"/>
      <c r="DA1106" s="34"/>
      <c r="DB1106" s="34"/>
      <c r="DC1106" s="34"/>
      <c r="DD1106" s="34"/>
      <c r="DE1106" s="34"/>
      <c r="DF1106" s="34"/>
      <c r="DG1106" s="34"/>
      <c r="DH1106" s="34"/>
      <c r="DI1106" s="34"/>
      <c r="DJ1106" s="34"/>
      <c r="DK1106" s="34"/>
      <c r="DL1106" s="34"/>
      <c r="DM1106" s="34"/>
      <c r="DN1106" s="34"/>
      <c r="DO1106" s="34"/>
      <c r="DP1106" s="34"/>
      <c r="DQ1106" s="34"/>
      <c r="DR1106" s="34"/>
      <c r="DS1106" s="34"/>
      <c r="DT1106" s="34"/>
      <c r="DU1106" s="34"/>
      <c r="DV1106" s="34"/>
      <c r="DW1106" s="34"/>
      <c r="DX1106" s="34"/>
      <c r="DY1106" s="34"/>
      <c r="DZ1106" s="34"/>
      <c r="EA1106" s="34"/>
    </row>
    <row r="1107" spans="1:131" ht="11.25">
      <c r="A1107" s="1"/>
      <c r="B1107" s="1"/>
      <c r="C1107" s="1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53"/>
      <c r="O1107" s="53"/>
      <c r="P1107" s="53"/>
      <c r="Q1107" s="34"/>
      <c r="R1107" s="34"/>
      <c r="S1107" s="34"/>
      <c r="T1107" s="34"/>
      <c r="U1107" s="34"/>
      <c r="V1107" s="34"/>
      <c r="W1107" s="34"/>
      <c r="X1107" s="34"/>
      <c r="Y1107" s="34"/>
      <c r="Z1107" s="34"/>
      <c r="AA1107" s="34"/>
      <c r="AB1107" s="34"/>
      <c r="AC1107" s="34"/>
      <c r="AD1107" s="34"/>
      <c r="AE1107" s="34"/>
      <c r="AF1107" s="34"/>
      <c r="AG1107" s="34"/>
      <c r="AH1107" s="34"/>
      <c r="AI1107" s="34"/>
      <c r="AJ1107" s="34"/>
      <c r="AK1107" s="34"/>
      <c r="AL1107" s="34"/>
      <c r="AM1107" s="34"/>
      <c r="AN1107" s="34"/>
      <c r="AO1107" s="34"/>
      <c r="AP1107" s="34"/>
      <c r="AQ1107" s="34"/>
      <c r="AR1107" s="34"/>
      <c r="AS1107" s="34"/>
      <c r="AT1107" s="34"/>
      <c r="AU1107" s="34"/>
      <c r="AV1107" s="34"/>
      <c r="AW1107" s="34"/>
      <c r="AX1107" s="34"/>
      <c r="AY1107" s="34"/>
      <c r="AZ1107" s="34"/>
      <c r="BA1107" s="34"/>
      <c r="BB1107" s="34"/>
      <c r="BC1107" s="34"/>
      <c r="BD1107" s="34"/>
      <c r="BE1107" s="34"/>
      <c r="BF1107" s="34"/>
      <c r="BG1107" s="34"/>
      <c r="BH1107" s="34"/>
      <c r="BI1107" s="34"/>
      <c r="BJ1107" s="34"/>
      <c r="BK1107" s="34"/>
      <c r="BL1107" s="34"/>
      <c r="BM1107" s="34"/>
      <c r="BN1107" s="34"/>
      <c r="BO1107" s="34"/>
      <c r="BP1107" s="34"/>
      <c r="BQ1107" s="34"/>
      <c r="BR1107" s="34"/>
      <c r="BS1107" s="34"/>
      <c r="BT1107" s="34"/>
      <c r="BU1107" s="34"/>
      <c r="BV1107" s="34"/>
      <c r="BW1107" s="34"/>
      <c r="BX1107" s="34"/>
      <c r="BY1107" s="34"/>
      <c r="BZ1107" s="34"/>
      <c r="CA1107" s="34"/>
      <c r="CB1107" s="34"/>
      <c r="CC1107" s="34"/>
      <c r="CD1107" s="34"/>
      <c r="CE1107" s="34"/>
      <c r="CF1107" s="34"/>
      <c r="CG1107" s="34"/>
      <c r="CH1107" s="34"/>
      <c r="CI1107" s="34"/>
      <c r="CJ1107" s="34"/>
      <c r="CK1107" s="34"/>
      <c r="CL1107" s="34"/>
      <c r="CM1107" s="34"/>
      <c r="CN1107" s="34"/>
      <c r="CO1107" s="34"/>
      <c r="CP1107" s="34"/>
      <c r="CQ1107" s="34"/>
      <c r="CR1107" s="34"/>
      <c r="CS1107" s="34"/>
      <c r="CT1107" s="34"/>
      <c r="CU1107" s="34"/>
      <c r="CV1107" s="34"/>
      <c r="CW1107" s="34"/>
      <c r="CX1107" s="34"/>
      <c r="CY1107" s="34"/>
      <c r="CZ1107" s="34"/>
      <c r="DA1107" s="34"/>
      <c r="DB1107" s="34"/>
      <c r="DC1107" s="34"/>
      <c r="DD1107" s="34"/>
      <c r="DE1107" s="34"/>
      <c r="DF1107" s="34"/>
      <c r="DG1107" s="34"/>
      <c r="DH1107" s="34"/>
      <c r="DI1107" s="34"/>
      <c r="DJ1107" s="34"/>
      <c r="DK1107" s="34"/>
      <c r="DL1107" s="34"/>
      <c r="DM1107" s="34"/>
      <c r="DN1107" s="34"/>
      <c r="DO1107" s="34"/>
      <c r="DP1107" s="34"/>
      <c r="DQ1107" s="34"/>
      <c r="DR1107" s="34"/>
      <c r="DS1107" s="34"/>
      <c r="DT1107" s="34"/>
      <c r="DU1107" s="34"/>
      <c r="DV1107" s="34"/>
      <c r="DW1107" s="34"/>
      <c r="DX1107" s="34"/>
      <c r="DY1107" s="34"/>
      <c r="DZ1107" s="34"/>
      <c r="EA1107" s="34"/>
    </row>
  </sheetData>
  <sheetProtection/>
  <mergeCells count="21">
    <mergeCell ref="A1009:B1009"/>
    <mergeCell ref="F15:F16"/>
    <mergeCell ref="D14:F14"/>
    <mergeCell ref="G15:I15"/>
    <mergeCell ref="A14:A16"/>
    <mergeCell ref="B14:B16"/>
    <mergeCell ref="C14:C16"/>
    <mergeCell ref="N2:P2"/>
    <mergeCell ref="D3:G9"/>
    <mergeCell ref="F13:G13"/>
    <mergeCell ref="J2:L2"/>
    <mergeCell ref="A12:P12"/>
    <mergeCell ref="J15:J16"/>
    <mergeCell ref="G14:J14"/>
    <mergeCell ref="O1008:P1008"/>
    <mergeCell ref="A1008:D1008"/>
    <mergeCell ref="N14:P14"/>
    <mergeCell ref="N15:O15"/>
    <mergeCell ref="P15:P16"/>
    <mergeCell ref="K15:M15"/>
    <mergeCell ref="D15:E15"/>
  </mergeCells>
  <printOptions horizontalCentered="1"/>
  <pageMargins left="0.1968503937007874" right="0.1968503937007874" top="0.9448818897637796" bottom="0.1968503937007874" header="0" footer="0"/>
  <pageSetup fitToHeight="2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Іванченко Яна Юріївна</cp:lastModifiedBy>
  <cp:lastPrinted>2021-12-15T13:54:46Z</cp:lastPrinted>
  <dcterms:created xsi:type="dcterms:W3CDTF">2014-04-22T08:24:49Z</dcterms:created>
  <dcterms:modified xsi:type="dcterms:W3CDTF">2021-12-17T12:13:44Z</dcterms:modified>
  <cp:category/>
  <cp:version/>
  <cp:contentType/>
  <cp:contentStatus/>
</cp:coreProperties>
</file>