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грудень\позачергова СМР\Доопрацьоване\"/>
    </mc:Choice>
  </mc:AlternateContent>
  <bookViews>
    <workbookView xWindow="0" yWindow="0" windowWidth="28800" windowHeight="11835" tabRatio="495"/>
  </bookViews>
  <sheets>
    <sheet name="дод 3" sheetId="1" r:id="rId1"/>
    <sheet name="дод 7" sheetId="3" r:id="rId2"/>
  </sheets>
  <definedNames>
    <definedName name="_xlnm.Print_Titles" localSheetId="0">'дод 3'!$14:$16</definedName>
    <definedName name="_xlnm.Print_Titles" localSheetId="1">'дод 7'!$14:$16</definedName>
    <definedName name="_xlnm.Print_Area" localSheetId="0">'дод 3'!$A$1:$P$334</definedName>
    <definedName name="_xlnm.Print_Area" localSheetId="1">'дод 7'!$A$1:$O$267</definedName>
  </definedNames>
  <calcPr calcId="162913"/>
</workbook>
</file>

<file path=xl/calcChain.xml><?xml version="1.0" encoding="utf-8"?>
<calcChain xmlns="http://schemas.openxmlformats.org/spreadsheetml/2006/main">
  <c r="F242" i="1" l="1"/>
  <c r="I242" i="1"/>
  <c r="G109" i="1" l="1"/>
  <c r="F109" i="1"/>
  <c r="N183" i="3"/>
  <c r="N177" i="3" s="1"/>
  <c r="N170" i="3" s="1"/>
  <c r="M183" i="3"/>
  <c r="M177" i="3" s="1"/>
  <c r="M170" i="3" s="1"/>
  <c r="L183" i="3"/>
  <c r="L177" i="3" s="1"/>
  <c r="L170" i="3" s="1"/>
  <c r="K183" i="3"/>
  <c r="K177" i="3" s="1"/>
  <c r="K170" i="3" s="1"/>
  <c r="J183" i="3"/>
  <c r="J177" i="3" s="1"/>
  <c r="J170" i="3" s="1"/>
  <c r="H183" i="3"/>
  <c r="H177" i="3" s="1"/>
  <c r="H170" i="3" s="1"/>
  <c r="G183" i="3"/>
  <c r="G177" i="3" s="1"/>
  <c r="G170" i="3" s="1"/>
  <c r="F183" i="3"/>
  <c r="F177" i="3" s="1"/>
  <c r="F170" i="3" s="1"/>
  <c r="E183" i="3"/>
  <c r="E177" i="3" s="1"/>
  <c r="E170" i="3" s="1"/>
  <c r="O118" i="1"/>
  <c r="K118" i="1"/>
  <c r="O116" i="1"/>
  <c r="K116" i="1"/>
  <c r="F239" i="1"/>
  <c r="O234" i="1"/>
  <c r="K234" i="1"/>
  <c r="F79" i="1"/>
  <c r="F138" i="1" l="1"/>
  <c r="H31" i="1"/>
  <c r="F31" i="1"/>
  <c r="H28" i="1"/>
  <c r="F28" i="1"/>
  <c r="O159" i="1"/>
  <c r="K159" i="1"/>
  <c r="F159" i="1"/>
  <c r="O283" i="1"/>
  <c r="K283" i="1"/>
  <c r="O282" i="1"/>
  <c r="K282" i="1"/>
  <c r="O280" i="1"/>
  <c r="K280" i="1"/>
  <c r="E321" i="1"/>
  <c r="O304" i="1"/>
  <c r="K304" i="1"/>
  <c r="O275" i="1"/>
  <c r="K275" i="1"/>
  <c r="O244" i="1"/>
  <c r="K244" i="1"/>
  <c r="O210" i="1"/>
  <c r="K210" i="1"/>
  <c r="H152" i="1"/>
  <c r="F152" i="1"/>
  <c r="O278" i="1"/>
  <c r="K278" i="1"/>
  <c r="O279" i="1"/>
  <c r="K279" i="1"/>
  <c r="H294" i="1"/>
  <c r="H269" i="1"/>
  <c r="I238" i="1"/>
  <c r="F235" i="1"/>
  <c r="G217" i="1"/>
  <c r="H182" i="1"/>
  <c r="F182" i="1"/>
  <c r="O202" i="1"/>
  <c r="K202" i="1"/>
  <c r="F200" i="1"/>
  <c r="F174" i="1"/>
  <c r="F147" i="1"/>
  <c r="F113" i="1"/>
  <c r="F114" i="1"/>
  <c r="H55" i="1"/>
  <c r="G38" i="1"/>
  <c r="G40" i="1"/>
  <c r="F125" i="1"/>
  <c r="F141" i="1"/>
  <c r="O211" i="1"/>
  <c r="K211" i="1"/>
  <c r="O241" i="1"/>
  <c r="O240" i="1"/>
  <c r="K241" i="1"/>
  <c r="K240" i="1"/>
  <c r="L253" i="1"/>
  <c r="L252" i="1"/>
  <c r="O134" i="1"/>
  <c r="N134" i="1"/>
  <c r="M134" i="1"/>
  <c r="L134" i="1"/>
  <c r="K134" i="1"/>
  <c r="I134" i="1"/>
  <c r="H134" i="1"/>
  <c r="G134" i="1"/>
  <c r="F134" i="1"/>
  <c r="J155" i="1"/>
  <c r="I183" i="3" s="1"/>
  <c r="I177" i="3" s="1"/>
  <c r="I170" i="3" s="1"/>
  <c r="O154" i="1"/>
  <c r="K154" i="1"/>
  <c r="G108" i="1"/>
  <c r="F108" i="1"/>
  <c r="O158" i="1"/>
  <c r="K158" i="1"/>
  <c r="O249" i="1"/>
  <c r="K249" i="1"/>
  <c r="O248" i="1"/>
  <c r="K248" i="1"/>
  <c r="K157" i="1"/>
  <c r="O157" i="1"/>
  <c r="O119" i="1"/>
  <c r="K119" i="1"/>
  <c r="E155" i="1"/>
  <c r="D183" i="3" s="1"/>
  <c r="D177" i="3" s="1"/>
  <c r="D170" i="3" s="1"/>
  <c r="J134" i="1" l="1"/>
  <c r="P155" i="1"/>
  <c r="E134" i="1"/>
  <c r="F76" i="1"/>
  <c r="O183" i="3" l="1"/>
  <c r="O177" i="3" s="1"/>
  <c r="O170" i="3" s="1"/>
  <c r="P134" i="1"/>
  <c r="K236" i="1"/>
  <c r="F132" i="1" l="1"/>
  <c r="F135" i="1"/>
  <c r="O239" i="1" l="1"/>
  <c r="K239" i="1"/>
  <c r="O39" i="1" l="1"/>
  <c r="K39" i="1"/>
  <c r="F55" i="1" l="1"/>
  <c r="F38" i="1" l="1"/>
  <c r="F49" i="1" l="1"/>
  <c r="O236" i="1"/>
  <c r="F29" i="1"/>
  <c r="O138" i="1" l="1"/>
  <c r="K138" i="1"/>
  <c r="O162" i="1"/>
  <c r="K162" i="1"/>
  <c r="I258" i="1" l="1"/>
  <c r="O42" i="1"/>
  <c r="K42" i="1"/>
  <c r="O120" i="1"/>
  <c r="K120" i="1"/>
  <c r="F41" i="1" l="1"/>
  <c r="H38" i="1"/>
  <c r="F317" i="1"/>
  <c r="F48" i="1"/>
  <c r="H301" i="1"/>
  <c r="O284" i="1"/>
  <c r="K284" i="1"/>
  <c r="O243" i="1"/>
  <c r="K243" i="1"/>
  <c r="O259" i="1"/>
  <c r="K259" i="1"/>
  <c r="F233" i="1"/>
  <c r="G294" i="1"/>
  <c r="H218" i="1"/>
  <c r="F218" i="1"/>
  <c r="H215" i="1"/>
  <c r="F215" i="1"/>
  <c r="H214" i="1"/>
  <c r="F214" i="1"/>
  <c r="H216" i="1"/>
  <c r="G216" i="1"/>
  <c r="F216" i="1"/>
  <c r="F217" i="1"/>
  <c r="G218" i="1"/>
  <c r="G207" i="1"/>
  <c r="F188" i="1"/>
  <c r="F183" i="1"/>
  <c r="F189" i="1"/>
  <c r="H114" i="1"/>
  <c r="H95" i="1"/>
  <c r="F95" i="1"/>
  <c r="H94" i="1"/>
  <c r="F94" i="1"/>
  <c r="H81" i="1"/>
  <c r="F81" i="1"/>
  <c r="H80" i="1"/>
  <c r="F80" i="1"/>
  <c r="H79" i="1"/>
  <c r="H78" i="1"/>
  <c r="G78" i="1"/>
  <c r="F78" i="1"/>
  <c r="O78" i="1"/>
  <c r="K78" i="1"/>
  <c r="O104" i="1"/>
  <c r="K104" i="1"/>
  <c r="F104" i="1"/>
  <c r="O49" i="1"/>
  <c r="K49" i="1"/>
  <c r="F39" i="1"/>
  <c r="G33" i="1"/>
  <c r="F33" i="1"/>
  <c r="G31" i="1"/>
  <c r="H21" i="1"/>
  <c r="G21" i="1"/>
  <c r="M193" i="3" l="1"/>
  <c r="L193" i="3"/>
  <c r="K193" i="3"/>
  <c r="H193" i="3"/>
  <c r="G193" i="3"/>
  <c r="F193" i="3"/>
  <c r="E193" i="3"/>
  <c r="M192" i="3"/>
  <c r="L192" i="3"/>
  <c r="K192" i="3"/>
  <c r="H192" i="3"/>
  <c r="G192" i="3"/>
  <c r="F192" i="3"/>
  <c r="E192" i="3"/>
  <c r="O272" i="1"/>
  <c r="N272" i="1"/>
  <c r="M272" i="1"/>
  <c r="L272" i="1"/>
  <c r="K272" i="1"/>
  <c r="I272" i="1"/>
  <c r="H272" i="1"/>
  <c r="G272" i="1"/>
  <c r="F272" i="1"/>
  <c r="E286" i="1"/>
  <c r="E272" i="1" s="1"/>
  <c r="J286" i="1"/>
  <c r="N192" i="3"/>
  <c r="J192" i="3"/>
  <c r="N193" i="3"/>
  <c r="O90" i="1"/>
  <c r="K90" i="1"/>
  <c r="O89" i="1"/>
  <c r="K89" i="1"/>
  <c r="F175" i="1"/>
  <c r="F90" i="1"/>
  <c r="F89" i="1"/>
  <c r="F107" i="1"/>
  <c r="F106" i="1"/>
  <c r="O107" i="1"/>
  <c r="K107" i="1"/>
  <c r="O106" i="1"/>
  <c r="K106" i="1"/>
  <c r="J193" i="3" l="1"/>
  <c r="P286" i="1"/>
  <c r="P272" i="1" s="1"/>
  <c r="J272" i="1"/>
  <c r="F256" i="3" l="1"/>
  <c r="G256" i="3"/>
  <c r="H256" i="3"/>
  <c r="K256" i="3"/>
  <c r="L256" i="3"/>
  <c r="M256" i="3"/>
  <c r="L18" i="1"/>
  <c r="M18" i="1"/>
  <c r="N18" i="1"/>
  <c r="J60" i="1"/>
  <c r="J61" i="1"/>
  <c r="E61" i="1"/>
  <c r="O156" i="1"/>
  <c r="K156" i="1"/>
  <c r="J242" i="1"/>
  <c r="P61" i="1" l="1"/>
  <c r="O281" i="1"/>
  <c r="K281" i="1"/>
  <c r="H315" i="1" l="1"/>
  <c r="F315" i="1"/>
  <c r="H304" i="1"/>
  <c r="F304" i="1"/>
  <c r="F294" i="1"/>
  <c r="F269" i="1"/>
  <c r="H231" i="1"/>
  <c r="F231" i="1"/>
  <c r="H207" i="1"/>
  <c r="F207" i="1"/>
  <c r="H199" i="1"/>
  <c r="F199" i="1"/>
  <c r="H170" i="1"/>
  <c r="F170" i="1"/>
  <c r="H137" i="1"/>
  <c r="H100" i="1"/>
  <c r="F100" i="1"/>
  <c r="H97" i="1"/>
  <c r="F97" i="1"/>
  <c r="H58" i="1"/>
  <c r="F58" i="1"/>
  <c r="H40" i="1"/>
  <c r="F40" i="1"/>
  <c r="H34" i="1"/>
  <c r="F34" i="1"/>
  <c r="H33" i="1"/>
  <c r="F21" i="1"/>
  <c r="O62" i="1"/>
  <c r="K62" i="1"/>
  <c r="O288" i="1"/>
  <c r="K288" i="1"/>
  <c r="G274" i="1"/>
  <c r="F274" i="1"/>
  <c r="F203" i="1"/>
  <c r="F176" i="1"/>
  <c r="F172" i="1"/>
  <c r="O153" i="1"/>
  <c r="K153" i="1"/>
  <c r="F126" i="1"/>
  <c r="F320" i="1"/>
  <c r="F316" i="1"/>
  <c r="F288" i="1"/>
  <c r="F265" i="1"/>
  <c r="F22" i="1"/>
  <c r="H18" i="1" l="1"/>
  <c r="F177" i="1" l="1"/>
  <c r="I46" i="1"/>
  <c r="I18" i="1" s="1"/>
  <c r="F27" i="1"/>
  <c r="F26" i="1"/>
  <c r="G170" i="1"/>
  <c r="F258" i="1"/>
  <c r="F232" i="1"/>
  <c r="F309" i="1"/>
  <c r="F306" i="1"/>
  <c r="G304" i="1"/>
  <c r="G315" i="1"/>
  <c r="F173" i="1"/>
  <c r="G182" i="1"/>
  <c r="O199" i="1"/>
  <c r="K199" i="1"/>
  <c r="G199" i="1"/>
  <c r="F120" i="1"/>
  <c r="O101" i="1" l="1"/>
  <c r="K101" i="1"/>
  <c r="O100" i="1"/>
  <c r="K100" i="1"/>
  <c r="F88" i="1"/>
  <c r="G88" i="1"/>
  <c r="G87" i="1"/>
  <c r="F87" i="1"/>
  <c r="G86" i="1"/>
  <c r="F86" i="1"/>
  <c r="G85" i="1"/>
  <c r="F85" i="1"/>
  <c r="G83" i="1"/>
  <c r="F83" i="1"/>
  <c r="G82" i="1"/>
  <c r="F82" i="1"/>
  <c r="G100" i="1"/>
  <c r="G77" i="1"/>
  <c r="G97" i="1"/>
  <c r="G94" i="1"/>
  <c r="G79" i="1"/>
  <c r="F60" i="1"/>
  <c r="F54" i="1"/>
  <c r="F35" i="1"/>
  <c r="F18" i="1" s="1"/>
  <c r="O18" i="1"/>
  <c r="K18" i="1"/>
  <c r="G34" i="1"/>
  <c r="G18" i="1" s="1"/>
  <c r="G110" i="1" l="1"/>
  <c r="G111" i="1"/>
  <c r="F110" i="1"/>
  <c r="F111" i="1"/>
  <c r="E163" i="3" l="1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M224" i="1"/>
  <c r="N224" i="1"/>
  <c r="F228" i="1"/>
  <c r="G228" i="1"/>
  <c r="H228" i="1"/>
  <c r="I228" i="1"/>
  <c r="K228" i="1"/>
  <c r="L228" i="1"/>
  <c r="M228" i="1"/>
  <c r="N228" i="1"/>
  <c r="O228" i="1"/>
  <c r="J241" i="1" l="1"/>
  <c r="E241" i="1"/>
  <c r="J240" i="1"/>
  <c r="E240" i="1"/>
  <c r="P241" i="1" l="1"/>
  <c r="P240" i="1"/>
  <c r="E228" i="1"/>
  <c r="P228" i="1"/>
  <c r="J228" i="1"/>
  <c r="G269" i="1"/>
  <c r="F219" i="1" l="1"/>
  <c r="L264" i="1" l="1"/>
  <c r="I306" i="1" l="1"/>
  <c r="G231" i="1"/>
  <c r="G224" i="1" s="1"/>
  <c r="F287" i="1"/>
  <c r="O238" i="1"/>
  <c r="K238" i="1"/>
  <c r="O200" i="1"/>
  <c r="K200" i="1"/>
  <c r="O170" i="1"/>
  <c r="K170" i="1"/>
  <c r="N54" i="3" l="1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O65" i="1"/>
  <c r="N65" i="1"/>
  <c r="M65" i="1"/>
  <c r="L65" i="1"/>
  <c r="K65" i="1"/>
  <c r="I65" i="1"/>
  <c r="H65" i="1"/>
  <c r="G65" i="1"/>
  <c r="F65" i="1"/>
  <c r="O64" i="1"/>
  <c r="N64" i="1"/>
  <c r="M64" i="1"/>
  <c r="L64" i="1"/>
  <c r="K64" i="1"/>
  <c r="I64" i="1"/>
  <c r="H64" i="1"/>
  <c r="G64" i="1"/>
  <c r="F64" i="1"/>
  <c r="J88" i="1"/>
  <c r="I54" i="3" s="1"/>
  <c r="J87" i="1"/>
  <c r="I53" i="3" s="1"/>
  <c r="E88" i="1"/>
  <c r="E87" i="1"/>
  <c r="J81" i="1"/>
  <c r="I47" i="3" s="1"/>
  <c r="E81" i="1"/>
  <c r="P81" i="1" l="1"/>
  <c r="O47" i="3" s="1"/>
  <c r="P88" i="1"/>
  <c r="O54" i="3" s="1"/>
  <c r="P87" i="1"/>
  <c r="O53" i="3" s="1"/>
  <c r="D47" i="3"/>
  <c r="D53" i="3"/>
  <c r="D54" i="3"/>
  <c r="N212" i="3"/>
  <c r="N200" i="3" s="1"/>
  <c r="M212" i="3"/>
  <c r="M200" i="3" s="1"/>
  <c r="L212" i="3"/>
  <c r="L200" i="3" s="1"/>
  <c r="K212" i="3"/>
  <c r="K200" i="3" s="1"/>
  <c r="J212" i="3"/>
  <c r="J200" i="3" s="1"/>
  <c r="H212" i="3"/>
  <c r="H200" i="3" s="1"/>
  <c r="G212" i="3"/>
  <c r="G200" i="3" s="1"/>
  <c r="F212" i="3"/>
  <c r="F200" i="3" s="1"/>
  <c r="E212" i="3"/>
  <c r="E200" i="3" s="1"/>
  <c r="N211" i="3"/>
  <c r="M211" i="3"/>
  <c r="L211" i="3"/>
  <c r="K211" i="3"/>
  <c r="J211" i="3"/>
  <c r="H211" i="3"/>
  <c r="G211" i="3"/>
  <c r="F211" i="3"/>
  <c r="E211" i="3"/>
  <c r="N195" i="3"/>
  <c r="M195" i="3"/>
  <c r="L195" i="3"/>
  <c r="K195" i="3"/>
  <c r="J195" i="3"/>
  <c r="H195" i="3"/>
  <c r="G195" i="3"/>
  <c r="F195" i="3"/>
  <c r="E195" i="3"/>
  <c r="N194" i="3"/>
  <c r="M194" i="3"/>
  <c r="L194" i="3"/>
  <c r="K194" i="3"/>
  <c r="J194" i="3"/>
  <c r="H194" i="3"/>
  <c r="G194" i="3"/>
  <c r="F194" i="3"/>
  <c r="E194" i="3"/>
  <c r="O135" i="1" l="1"/>
  <c r="N135" i="1"/>
  <c r="M135" i="1"/>
  <c r="L135" i="1"/>
  <c r="K135" i="1"/>
  <c r="I135" i="1"/>
  <c r="H135" i="1"/>
  <c r="G135" i="1"/>
  <c r="N87" i="3"/>
  <c r="M87" i="3"/>
  <c r="L87" i="3"/>
  <c r="K87" i="3"/>
  <c r="J87" i="3"/>
  <c r="H87" i="3"/>
  <c r="G87" i="3"/>
  <c r="F87" i="3"/>
  <c r="E87" i="3"/>
  <c r="N181" i="3"/>
  <c r="M181" i="3"/>
  <c r="L181" i="3"/>
  <c r="K181" i="3"/>
  <c r="J181" i="3"/>
  <c r="J178" i="3" s="1"/>
  <c r="H181" i="3"/>
  <c r="G181" i="3"/>
  <c r="F181" i="3"/>
  <c r="E181" i="3"/>
  <c r="N72" i="3"/>
  <c r="N35" i="3" s="1"/>
  <c r="M72" i="3"/>
  <c r="M35" i="3" s="1"/>
  <c r="L72" i="3"/>
  <c r="L35" i="3" s="1"/>
  <c r="K72" i="3"/>
  <c r="K35" i="3" s="1"/>
  <c r="J72" i="3"/>
  <c r="J35" i="3" s="1"/>
  <c r="H72" i="3"/>
  <c r="H35" i="3" s="1"/>
  <c r="G72" i="3"/>
  <c r="G35" i="3" s="1"/>
  <c r="F72" i="3"/>
  <c r="F35" i="3" s="1"/>
  <c r="E72" i="3"/>
  <c r="E35" i="3" s="1"/>
  <c r="O229" i="1"/>
  <c r="N229" i="1"/>
  <c r="M229" i="1"/>
  <c r="L229" i="1"/>
  <c r="K229" i="1"/>
  <c r="I229" i="1"/>
  <c r="H229" i="1"/>
  <c r="G229" i="1"/>
  <c r="F229" i="1"/>
  <c r="J251" i="1"/>
  <c r="I195" i="3" s="1"/>
  <c r="J250" i="1"/>
  <c r="I194" i="3" s="1"/>
  <c r="E251" i="1"/>
  <c r="E250" i="1"/>
  <c r="D194" i="3" s="1"/>
  <c r="J256" i="1"/>
  <c r="I212" i="3" s="1"/>
  <c r="I200" i="3" s="1"/>
  <c r="E256" i="1"/>
  <c r="D212" i="3" s="1"/>
  <c r="D200" i="3" s="1"/>
  <c r="J255" i="1"/>
  <c r="I211" i="3" s="1"/>
  <c r="E255" i="1"/>
  <c r="D211" i="3" s="1"/>
  <c r="O76" i="1"/>
  <c r="N76" i="1"/>
  <c r="M76" i="1"/>
  <c r="L76" i="1"/>
  <c r="K76" i="1"/>
  <c r="I76" i="1"/>
  <c r="H76" i="1"/>
  <c r="G76" i="1"/>
  <c r="E117" i="1"/>
  <c r="D181" i="3" s="1"/>
  <c r="J117" i="1"/>
  <c r="I181" i="3" s="1"/>
  <c r="J105" i="1"/>
  <c r="I72" i="3" s="1"/>
  <c r="I35" i="3" s="1"/>
  <c r="E105" i="1"/>
  <c r="D72" i="3" s="1"/>
  <c r="D35" i="3" s="1"/>
  <c r="E229" i="1" l="1"/>
  <c r="D195" i="3"/>
  <c r="D178" i="3" s="1"/>
  <c r="D171" i="3" s="1"/>
  <c r="F178" i="3"/>
  <c r="F171" i="3" s="1"/>
  <c r="H178" i="3"/>
  <c r="H171" i="3" s="1"/>
  <c r="K178" i="3"/>
  <c r="K171" i="3" s="1"/>
  <c r="M178" i="3"/>
  <c r="M171" i="3" s="1"/>
  <c r="I178" i="3"/>
  <c r="I171" i="3" s="1"/>
  <c r="E178" i="3"/>
  <c r="E171" i="3" s="1"/>
  <c r="G178" i="3"/>
  <c r="G171" i="3" s="1"/>
  <c r="J171" i="3"/>
  <c r="L178" i="3"/>
  <c r="L171" i="3" s="1"/>
  <c r="N178" i="3"/>
  <c r="N171" i="3" s="1"/>
  <c r="P251" i="1"/>
  <c r="O195" i="3" s="1"/>
  <c r="J229" i="1"/>
  <c r="P255" i="1"/>
  <c r="O211" i="3" s="1"/>
  <c r="P256" i="1"/>
  <c r="O212" i="3" s="1"/>
  <c r="O200" i="3" s="1"/>
  <c r="P250" i="1"/>
  <c r="O194" i="3" s="1"/>
  <c r="P117" i="1"/>
  <c r="O181" i="3" s="1"/>
  <c r="P105" i="1"/>
  <c r="O72" i="3" s="1"/>
  <c r="O35" i="3" s="1"/>
  <c r="O178" i="3" l="1"/>
  <c r="O171" i="3" s="1"/>
  <c r="P229" i="1"/>
  <c r="F209" i="1"/>
  <c r="O169" i="1" l="1"/>
  <c r="N169" i="1"/>
  <c r="M169" i="1"/>
  <c r="L169" i="1"/>
  <c r="K169" i="1"/>
  <c r="I169" i="1"/>
  <c r="H169" i="1"/>
  <c r="G169" i="1"/>
  <c r="F169" i="1"/>
  <c r="O168" i="1"/>
  <c r="N168" i="1"/>
  <c r="M168" i="1"/>
  <c r="L168" i="1"/>
  <c r="K168" i="1"/>
  <c r="I168" i="1"/>
  <c r="H168" i="1"/>
  <c r="G168" i="1"/>
  <c r="F168" i="1"/>
  <c r="O167" i="1"/>
  <c r="N167" i="1"/>
  <c r="M167" i="1"/>
  <c r="L167" i="1"/>
  <c r="K167" i="1"/>
  <c r="I167" i="1"/>
  <c r="H167" i="1"/>
  <c r="G167" i="1"/>
  <c r="J125" i="1" l="1"/>
  <c r="E125" i="1"/>
  <c r="P125" i="1" l="1"/>
  <c r="N203" i="3" l="1"/>
  <c r="M203" i="3"/>
  <c r="L203" i="3"/>
  <c r="K203" i="3"/>
  <c r="J203" i="3"/>
  <c r="H203" i="3"/>
  <c r="G203" i="3"/>
  <c r="F203" i="3"/>
  <c r="E203" i="3"/>
  <c r="N254" i="3"/>
  <c r="M254" i="3"/>
  <c r="L254" i="3"/>
  <c r="K254" i="3"/>
  <c r="J254" i="3"/>
  <c r="H254" i="3"/>
  <c r="G254" i="3"/>
  <c r="F254" i="3"/>
  <c r="E254" i="3"/>
  <c r="M185" i="3"/>
  <c r="L185" i="3"/>
  <c r="K185" i="3"/>
  <c r="H185" i="3"/>
  <c r="G185" i="3"/>
  <c r="F185" i="3"/>
  <c r="E185" i="3"/>
  <c r="N164" i="1"/>
  <c r="M164" i="1"/>
  <c r="L164" i="1"/>
  <c r="I164" i="1"/>
  <c r="G164" i="1"/>
  <c r="F301" i="1" l="1"/>
  <c r="H224" i="1"/>
  <c r="H217" i="1"/>
  <c r="H164" i="1"/>
  <c r="O266" i="1"/>
  <c r="N256" i="3" s="1"/>
  <c r="K266" i="1"/>
  <c r="J256" i="3" s="1"/>
  <c r="F266" i="1"/>
  <c r="E256" i="3" s="1"/>
  <c r="J265" i="1"/>
  <c r="I254" i="3" s="1"/>
  <c r="E265" i="1"/>
  <c r="D254" i="3" s="1"/>
  <c r="N71" i="3"/>
  <c r="M71" i="3"/>
  <c r="L71" i="3"/>
  <c r="K71" i="3"/>
  <c r="J71" i="3"/>
  <c r="H71" i="3"/>
  <c r="G71" i="3"/>
  <c r="F71" i="3"/>
  <c r="E71" i="3"/>
  <c r="N68" i="3"/>
  <c r="M68" i="3"/>
  <c r="L68" i="3"/>
  <c r="K68" i="3"/>
  <c r="J68" i="3"/>
  <c r="H68" i="3"/>
  <c r="G68" i="3"/>
  <c r="F68" i="3"/>
  <c r="E68" i="3"/>
  <c r="J104" i="1"/>
  <c r="E104" i="1"/>
  <c r="D71" i="3" s="1"/>
  <c r="J101" i="1"/>
  <c r="I68" i="3" s="1"/>
  <c r="E101" i="1"/>
  <c r="D68" i="3" s="1"/>
  <c r="J46" i="1"/>
  <c r="I203" i="3" s="1"/>
  <c r="E46" i="1"/>
  <c r="D203" i="3" s="1"/>
  <c r="O74" i="1"/>
  <c r="N74" i="1"/>
  <c r="M74" i="1"/>
  <c r="L74" i="1"/>
  <c r="K74" i="1"/>
  <c r="I74" i="1"/>
  <c r="H74" i="1"/>
  <c r="G74" i="1"/>
  <c r="F74" i="1"/>
  <c r="O73" i="1"/>
  <c r="N73" i="1"/>
  <c r="M73" i="1"/>
  <c r="L73" i="1"/>
  <c r="K73" i="1"/>
  <c r="I73" i="1"/>
  <c r="H73" i="1"/>
  <c r="G73" i="1"/>
  <c r="F73" i="1"/>
  <c r="N151" i="3"/>
  <c r="N147" i="3" s="1"/>
  <c r="M151" i="3"/>
  <c r="M147" i="3" s="1"/>
  <c r="L151" i="3"/>
  <c r="L147" i="3" s="1"/>
  <c r="K151" i="3"/>
  <c r="K147" i="3" s="1"/>
  <c r="J151" i="3"/>
  <c r="J147" i="3" s="1"/>
  <c r="H151" i="3"/>
  <c r="H147" i="3" s="1"/>
  <c r="G151" i="3"/>
  <c r="G147" i="3" s="1"/>
  <c r="F151" i="3"/>
  <c r="F147" i="3" s="1"/>
  <c r="E151" i="3"/>
  <c r="E147" i="3" s="1"/>
  <c r="N135" i="3"/>
  <c r="N105" i="3" s="1"/>
  <c r="M135" i="3"/>
  <c r="M105" i="3" s="1"/>
  <c r="L135" i="3"/>
  <c r="L105" i="3" s="1"/>
  <c r="K135" i="3"/>
  <c r="K105" i="3" s="1"/>
  <c r="J135" i="3"/>
  <c r="J105" i="3" s="1"/>
  <c r="H135" i="3"/>
  <c r="H105" i="3" s="1"/>
  <c r="G135" i="3"/>
  <c r="G105" i="3" s="1"/>
  <c r="F135" i="3"/>
  <c r="F105" i="3" s="1"/>
  <c r="E135" i="3"/>
  <c r="E105" i="3" s="1"/>
  <c r="N134" i="3"/>
  <c r="M134" i="3"/>
  <c r="L134" i="3"/>
  <c r="K134" i="3"/>
  <c r="J134" i="3"/>
  <c r="H134" i="3"/>
  <c r="G134" i="3"/>
  <c r="F134" i="3"/>
  <c r="E134" i="3"/>
  <c r="N271" i="1"/>
  <c r="M271" i="1"/>
  <c r="L271" i="1"/>
  <c r="I271" i="1"/>
  <c r="H271" i="1"/>
  <c r="G271" i="1"/>
  <c r="J280" i="1"/>
  <c r="E280" i="1"/>
  <c r="O220" i="1"/>
  <c r="N185" i="3" s="1"/>
  <c r="K220" i="1"/>
  <c r="J185" i="3" s="1"/>
  <c r="P104" i="1" l="1"/>
  <c r="O71" i="3" s="1"/>
  <c r="P265" i="1"/>
  <c r="O254" i="3" s="1"/>
  <c r="P280" i="1"/>
  <c r="P46" i="1"/>
  <c r="O203" i="3" s="1"/>
  <c r="I71" i="3"/>
  <c r="P101" i="1"/>
  <c r="O68" i="3" s="1"/>
  <c r="F271" i="1"/>
  <c r="J196" i="1"/>
  <c r="E196" i="1"/>
  <c r="J195" i="1"/>
  <c r="I134" i="3" s="1"/>
  <c r="E195" i="1"/>
  <c r="J115" i="1"/>
  <c r="J76" i="1" s="1"/>
  <c r="E115" i="1"/>
  <c r="E76" i="1" s="1"/>
  <c r="N74" i="3"/>
  <c r="N34" i="3" s="1"/>
  <c r="M74" i="3"/>
  <c r="M34" i="3" s="1"/>
  <c r="L74" i="3"/>
  <c r="L34" i="3" s="1"/>
  <c r="K74" i="3"/>
  <c r="K34" i="3" s="1"/>
  <c r="J74" i="3"/>
  <c r="J34" i="3" s="1"/>
  <c r="H74" i="3"/>
  <c r="H34" i="3" s="1"/>
  <c r="G74" i="3"/>
  <c r="G34" i="3" s="1"/>
  <c r="F74" i="3"/>
  <c r="F34" i="3" s="1"/>
  <c r="E74" i="3"/>
  <c r="E34" i="3" s="1"/>
  <c r="N73" i="3"/>
  <c r="M73" i="3"/>
  <c r="L73" i="3"/>
  <c r="K73" i="3"/>
  <c r="J73" i="3"/>
  <c r="H73" i="3"/>
  <c r="G73" i="3"/>
  <c r="F73" i="3"/>
  <c r="E73" i="3"/>
  <c r="N70" i="3"/>
  <c r="N33" i="3" s="1"/>
  <c r="M70" i="3"/>
  <c r="M33" i="3" s="1"/>
  <c r="L70" i="3"/>
  <c r="L33" i="3" s="1"/>
  <c r="K70" i="3"/>
  <c r="K33" i="3" s="1"/>
  <c r="J70" i="3"/>
  <c r="J33" i="3" s="1"/>
  <c r="H70" i="3"/>
  <c r="H33" i="3" s="1"/>
  <c r="G70" i="3"/>
  <c r="G33" i="3" s="1"/>
  <c r="F70" i="3"/>
  <c r="F33" i="3" s="1"/>
  <c r="E70" i="3"/>
  <c r="E33" i="3" s="1"/>
  <c r="N69" i="3"/>
  <c r="M69" i="3"/>
  <c r="L69" i="3"/>
  <c r="K69" i="3"/>
  <c r="J69" i="3"/>
  <c r="H69" i="3"/>
  <c r="G69" i="3"/>
  <c r="F69" i="3"/>
  <c r="E69" i="3"/>
  <c r="E107" i="1"/>
  <c r="E106" i="1"/>
  <c r="D73" i="3" s="1"/>
  <c r="E103" i="1"/>
  <c r="E102" i="1"/>
  <c r="D69" i="3" s="1"/>
  <c r="J107" i="1"/>
  <c r="J106" i="1"/>
  <c r="P106" i="1" s="1"/>
  <c r="O73" i="3" s="1"/>
  <c r="J103" i="1"/>
  <c r="J102" i="1"/>
  <c r="P102" i="1" s="1"/>
  <c r="O69" i="3" s="1"/>
  <c r="D135" i="3" l="1"/>
  <c r="D105" i="3" s="1"/>
  <c r="E169" i="1"/>
  <c r="I135" i="3"/>
  <c r="I105" i="3" s="1"/>
  <c r="J169" i="1"/>
  <c r="I151" i="3"/>
  <c r="I147" i="3" s="1"/>
  <c r="P103" i="1"/>
  <c r="J74" i="1"/>
  <c r="P107" i="1"/>
  <c r="J73" i="1"/>
  <c r="D70" i="3"/>
  <c r="D33" i="3" s="1"/>
  <c r="E74" i="1"/>
  <c r="D74" i="3"/>
  <c r="D34" i="3" s="1"/>
  <c r="E73" i="1"/>
  <c r="P115" i="1"/>
  <c r="P76" i="1" s="1"/>
  <c r="D151" i="3"/>
  <c r="D147" i="3" s="1"/>
  <c r="P195" i="1"/>
  <c r="O134" i="3" s="1"/>
  <c r="D134" i="3"/>
  <c r="P196" i="1"/>
  <c r="I69" i="3"/>
  <c r="I73" i="3"/>
  <c r="I70" i="3"/>
  <c r="I33" i="3" s="1"/>
  <c r="I74" i="3"/>
  <c r="I34" i="3" s="1"/>
  <c r="O135" i="3" l="1"/>
  <c r="O105" i="3" s="1"/>
  <c r="P169" i="1"/>
  <c r="O151" i="3"/>
  <c r="O147" i="3" s="1"/>
  <c r="O74" i="3"/>
  <c r="O34" i="3" s="1"/>
  <c r="P73" i="1"/>
  <c r="O70" i="3"/>
  <c r="O33" i="3" s="1"/>
  <c r="P74" i="1"/>
  <c r="E248" i="3"/>
  <c r="E247" i="3" s="1"/>
  <c r="F248" i="3"/>
  <c r="F247" i="3" s="1"/>
  <c r="G248" i="3"/>
  <c r="G247" i="3" s="1"/>
  <c r="H248" i="3"/>
  <c r="H247" i="3" s="1"/>
  <c r="J248" i="3"/>
  <c r="J247" i="3" s="1"/>
  <c r="K248" i="3"/>
  <c r="K247" i="3" s="1"/>
  <c r="L248" i="3"/>
  <c r="L247" i="3" s="1"/>
  <c r="M248" i="3"/>
  <c r="M247" i="3" s="1"/>
  <c r="N248" i="3"/>
  <c r="N247" i="3" s="1"/>
  <c r="E251" i="3"/>
  <c r="E249" i="3" s="1"/>
  <c r="F251" i="3"/>
  <c r="F249" i="3" s="1"/>
  <c r="G251" i="3"/>
  <c r="G249" i="3" s="1"/>
  <c r="H251" i="3"/>
  <c r="H249" i="3" s="1"/>
  <c r="J251" i="3"/>
  <c r="J249" i="3" s="1"/>
  <c r="K251" i="3"/>
  <c r="K249" i="3" s="1"/>
  <c r="L251" i="3"/>
  <c r="L249" i="3" s="1"/>
  <c r="M251" i="3"/>
  <c r="M249" i="3" s="1"/>
  <c r="N251" i="3"/>
  <c r="N249" i="3" s="1"/>
  <c r="E252" i="3"/>
  <c r="E250" i="3" s="1"/>
  <c r="E246" i="3" s="1"/>
  <c r="F252" i="3"/>
  <c r="F250" i="3" s="1"/>
  <c r="F246" i="3" s="1"/>
  <c r="G252" i="3"/>
  <c r="G250" i="3" s="1"/>
  <c r="G246" i="3" s="1"/>
  <c r="H252" i="3"/>
  <c r="H250" i="3" s="1"/>
  <c r="H246" i="3" s="1"/>
  <c r="J252" i="3"/>
  <c r="J250" i="3" s="1"/>
  <c r="J246" i="3" s="1"/>
  <c r="K252" i="3"/>
  <c r="K250" i="3" s="1"/>
  <c r="K246" i="3" s="1"/>
  <c r="L252" i="3"/>
  <c r="L250" i="3" s="1"/>
  <c r="L246" i="3" s="1"/>
  <c r="M252" i="3"/>
  <c r="M250" i="3" s="1"/>
  <c r="M246" i="3" s="1"/>
  <c r="N252" i="3"/>
  <c r="N250" i="3" s="1"/>
  <c r="N246" i="3" s="1"/>
  <c r="E255" i="3"/>
  <c r="F255" i="3"/>
  <c r="G255" i="3"/>
  <c r="H255" i="3"/>
  <c r="J255" i="3"/>
  <c r="K255" i="3"/>
  <c r="L255" i="3"/>
  <c r="M255" i="3"/>
  <c r="N255" i="3"/>
  <c r="F257" i="3"/>
  <c r="G257" i="3"/>
  <c r="H257" i="3"/>
  <c r="J257" i="3"/>
  <c r="K257" i="3"/>
  <c r="L257" i="3"/>
  <c r="M257" i="3"/>
  <c r="N257" i="3"/>
  <c r="L253" i="3" l="1"/>
  <c r="G253" i="3"/>
  <c r="G245" i="3" s="1"/>
  <c r="M253" i="3"/>
  <c r="K253" i="3"/>
  <c r="K245" i="3" s="1"/>
  <c r="H253" i="3"/>
  <c r="H245" i="3" s="1"/>
  <c r="F253" i="3"/>
  <c r="F245" i="3" s="1"/>
  <c r="L245" i="3"/>
  <c r="M245" i="3"/>
  <c r="F224" i="1" l="1"/>
  <c r="L319" i="1" l="1"/>
  <c r="E257" i="3"/>
  <c r="F208" i="1"/>
  <c r="N196" i="3" l="1"/>
  <c r="M196" i="3"/>
  <c r="L196" i="3"/>
  <c r="K196" i="3"/>
  <c r="J196" i="3"/>
  <c r="H196" i="3"/>
  <c r="G196" i="3"/>
  <c r="F196" i="3"/>
  <c r="O227" i="1"/>
  <c r="N227" i="1"/>
  <c r="M227" i="1"/>
  <c r="L227" i="1"/>
  <c r="K227" i="1"/>
  <c r="I227" i="1"/>
  <c r="H227" i="1"/>
  <c r="G227" i="1"/>
  <c r="F227" i="1"/>
  <c r="F297" i="1"/>
  <c r="E196" i="3" s="1"/>
  <c r="O296" i="1"/>
  <c r="O293" i="1" s="1"/>
  <c r="K296" i="1"/>
  <c r="K293" i="1" s="1"/>
  <c r="N293" i="1"/>
  <c r="M293" i="1"/>
  <c r="I293" i="1"/>
  <c r="H293" i="1"/>
  <c r="G293" i="1"/>
  <c r="J297" i="1"/>
  <c r="O133" i="1"/>
  <c r="N133" i="1"/>
  <c r="M133" i="1"/>
  <c r="L133" i="1"/>
  <c r="K133" i="1"/>
  <c r="I133" i="1"/>
  <c r="H133" i="1"/>
  <c r="G133" i="1"/>
  <c r="F133" i="1"/>
  <c r="O75" i="1"/>
  <c r="N75" i="1"/>
  <c r="M75" i="1"/>
  <c r="L75" i="1"/>
  <c r="K75" i="1"/>
  <c r="I75" i="1"/>
  <c r="H75" i="1"/>
  <c r="G75" i="1"/>
  <c r="F75" i="1"/>
  <c r="E119" i="1"/>
  <c r="E118" i="1"/>
  <c r="J119" i="1"/>
  <c r="J118" i="1"/>
  <c r="O216" i="1"/>
  <c r="K216" i="1"/>
  <c r="O235" i="1"/>
  <c r="K235" i="1"/>
  <c r="O164" i="1"/>
  <c r="K164" i="1"/>
  <c r="O269" i="1"/>
  <c r="K269" i="1"/>
  <c r="O217" i="1"/>
  <c r="K217" i="1"/>
  <c r="E75" i="1" l="1"/>
  <c r="P119" i="1"/>
  <c r="E297" i="1"/>
  <c r="P297" i="1" s="1"/>
  <c r="P118" i="1"/>
  <c r="F293" i="1"/>
  <c r="J75" i="1"/>
  <c r="P75" i="1" l="1"/>
  <c r="N253" i="3"/>
  <c r="N245" i="3" s="1"/>
  <c r="J253" i="3"/>
  <c r="J245" i="3" s="1"/>
  <c r="F72" i="1"/>
  <c r="M19" i="3"/>
  <c r="L19" i="3"/>
  <c r="K19" i="3"/>
  <c r="H19" i="3"/>
  <c r="F19" i="3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67" i="1"/>
  <c r="N67" i="1"/>
  <c r="M67" i="1"/>
  <c r="L67" i="1"/>
  <c r="K67" i="1"/>
  <c r="I67" i="1"/>
  <c r="H67" i="1"/>
  <c r="G67" i="1"/>
  <c r="F67" i="1"/>
  <c r="J90" i="1"/>
  <c r="I56" i="3" s="1"/>
  <c r="I26" i="3" s="1"/>
  <c r="E90" i="1"/>
  <c r="D56" i="3" s="1"/>
  <c r="D26" i="3" s="1"/>
  <c r="N21" i="3"/>
  <c r="M21" i="3"/>
  <c r="L21" i="3"/>
  <c r="K21" i="3"/>
  <c r="J21" i="3"/>
  <c r="H21" i="3"/>
  <c r="G21" i="3"/>
  <c r="F21" i="3"/>
  <c r="E21" i="3"/>
  <c r="J232" i="1"/>
  <c r="E232" i="1"/>
  <c r="G19" i="3"/>
  <c r="O208" i="1"/>
  <c r="K208" i="1"/>
  <c r="O207" i="1"/>
  <c r="K207" i="1"/>
  <c r="F164" i="1"/>
  <c r="O276" i="1"/>
  <c r="K205" i="1" l="1"/>
  <c r="O271" i="1"/>
  <c r="N19" i="3"/>
  <c r="J19" i="3"/>
  <c r="K271" i="1"/>
  <c r="P232" i="1"/>
  <c r="P90" i="1"/>
  <c r="E67" i="1"/>
  <c r="J67" i="1"/>
  <c r="L298" i="1"/>
  <c r="L293" i="1" s="1"/>
  <c r="O261" i="1"/>
  <c r="L261" i="1"/>
  <c r="L224" i="1" s="1"/>
  <c r="N209" i="3"/>
  <c r="M209" i="3"/>
  <c r="L209" i="3"/>
  <c r="K209" i="3"/>
  <c r="J209" i="3"/>
  <c r="H209" i="3"/>
  <c r="G209" i="3"/>
  <c r="F209" i="3"/>
  <c r="E209" i="3"/>
  <c r="N210" i="3"/>
  <c r="N199" i="3" s="1"/>
  <c r="M210" i="3"/>
  <c r="M199" i="3" s="1"/>
  <c r="L210" i="3"/>
  <c r="L199" i="3" s="1"/>
  <c r="K210" i="3"/>
  <c r="K199" i="3" s="1"/>
  <c r="J210" i="3"/>
  <c r="J199" i="3" s="1"/>
  <c r="H210" i="3"/>
  <c r="H199" i="3" s="1"/>
  <c r="G210" i="3"/>
  <c r="G199" i="3" s="1"/>
  <c r="F210" i="3"/>
  <c r="F199" i="3" s="1"/>
  <c r="E210" i="3"/>
  <c r="E199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2" i="1"/>
  <c r="M72" i="1"/>
  <c r="L72" i="1"/>
  <c r="I72" i="1"/>
  <c r="H72" i="1"/>
  <c r="G72" i="1"/>
  <c r="J124" i="1"/>
  <c r="I252" i="3" s="1"/>
  <c r="I250" i="3" s="1"/>
  <c r="I246" i="3" s="1"/>
  <c r="J123" i="1"/>
  <c r="I251" i="3" s="1"/>
  <c r="I249" i="3" s="1"/>
  <c r="E124" i="1"/>
  <c r="E123" i="1"/>
  <c r="J93" i="1"/>
  <c r="I59" i="3" s="1"/>
  <c r="J92" i="1"/>
  <c r="I58" i="3" s="1"/>
  <c r="E93" i="1"/>
  <c r="P93" i="1" s="1"/>
  <c r="O59" i="3" s="1"/>
  <c r="E92" i="1"/>
  <c r="P92" i="1" s="1"/>
  <c r="O58" i="3" s="1"/>
  <c r="O72" i="1"/>
  <c r="K72" i="1"/>
  <c r="P123" i="1" l="1"/>
  <c r="O251" i="3" s="1"/>
  <c r="O249" i="3" s="1"/>
  <c r="P124" i="1"/>
  <c r="O252" i="3" s="1"/>
  <c r="O250" i="3" s="1"/>
  <c r="O246" i="3" s="1"/>
  <c r="D252" i="3"/>
  <c r="D250" i="3" s="1"/>
  <c r="D246" i="3" s="1"/>
  <c r="D59" i="3"/>
  <c r="O56" i="3"/>
  <c r="O26" i="3" s="1"/>
  <c r="P67" i="1"/>
  <c r="D58" i="3"/>
  <c r="D251" i="3"/>
  <c r="D249" i="3" s="1"/>
  <c r="J171" i="1" l="1"/>
  <c r="E171" i="1" l="1"/>
  <c r="P171" i="1" s="1"/>
  <c r="E19" i="3" l="1"/>
  <c r="K128" i="1"/>
  <c r="N57" i="3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1" i="1"/>
  <c r="J72" i="1" s="1"/>
  <c r="E91" i="1"/>
  <c r="E72" i="1" s="1"/>
  <c r="E253" i="3" l="1"/>
  <c r="E245" i="3" s="1"/>
  <c r="P91" i="1"/>
  <c r="P72" i="1" s="1"/>
  <c r="D57" i="3"/>
  <c r="D32" i="3" s="1"/>
  <c r="I57" i="3"/>
  <c r="I32" i="3" s="1"/>
  <c r="O245" i="1"/>
  <c r="O224" i="1" s="1"/>
  <c r="K245" i="1"/>
  <c r="K224" i="1" s="1"/>
  <c r="O57" i="3" l="1"/>
  <c r="O32" i="3" s="1"/>
  <c r="F201" i="1"/>
  <c r="F167" i="1" s="1"/>
  <c r="I224" i="1" l="1"/>
  <c r="F305" i="1"/>
  <c r="N180" i="3" l="1"/>
  <c r="M180" i="3"/>
  <c r="L180" i="3"/>
  <c r="K180" i="3"/>
  <c r="J180" i="3"/>
  <c r="H180" i="3"/>
  <c r="G180" i="3"/>
  <c r="F180" i="3"/>
  <c r="E180" i="3"/>
  <c r="K132" i="1" l="1"/>
  <c r="N55" i="3" l="1"/>
  <c r="M55" i="3"/>
  <c r="L55" i="3"/>
  <c r="K55" i="3"/>
  <c r="J55" i="3"/>
  <c r="H55" i="3"/>
  <c r="G55" i="3"/>
  <c r="F55" i="3"/>
  <c r="E55" i="3"/>
  <c r="J89" i="1"/>
  <c r="I55" i="3" s="1"/>
  <c r="E89" i="1"/>
  <c r="J291" i="1"/>
  <c r="I255" i="3" s="1"/>
  <c r="E291" i="1"/>
  <c r="D255" i="3" s="1"/>
  <c r="D55" i="3" l="1"/>
  <c r="P291" i="1"/>
  <c r="O255" i="3" s="1"/>
  <c r="P89" i="1"/>
  <c r="O55" i="3" s="1"/>
  <c r="J126" i="1"/>
  <c r="E126" i="1" l="1"/>
  <c r="N78" i="3"/>
  <c r="N31" i="3" s="1"/>
  <c r="M78" i="3"/>
  <c r="M31" i="3" s="1"/>
  <c r="L78" i="3"/>
  <c r="L31" i="3" s="1"/>
  <c r="K78" i="3"/>
  <c r="K31" i="3" s="1"/>
  <c r="J78" i="3"/>
  <c r="J31" i="3" s="1"/>
  <c r="H78" i="3"/>
  <c r="H31" i="3" s="1"/>
  <c r="G78" i="3"/>
  <c r="G31" i="3" s="1"/>
  <c r="F78" i="3"/>
  <c r="F31" i="3" s="1"/>
  <c r="E78" i="3"/>
  <c r="E31" i="3" s="1"/>
  <c r="N77" i="3"/>
  <c r="M77" i="3"/>
  <c r="L77" i="3"/>
  <c r="K77" i="3"/>
  <c r="J77" i="3"/>
  <c r="H77" i="3"/>
  <c r="G77" i="3"/>
  <c r="F77" i="3"/>
  <c r="E77" i="3"/>
  <c r="O71" i="1"/>
  <c r="N71" i="1"/>
  <c r="M71" i="1"/>
  <c r="L71" i="1"/>
  <c r="K71" i="1"/>
  <c r="I71" i="1"/>
  <c r="H71" i="1"/>
  <c r="G71" i="1"/>
  <c r="F71" i="1"/>
  <c r="J111" i="1"/>
  <c r="I78" i="3" s="1"/>
  <c r="I31" i="3" s="1"/>
  <c r="J110" i="1"/>
  <c r="I77" i="3" s="1"/>
  <c r="E111" i="1"/>
  <c r="P111" i="1" s="1"/>
  <c r="O78" i="3" s="1"/>
  <c r="O31" i="3" s="1"/>
  <c r="E110" i="1"/>
  <c r="P110" i="1" s="1"/>
  <c r="O77" i="3" s="1"/>
  <c r="D78" i="3" l="1"/>
  <c r="D31" i="3" s="1"/>
  <c r="E71" i="1"/>
  <c r="P126" i="1"/>
  <c r="D77" i="3"/>
  <c r="J71" i="1"/>
  <c r="P71" i="1"/>
  <c r="N240" i="3" l="1"/>
  <c r="M240" i="3"/>
  <c r="L240" i="3"/>
  <c r="K240" i="3"/>
  <c r="J240" i="3"/>
  <c r="H240" i="3"/>
  <c r="G240" i="3"/>
  <c r="F240" i="3"/>
  <c r="E240" i="3"/>
  <c r="M218" i="3"/>
  <c r="L218" i="3"/>
  <c r="K218" i="3"/>
  <c r="H218" i="3"/>
  <c r="G218" i="3"/>
  <c r="F218" i="3"/>
  <c r="N61" i="3"/>
  <c r="M61" i="3"/>
  <c r="L61" i="3"/>
  <c r="K61" i="3"/>
  <c r="J61" i="3"/>
  <c r="H61" i="3"/>
  <c r="G61" i="3"/>
  <c r="F61" i="3"/>
  <c r="E61" i="3"/>
  <c r="E215" i="1"/>
  <c r="J215" i="1"/>
  <c r="I61" i="3" s="1"/>
  <c r="D61" i="3" l="1"/>
  <c r="P215" i="1"/>
  <c r="O61" i="3" s="1"/>
  <c r="N228" i="3" l="1"/>
  <c r="M228" i="3"/>
  <c r="L228" i="3"/>
  <c r="K228" i="3"/>
  <c r="J228" i="3"/>
  <c r="H228" i="3"/>
  <c r="G228" i="3"/>
  <c r="F228" i="3"/>
  <c r="E228" i="3"/>
  <c r="E121" i="1"/>
  <c r="D228" i="3" s="1"/>
  <c r="J121" i="1"/>
  <c r="I228" i="3" s="1"/>
  <c r="N150" i="3"/>
  <c r="M150" i="3"/>
  <c r="L150" i="3"/>
  <c r="K150" i="3"/>
  <c r="J150" i="3"/>
  <c r="H150" i="3"/>
  <c r="G150" i="3"/>
  <c r="F150" i="3"/>
  <c r="E150" i="3"/>
  <c r="N139" i="3"/>
  <c r="M139" i="3"/>
  <c r="L139" i="3"/>
  <c r="K139" i="3"/>
  <c r="J139" i="3"/>
  <c r="H139" i="3"/>
  <c r="G139" i="3"/>
  <c r="F139" i="3"/>
  <c r="N121" i="3"/>
  <c r="M121" i="3"/>
  <c r="L121" i="3"/>
  <c r="K121" i="3"/>
  <c r="J121" i="3"/>
  <c r="H121" i="3"/>
  <c r="G121" i="3"/>
  <c r="F121" i="3"/>
  <c r="E121" i="3"/>
  <c r="N76" i="3"/>
  <c r="N29" i="3" s="1"/>
  <c r="M76" i="3"/>
  <c r="M29" i="3" s="1"/>
  <c r="L76" i="3"/>
  <c r="L29" i="3" s="1"/>
  <c r="K76" i="3"/>
  <c r="K29" i="3" s="1"/>
  <c r="J76" i="3"/>
  <c r="J29" i="3" s="1"/>
  <c r="H76" i="3"/>
  <c r="H29" i="3" s="1"/>
  <c r="G76" i="3"/>
  <c r="G29" i="3" s="1"/>
  <c r="F76" i="3"/>
  <c r="F29" i="3" s="1"/>
  <c r="E76" i="3"/>
  <c r="E29" i="3" s="1"/>
  <c r="N75" i="3"/>
  <c r="M75" i="3"/>
  <c r="L75" i="3"/>
  <c r="K75" i="3"/>
  <c r="J75" i="3"/>
  <c r="H75" i="3"/>
  <c r="G75" i="3"/>
  <c r="F75" i="3"/>
  <c r="E75" i="3"/>
  <c r="N67" i="3"/>
  <c r="M67" i="3"/>
  <c r="L67" i="3"/>
  <c r="K67" i="3"/>
  <c r="J67" i="3"/>
  <c r="H67" i="3"/>
  <c r="G67" i="3"/>
  <c r="F67" i="3"/>
  <c r="E67" i="3"/>
  <c r="B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E64" i="3"/>
  <c r="N63" i="3"/>
  <c r="M63" i="3"/>
  <c r="L63" i="3"/>
  <c r="K63" i="3"/>
  <c r="J63" i="3"/>
  <c r="H63" i="3"/>
  <c r="G63" i="3"/>
  <c r="F63" i="3"/>
  <c r="E63" i="3"/>
  <c r="N62" i="3"/>
  <c r="M62" i="3"/>
  <c r="L62" i="3"/>
  <c r="K62" i="3"/>
  <c r="J62" i="3"/>
  <c r="H62" i="3"/>
  <c r="G62" i="3"/>
  <c r="F62" i="3"/>
  <c r="E62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45" i="3"/>
  <c r="M45" i="3"/>
  <c r="L45" i="3"/>
  <c r="K45" i="3"/>
  <c r="J45" i="3"/>
  <c r="H45" i="3"/>
  <c r="G45" i="3"/>
  <c r="F45" i="3"/>
  <c r="E45" i="3"/>
  <c r="N38" i="3"/>
  <c r="M38" i="3"/>
  <c r="L38" i="3"/>
  <c r="K38" i="3"/>
  <c r="J38" i="3"/>
  <c r="H38" i="3"/>
  <c r="G38" i="3"/>
  <c r="F38" i="3"/>
  <c r="E38" i="3"/>
  <c r="N36" i="3"/>
  <c r="M36" i="3"/>
  <c r="L36" i="3"/>
  <c r="K36" i="3"/>
  <c r="J36" i="3"/>
  <c r="H36" i="3"/>
  <c r="G36" i="3"/>
  <c r="F36" i="3"/>
  <c r="E36" i="3"/>
  <c r="N25" i="3" l="1"/>
  <c r="E25" i="3"/>
  <c r="J25" i="3"/>
  <c r="G24" i="3"/>
  <c r="L24" i="3"/>
  <c r="G25" i="3"/>
  <c r="L25" i="3"/>
  <c r="F24" i="3"/>
  <c r="H24" i="3"/>
  <c r="K24" i="3"/>
  <c r="M24" i="3"/>
  <c r="F25" i="3"/>
  <c r="H25" i="3"/>
  <c r="K25" i="3"/>
  <c r="M25" i="3"/>
  <c r="J24" i="3"/>
  <c r="E24" i="3"/>
  <c r="N24" i="3"/>
  <c r="N218" i="3"/>
  <c r="P121" i="1"/>
  <c r="O228" i="3" s="1"/>
  <c r="J122" i="1"/>
  <c r="J120" i="1"/>
  <c r="J116" i="1"/>
  <c r="J114" i="1"/>
  <c r="J113" i="1"/>
  <c r="J112" i="1"/>
  <c r="E122" i="1"/>
  <c r="E120" i="1"/>
  <c r="E116" i="1"/>
  <c r="E114" i="1"/>
  <c r="E113" i="1"/>
  <c r="E112" i="1"/>
  <c r="P112" i="1" l="1"/>
  <c r="P114" i="1"/>
  <c r="P120" i="1"/>
  <c r="P116" i="1"/>
  <c r="P122" i="1"/>
  <c r="P113" i="1"/>
  <c r="O70" i="1"/>
  <c r="N70" i="1"/>
  <c r="M70" i="1"/>
  <c r="L70" i="1"/>
  <c r="K70" i="1"/>
  <c r="I70" i="1"/>
  <c r="H70" i="1"/>
  <c r="G70" i="1"/>
  <c r="F70" i="1"/>
  <c r="O68" i="1"/>
  <c r="N68" i="1"/>
  <c r="M68" i="1"/>
  <c r="L68" i="1"/>
  <c r="K68" i="1"/>
  <c r="I68" i="1"/>
  <c r="H68" i="1"/>
  <c r="G68" i="1"/>
  <c r="F68" i="1"/>
  <c r="J99" i="1"/>
  <c r="I66" i="3" s="1"/>
  <c r="E99" i="1"/>
  <c r="D66" i="3" s="1"/>
  <c r="J86" i="1"/>
  <c r="I52" i="3" s="1"/>
  <c r="E86" i="1"/>
  <c r="D52" i="3" s="1"/>
  <c r="P99" i="1" l="1"/>
  <c r="O66" i="3" s="1"/>
  <c r="P86" i="1"/>
  <c r="O52" i="3" s="1"/>
  <c r="J218" i="3" l="1"/>
  <c r="E139" i="3" l="1"/>
  <c r="D217" i="1" l="1"/>
  <c r="E218" i="3" l="1"/>
  <c r="D56" i="1" l="1"/>
  <c r="N225" i="3" l="1"/>
  <c r="M225" i="3"/>
  <c r="L225" i="3"/>
  <c r="K225" i="3"/>
  <c r="J225" i="3"/>
  <c r="H225" i="3"/>
  <c r="G225" i="3"/>
  <c r="F225" i="3"/>
  <c r="E225" i="3"/>
  <c r="N186" i="3"/>
  <c r="N189" i="3"/>
  <c r="M189" i="3"/>
  <c r="L189" i="3"/>
  <c r="K189" i="3"/>
  <c r="J189" i="3"/>
  <c r="H189" i="3"/>
  <c r="G189" i="3"/>
  <c r="F189" i="3"/>
  <c r="E189" i="3"/>
  <c r="O213" i="1"/>
  <c r="N213" i="1"/>
  <c r="M213" i="1"/>
  <c r="L213" i="1"/>
  <c r="K213" i="1"/>
  <c r="I213" i="1"/>
  <c r="H213" i="1"/>
  <c r="G213" i="1"/>
  <c r="F213" i="1"/>
  <c r="N223" i="3"/>
  <c r="M223" i="3"/>
  <c r="L223" i="3"/>
  <c r="K223" i="3"/>
  <c r="J223" i="3"/>
  <c r="H223" i="3"/>
  <c r="G223" i="3"/>
  <c r="F223" i="3"/>
  <c r="E223" i="3"/>
  <c r="O230" i="1"/>
  <c r="N230" i="1"/>
  <c r="M230" i="1"/>
  <c r="L230" i="1"/>
  <c r="K230" i="1"/>
  <c r="I230" i="1"/>
  <c r="H230" i="1"/>
  <c r="G230" i="1"/>
  <c r="F230" i="1"/>
  <c r="J296" i="1"/>
  <c r="E296" i="1"/>
  <c r="E260" i="1"/>
  <c r="D223" i="3" s="1"/>
  <c r="J260" i="1"/>
  <c r="I223" i="3" s="1"/>
  <c r="E220" i="1"/>
  <c r="D185" i="3" s="1"/>
  <c r="J220" i="1"/>
  <c r="I185" i="3" s="1"/>
  <c r="D189" i="3" l="1"/>
  <c r="I189" i="3"/>
  <c r="P220" i="1"/>
  <c r="O185" i="3" s="1"/>
  <c r="P260" i="1"/>
  <c r="E230" i="1"/>
  <c r="P296" i="1"/>
  <c r="J230" i="1"/>
  <c r="E20" i="3"/>
  <c r="F20" i="3"/>
  <c r="G20" i="3"/>
  <c r="H20" i="3"/>
  <c r="J20" i="3"/>
  <c r="K20" i="3"/>
  <c r="L20" i="3"/>
  <c r="M20" i="3"/>
  <c r="N20" i="3"/>
  <c r="O189" i="3" l="1"/>
  <c r="O223" i="3"/>
  <c r="P230" i="1"/>
  <c r="N208" i="3"/>
  <c r="M208" i="3"/>
  <c r="L208" i="3"/>
  <c r="K208" i="3"/>
  <c r="J208" i="3"/>
  <c r="H208" i="3"/>
  <c r="G208" i="3"/>
  <c r="F208" i="3"/>
  <c r="E208" i="3"/>
  <c r="J48" i="1" l="1"/>
  <c r="I208" i="3" s="1"/>
  <c r="E48" i="1"/>
  <c r="J22" i="1"/>
  <c r="I20" i="3" s="1"/>
  <c r="E22" i="1"/>
  <c r="D208" i="3" l="1"/>
  <c r="P48" i="1"/>
  <c r="O208" i="3" s="1"/>
  <c r="P22" i="1"/>
  <c r="O20" i="3" s="1"/>
  <c r="D20" i="3"/>
  <c r="F206" i="1" l="1"/>
  <c r="G206" i="1"/>
  <c r="H206" i="1"/>
  <c r="I206" i="1"/>
  <c r="K206" i="1"/>
  <c r="L206" i="1"/>
  <c r="M206" i="1"/>
  <c r="N206" i="1"/>
  <c r="O206" i="1"/>
  <c r="E88" i="3" l="1"/>
  <c r="F88" i="3"/>
  <c r="G88" i="3"/>
  <c r="H88" i="3"/>
  <c r="J88" i="3"/>
  <c r="K88" i="3"/>
  <c r="L88" i="3"/>
  <c r="M88" i="3"/>
  <c r="N88" i="3"/>
  <c r="F128" i="1" l="1"/>
  <c r="G128" i="1"/>
  <c r="H128" i="1"/>
  <c r="I128" i="1"/>
  <c r="L128" i="1"/>
  <c r="M128" i="1"/>
  <c r="N128" i="1"/>
  <c r="O128" i="1"/>
  <c r="E142" i="1"/>
  <c r="J142" i="1"/>
  <c r="I88" i="3" s="1"/>
  <c r="D142" i="1"/>
  <c r="P142" i="1" l="1"/>
  <c r="O88" i="3" s="1"/>
  <c r="D88" i="3"/>
  <c r="E207" i="3"/>
  <c r="F207" i="3"/>
  <c r="G207" i="3"/>
  <c r="H207" i="3"/>
  <c r="J207" i="3"/>
  <c r="K207" i="3"/>
  <c r="L207" i="3"/>
  <c r="M207" i="3"/>
  <c r="N207" i="3"/>
  <c r="E254" i="1"/>
  <c r="J254" i="1"/>
  <c r="F226" i="1"/>
  <c r="F324" i="1" s="1"/>
  <c r="G226" i="1"/>
  <c r="G324" i="1" s="1"/>
  <c r="H226" i="1"/>
  <c r="H324" i="1" s="1"/>
  <c r="I226" i="1"/>
  <c r="I324" i="1" s="1"/>
  <c r="K226" i="1"/>
  <c r="K324" i="1" s="1"/>
  <c r="L226" i="1"/>
  <c r="L324" i="1" s="1"/>
  <c r="M226" i="1"/>
  <c r="M324" i="1" s="1"/>
  <c r="N226" i="1"/>
  <c r="N324" i="1" s="1"/>
  <c r="O226" i="1"/>
  <c r="O324" i="1" s="1"/>
  <c r="D207" i="3" l="1"/>
  <c r="D210" i="3"/>
  <c r="D199" i="3" s="1"/>
  <c r="J226" i="1"/>
  <c r="I210" i="3"/>
  <c r="I199" i="3" s="1"/>
  <c r="E226" i="1"/>
  <c r="P254" i="1"/>
  <c r="O210" i="3" s="1"/>
  <c r="O199" i="3" s="1"/>
  <c r="I207" i="3"/>
  <c r="E211" i="1"/>
  <c r="J211" i="1"/>
  <c r="I164" i="3" s="1"/>
  <c r="L165" i="1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7" i="3"/>
  <c r="E102" i="3" s="1"/>
  <c r="F137" i="3"/>
  <c r="F102" i="3" s="1"/>
  <c r="G137" i="3"/>
  <c r="G102" i="3" s="1"/>
  <c r="H137" i="3"/>
  <c r="H102" i="3" s="1"/>
  <c r="J137" i="3"/>
  <c r="J102" i="3" s="1"/>
  <c r="K137" i="3"/>
  <c r="K102" i="3" s="1"/>
  <c r="L137" i="3"/>
  <c r="L102" i="3" s="1"/>
  <c r="M137" i="3"/>
  <c r="M102" i="3" s="1"/>
  <c r="N137" i="3"/>
  <c r="N102" i="3" s="1"/>
  <c r="E194" i="1"/>
  <c r="E193" i="1"/>
  <c r="D132" i="3" s="1"/>
  <c r="J194" i="1"/>
  <c r="J168" i="1" s="1"/>
  <c r="J193" i="1"/>
  <c r="I132" i="3" s="1"/>
  <c r="E156" i="3"/>
  <c r="F156" i="3"/>
  <c r="G156" i="3"/>
  <c r="H156" i="3"/>
  <c r="J156" i="3"/>
  <c r="K156" i="3"/>
  <c r="L156" i="3"/>
  <c r="M156" i="3"/>
  <c r="N156" i="3"/>
  <c r="J197" i="1"/>
  <c r="I136" i="3" s="1"/>
  <c r="J198" i="1"/>
  <c r="J166" i="1" s="1"/>
  <c r="E197" i="1"/>
  <c r="D136" i="3" s="1"/>
  <c r="E198" i="1"/>
  <c r="F166" i="1"/>
  <c r="G166" i="1"/>
  <c r="H166" i="1"/>
  <c r="I166" i="1"/>
  <c r="K166" i="1"/>
  <c r="L166" i="1"/>
  <c r="M166" i="1"/>
  <c r="N166" i="1"/>
  <c r="O166" i="1"/>
  <c r="F165" i="1"/>
  <c r="G165" i="1"/>
  <c r="H165" i="1"/>
  <c r="I165" i="1"/>
  <c r="K165" i="1"/>
  <c r="M165" i="1"/>
  <c r="N165" i="1"/>
  <c r="O165" i="1"/>
  <c r="D165" i="1"/>
  <c r="D198" i="1"/>
  <c r="D166" i="1"/>
  <c r="D197" i="1"/>
  <c r="J23" i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I21" i="3" l="1"/>
  <c r="E206" i="1"/>
  <c r="D164" i="3"/>
  <c r="D156" i="3" s="1"/>
  <c r="D133" i="3"/>
  <c r="D104" i="3" s="1"/>
  <c r="E168" i="1"/>
  <c r="N101" i="3"/>
  <c r="N104" i="3"/>
  <c r="L101" i="3"/>
  <c r="L104" i="3"/>
  <c r="J101" i="3"/>
  <c r="J104" i="3"/>
  <c r="G101" i="3"/>
  <c r="G104" i="3"/>
  <c r="E101" i="3"/>
  <c r="E104" i="3"/>
  <c r="M101" i="3"/>
  <c r="M104" i="3"/>
  <c r="K101" i="3"/>
  <c r="K104" i="3"/>
  <c r="H101" i="3"/>
  <c r="H104" i="3"/>
  <c r="F101" i="3"/>
  <c r="F104" i="3"/>
  <c r="P226" i="1"/>
  <c r="O207" i="3"/>
  <c r="P211" i="1"/>
  <c r="J206" i="1"/>
  <c r="P194" i="1"/>
  <c r="I156" i="3"/>
  <c r="D137" i="3"/>
  <c r="D102" i="3" s="1"/>
  <c r="I133" i="3"/>
  <c r="J165" i="1"/>
  <c r="I137" i="3"/>
  <c r="I102" i="3" s="1"/>
  <c r="P193" i="1"/>
  <c r="P197" i="1"/>
  <c r="O136" i="3" s="1"/>
  <c r="E165" i="1"/>
  <c r="P198" i="1"/>
  <c r="E166" i="1"/>
  <c r="P25" i="1"/>
  <c r="P20" i="1" s="1"/>
  <c r="E20" i="1"/>
  <c r="P206" i="1" l="1"/>
  <c r="O164" i="3"/>
  <c r="D101" i="3"/>
  <c r="O133" i="3"/>
  <c r="O104" i="3" s="1"/>
  <c r="P168" i="1"/>
  <c r="I101" i="3"/>
  <c r="I104" i="3"/>
  <c r="O101" i="3"/>
  <c r="P165" i="1"/>
  <c r="O132" i="3"/>
  <c r="P166" i="1"/>
  <c r="O137" i="3"/>
  <c r="O102" i="3" s="1"/>
  <c r="O23" i="3"/>
  <c r="O18" i="3" s="1"/>
  <c r="O156" i="3" l="1"/>
  <c r="O205" i="1"/>
  <c r="N205" i="1"/>
  <c r="M205" i="1"/>
  <c r="L205" i="1"/>
  <c r="I205" i="1"/>
  <c r="H205" i="1"/>
  <c r="J210" i="1"/>
  <c r="I163" i="3" s="1"/>
  <c r="E210" i="1"/>
  <c r="D163" i="3" s="1"/>
  <c r="E289" i="1"/>
  <c r="E287" i="1"/>
  <c r="D196" i="3" s="1"/>
  <c r="N22" i="3"/>
  <c r="M22" i="3"/>
  <c r="L22" i="3"/>
  <c r="K22" i="3"/>
  <c r="J22" i="3"/>
  <c r="H22" i="3"/>
  <c r="G22" i="3"/>
  <c r="F22" i="3"/>
  <c r="E22" i="3"/>
  <c r="I22" i="3"/>
  <c r="E24" i="1"/>
  <c r="P210" i="1" l="1"/>
  <c r="O163" i="3" s="1"/>
  <c r="P24" i="1"/>
  <c r="D22" i="3"/>
  <c r="J162" i="1"/>
  <c r="E162" i="1"/>
  <c r="O22" i="3" l="1"/>
  <c r="P162" i="1"/>
  <c r="J287" i="1" l="1"/>
  <c r="I196" i="3" s="1"/>
  <c r="P287" i="1" l="1"/>
  <c r="O196" i="3" s="1"/>
  <c r="N69" i="1" l="1"/>
  <c r="M69" i="1"/>
  <c r="L69" i="1"/>
  <c r="I69" i="1"/>
  <c r="H69" i="1"/>
  <c r="G69" i="1"/>
  <c r="J96" i="1"/>
  <c r="I63" i="3" s="1"/>
  <c r="E96" i="1"/>
  <c r="D63" i="3" s="1"/>
  <c r="P96" i="1" l="1"/>
  <c r="O63" i="3" s="1"/>
  <c r="J312" i="1"/>
  <c r="M214" i="3" l="1"/>
  <c r="M213" i="3" s="1"/>
  <c r="L214" i="3"/>
  <c r="L213" i="3" s="1"/>
  <c r="K214" i="3"/>
  <c r="K213" i="3" s="1"/>
  <c r="H214" i="3"/>
  <c r="H213" i="3" s="1"/>
  <c r="G214" i="3"/>
  <c r="G213" i="3" s="1"/>
  <c r="F214" i="3"/>
  <c r="F213" i="3" s="1"/>
  <c r="J257" i="1" l="1"/>
  <c r="E257" i="1"/>
  <c r="P257" i="1" l="1"/>
  <c r="N188" i="3" l="1"/>
  <c r="M188" i="3"/>
  <c r="L188" i="3"/>
  <c r="K188" i="3"/>
  <c r="J188" i="3"/>
  <c r="H188" i="3"/>
  <c r="G188" i="3"/>
  <c r="F188" i="3"/>
  <c r="E188" i="3"/>
  <c r="J283" i="1"/>
  <c r="E283" i="1"/>
  <c r="E281" i="1"/>
  <c r="O311" i="1"/>
  <c r="O310" i="1" s="1"/>
  <c r="N311" i="1"/>
  <c r="N310" i="1" s="1"/>
  <c r="M311" i="1"/>
  <c r="M310" i="1" s="1"/>
  <c r="L311" i="1"/>
  <c r="L310" i="1" s="1"/>
  <c r="K311" i="1"/>
  <c r="K310" i="1" s="1"/>
  <c r="J311" i="1"/>
  <c r="J310" i="1" s="1"/>
  <c r="I311" i="1"/>
  <c r="I310" i="1" s="1"/>
  <c r="H311" i="1"/>
  <c r="H310" i="1" s="1"/>
  <c r="G311" i="1"/>
  <c r="G310" i="1" s="1"/>
  <c r="F311" i="1"/>
  <c r="F310" i="1" s="1"/>
  <c r="E312" i="1"/>
  <c r="P312" i="1" s="1"/>
  <c r="P311" i="1" s="1"/>
  <c r="P310" i="1" s="1"/>
  <c r="N214" i="3"/>
  <c r="N213" i="3" s="1"/>
  <c r="J214" i="3"/>
  <c r="J213" i="3" s="1"/>
  <c r="E311" i="1" l="1"/>
  <c r="E310" i="1" s="1"/>
  <c r="P283" i="1"/>
  <c r="O69" i="1"/>
  <c r="K69" i="1"/>
  <c r="F69" i="1"/>
  <c r="O130" i="1" l="1"/>
  <c r="N130" i="1"/>
  <c r="M130" i="1"/>
  <c r="L130" i="1"/>
  <c r="K130" i="1"/>
  <c r="I130" i="1"/>
  <c r="H130" i="1"/>
  <c r="G130" i="1"/>
  <c r="F130" i="1"/>
  <c r="J157" i="1"/>
  <c r="J158" i="1"/>
  <c r="E157" i="1"/>
  <c r="E158" i="1"/>
  <c r="J133" i="1" l="1"/>
  <c r="E130" i="1"/>
  <c r="E133" i="1"/>
  <c r="P158" i="1"/>
  <c r="P157" i="1"/>
  <c r="J130" i="1"/>
  <c r="P130" i="1" l="1"/>
  <c r="P133" i="1"/>
  <c r="D245" i="1"/>
  <c r="N219" i="3" l="1"/>
  <c r="M219" i="3"/>
  <c r="L219" i="3"/>
  <c r="K219" i="3"/>
  <c r="J219" i="3"/>
  <c r="H219" i="3"/>
  <c r="G219" i="3"/>
  <c r="F219" i="3"/>
  <c r="E219" i="3"/>
  <c r="F216" i="3" l="1"/>
  <c r="F172" i="3" s="1"/>
  <c r="F261" i="3" s="1"/>
  <c r="H216" i="3"/>
  <c r="H172" i="3" s="1"/>
  <c r="H261" i="3" s="1"/>
  <c r="K216" i="3"/>
  <c r="K172" i="3" s="1"/>
  <c r="K261" i="3" s="1"/>
  <c r="M216" i="3"/>
  <c r="M172" i="3" s="1"/>
  <c r="M261" i="3" s="1"/>
  <c r="E216" i="3"/>
  <c r="E172" i="3" s="1"/>
  <c r="E261" i="3" s="1"/>
  <c r="G216" i="3"/>
  <c r="G172" i="3" s="1"/>
  <c r="G261" i="3" s="1"/>
  <c r="L216" i="3"/>
  <c r="L172" i="3" s="1"/>
  <c r="L261" i="3" s="1"/>
  <c r="N216" i="3"/>
  <c r="N172" i="3" s="1"/>
  <c r="N261" i="3" s="1"/>
  <c r="J216" i="3"/>
  <c r="J172" i="3" s="1"/>
  <c r="J261" i="3" s="1"/>
  <c r="O136" i="1"/>
  <c r="N136" i="1"/>
  <c r="M136" i="1"/>
  <c r="L136" i="1"/>
  <c r="K136" i="1"/>
  <c r="I136" i="1"/>
  <c r="H136" i="1"/>
  <c r="G136" i="1"/>
  <c r="F136" i="1"/>
  <c r="O273" i="1"/>
  <c r="N273" i="1"/>
  <c r="M273" i="1"/>
  <c r="L273" i="1"/>
  <c r="K273" i="1"/>
  <c r="I273" i="1"/>
  <c r="H273" i="1"/>
  <c r="G273" i="1"/>
  <c r="F273" i="1"/>
  <c r="E273" i="1"/>
  <c r="F326" i="1" l="1"/>
  <c r="H326" i="1"/>
  <c r="K326" i="1"/>
  <c r="M326" i="1"/>
  <c r="O326" i="1"/>
  <c r="G326" i="1"/>
  <c r="I326" i="1"/>
  <c r="L326" i="1"/>
  <c r="N326" i="1"/>
  <c r="E214" i="3" l="1"/>
  <c r="E213" i="3" s="1"/>
  <c r="M186" i="3" l="1"/>
  <c r="L186" i="3"/>
  <c r="K186" i="3"/>
  <c r="H186" i="3"/>
  <c r="G186" i="3"/>
  <c r="F186" i="3"/>
  <c r="E186" i="3"/>
  <c r="N184" i="3" l="1"/>
  <c r="M184" i="3"/>
  <c r="L184" i="3"/>
  <c r="K184" i="3"/>
  <c r="J184" i="3"/>
  <c r="H184" i="3"/>
  <c r="G184" i="3"/>
  <c r="F184" i="3"/>
  <c r="E184" i="3"/>
  <c r="M182" i="3"/>
  <c r="L182" i="3"/>
  <c r="K182" i="3"/>
  <c r="H182" i="3"/>
  <c r="G182" i="3"/>
  <c r="F182" i="3"/>
  <c r="E182" i="3"/>
  <c r="M187" i="3"/>
  <c r="L187" i="3"/>
  <c r="K187" i="3"/>
  <c r="H187" i="3"/>
  <c r="G187" i="3"/>
  <c r="F187" i="3"/>
  <c r="E187" i="3"/>
  <c r="J202" i="1" l="1"/>
  <c r="E202" i="1"/>
  <c r="D184" i="3" s="1"/>
  <c r="J154" i="1"/>
  <c r="E154" i="1"/>
  <c r="E43" i="1"/>
  <c r="E42" i="1"/>
  <c r="D186" i="3" s="1"/>
  <c r="J43" i="1"/>
  <c r="P43" i="1" s="1"/>
  <c r="J42" i="1"/>
  <c r="P42" i="1" l="1"/>
  <c r="P154" i="1"/>
  <c r="P202" i="1"/>
  <c r="O184" i="3" s="1"/>
  <c r="I184" i="3"/>
  <c r="N187" i="3"/>
  <c r="J187" i="3"/>
  <c r="E160" i="1" l="1"/>
  <c r="J160" i="1"/>
  <c r="J136" i="1" l="1"/>
  <c r="D219" i="3"/>
  <c r="E136" i="1"/>
  <c r="E326" i="1" s="1"/>
  <c r="P160" i="1"/>
  <c r="J289" i="1"/>
  <c r="J273" i="1" s="1"/>
  <c r="J326" i="1" l="1"/>
  <c r="D216" i="3"/>
  <c r="I219" i="3"/>
  <c r="P136" i="1"/>
  <c r="P289" i="1"/>
  <c r="P273" i="1" s="1"/>
  <c r="N206" i="3"/>
  <c r="M206" i="3"/>
  <c r="L206" i="3"/>
  <c r="K206" i="3"/>
  <c r="J206" i="3"/>
  <c r="H206" i="3"/>
  <c r="G206" i="3"/>
  <c r="F206" i="3"/>
  <c r="E206" i="3"/>
  <c r="N140" i="3"/>
  <c r="M140" i="3"/>
  <c r="L140" i="3"/>
  <c r="K140" i="3"/>
  <c r="J140" i="3"/>
  <c r="H140" i="3"/>
  <c r="G140" i="3"/>
  <c r="F140" i="3"/>
  <c r="N126" i="3"/>
  <c r="M126" i="3"/>
  <c r="L126" i="3"/>
  <c r="K126" i="3"/>
  <c r="J126" i="3"/>
  <c r="H126" i="3"/>
  <c r="G126" i="3"/>
  <c r="F126" i="3"/>
  <c r="E126" i="3"/>
  <c r="N124" i="3"/>
  <c r="M124" i="3"/>
  <c r="L124" i="3"/>
  <c r="K124" i="3"/>
  <c r="J124" i="3"/>
  <c r="H124" i="3"/>
  <c r="G124" i="3"/>
  <c r="F124" i="3"/>
  <c r="E124" i="3"/>
  <c r="N115" i="3"/>
  <c r="M115" i="3"/>
  <c r="L115" i="3"/>
  <c r="K115" i="3"/>
  <c r="J115" i="3"/>
  <c r="H115" i="3"/>
  <c r="G115" i="3"/>
  <c r="F115" i="3"/>
  <c r="E115" i="3"/>
  <c r="N113" i="3"/>
  <c r="M113" i="3"/>
  <c r="L113" i="3"/>
  <c r="K113" i="3"/>
  <c r="J113" i="3"/>
  <c r="H113" i="3"/>
  <c r="G113" i="3"/>
  <c r="F113" i="3"/>
  <c r="E113" i="3"/>
  <c r="N109" i="3"/>
  <c r="M109" i="3"/>
  <c r="L109" i="3"/>
  <c r="K109" i="3"/>
  <c r="J109" i="3"/>
  <c r="H109" i="3"/>
  <c r="G109" i="3"/>
  <c r="F109" i="3"/>
  <c r="N97" i="3"/>
  <c r="M97" i="3"/>
  <c r="L97" i="3"/>
  <c r="K97" i="3"/>
  <c r="J97" i="3"/>
  <c r="H97" i="3"/>
  <c r="G97" i="3"/>
  <c r="F97" i="3"/>
  <c r="E97" i="3"/>
  <c r="N96" i="3"/>
  <c r="M96" i="3"/>
  <c r="L96" i="3"/>
  <c r="K96" i="3"/>
  <c r="J96" i="3"/>
  <c r="H96" i="3"/>
  <c r="G96" i="3"/>
  <c r="F96" i="3"/>
  <c r="E96" i="3"/>
  <c r="N94" i="3"/>
  <c r="M94" i="3"/>
  <c r="L94" i="3"/>
  <c r="K94" i="3"/>
  <c r="J94" i="3"/>
  <c r="H94" i="3"/>
  <c r="G94" i="3"/>
  <c r="F94" i="3"/>
  <c r="E94" i="3"/>
  <c r="N92" i="3"/>
  <c r="M92" i="3"/>
  <c r="L92" i="3"/>
  <c r="K92" i="3"/>
  <c r="J92" i="3"/>
  <c r="H92" i="3"/>
  <c r="G92" i="3"/>
  <c r="F92" i="3"/>
  <c r="E92" i="3"/>
  <c r="N90" i="3"/>
  <c r="M90" i="3"/>
  <c r="L90" i="3"/>
  <c r="K90" i="3"/>
  <c r="J90" i="3"/>
  <c r="I90" i="3"/>
  <c r="H90" i="3"/>
  <c r="G90" i="3"/>
  <c r="F90" i="3"/>
  <c r="E90" i="3"/>
  <c r="N86" i="3"/>
  <c r="M86" i="3"/>
  <c r="L86" i="3"/>
  <c r="K86" i="3"/>
  <c r="J86" i="3"/>
  <c r="H86" i="3"/>
  <c r="G86" i="3"/>
  <c r="F86" i="3"/>
  <c r="N85" i="3"/>
  <c r="M85" i="3"/>
  <c r="L85" i="3"/>
  <c r="K85" i="3"/>
  <c r="J85" i="3"/>
  <c r="H85" i="3"/>
  <c r="G85" i="3"/>
  <c r="F85" i="3"/>
  <c r="E85" i="3"/>
  <c r="J69" i="1"/>
  <c r="E69" i="1"/>
  <c r="O129" i="1"/>
  <c r="N129" i="1"/>
  <c r="M129" i="1"/>
  <c r="L129" i="1"/>
  <c r="K129" i="1"/>
  <c r="I129" i="1"/>
  <c r="H129" i="1"/>
  <c r="G129" i="1"/>
  <c r="F129" i="1"/>
  <c r="F103" i="3" l="1"/>
  <c r="H103" i="3"/>
  <c r="K103" i="3"/>
  <c r="M103" i="3"/>
  <c r="G103" i="3"/>
  <c r="J103" i="3"/>
  <c r="L103" i="3"/>
  <c r="N103" i="3"/>
  <c r="D172" i="3"/>
  <c r="D261" i="3" s="1"/>
  <c r="P326" i="1"/>
  <c r="I216" i="3"/>
  <c r="I172" i="3" s="1"/>
  <c r="I261" i="3" s="1"/>
  <c r="O219" i="3"/>
  <c r="P69" i="1"/>
  <c r="O216" i="3" l="1"/>
  <c r="O172" i="3" s="1"/>
  <c r="O261" i="3" s="1"/>
  <c r="O225" i="1"/>
  <c r="N225" i="1"/>
  <c r="M225" i="1"/>
  <c r="L225" i="1"/>
  <c r="K225" i="1"/>
  <c r="I225" i="1"/>
  <c r="H225" i="1"/>
  <c r="G225" i="1"/>
  <c r="F225" i="1"/>
  <c r="O131" i="1" l="1"/>
  <c r="N131" i="1"/>
  <c r="M131" i="1"/>
  <c r="L131" i="1"/>
  <c r="K131" i="1"/>
  <c r="I131" i="1"/>
  <c r="H131" i="1"/>
  <c r="G131" i="1"/>
  <c r="O132" i="1" l="1"/>
  <c r="N132" i="1"/>
  <c r="M132" i="1"/>
  <c r="L132" i="1"/>
  <c r="I132" i="1"/>
  <c r="H132" i="1"/>
  <c r="G132" i="1"/>
  <c r="J141" i="1"/>
  <c r="E141" i="1"/>
  <c r="J140" i="1"/>
  <c r="I86" i="3" s="1"/>
  <c r="J139" i="1"/>
  <c r="I85" i="3" s="1"/>
  <c r="E139" i="1"/>
  <c r="D85" i="3" s="1"/>
  <c r="J146" i="1"/>
  <c r="I92" i="3" s="1"/>
  <c r="E146" i="1"/>
  <c r="D92" i="3" s="1"/>
  <c r="E144" i="1"/>
  <c r="E135" i="1" l="1"/>
  <c r="D87" i="3"/>
  <c r="D83" i="3" s="1"/>
  <c r="J135" i="1"/>
  <c r="I87" i="3"/>
  <c r="F131" i="1"/>
  <c r="E86" i="3"/>
  <c r="P144" i="1"/>
  <c r="O90" i="3" s="1"/>
  <c r="D90" i="3"/>
  <c r="E129" i="1"/>
  <c r="J129" i="1"/>
  <c r="E140" i="1"/>
  <c r="P146" i="1"/>
  <c r="O92" i="3" s="1"/>
  <c r="P139" i="1"/>
  <c r="O85" i="3" s="1"/>
  <c r="P141" i="1"/>
  <c r="P135" i="1" l="1"/>
  <c r="O87" i="3"/>
  <c r="P140" i="1"/>
  <c r="O86" i="3" s="1"/>
  <c r="D86" i="3"/>
  <c r="P129" i="1"/>
  <c r="N198" i="3"/>
  <c r="N169" i="3" s="1"/>
  <c r="M198" i="3"/>
  <c r="M169" i="3" s="1"/>
  <c r="L198" i="3"/>
  <c r="L169" i="3" s="1"/>
  <c r="K198" i="3"/>
  <c r="K169" i="3" s="1"/>
  <c r="J198" i="3"/>
  <c r="J169" i="3" s="1"/>
  <c r="H198" i="3"/>
  <c r="H169" i="3" s="1"/>
  <c r="G198" i="3"/>
  <c r="G169" i="3" s="1"/>
  <c r="F198" i="3"/>
  <c r="F169" i="3" s="1"/>
  <c r="E198" i="3"/>
  <c r="E169" i="3" s="1"/>
  <c r="N176" i="3"/>
  <c r="N259" i="3" s="1"/>
  <c r="M176" i="3"/>
  <c r="M259" i="3" s="1"/>
  <c r="L176" i="3"/>
  <c r="L259" i="3" s="1"/>
  <c r="K176" i="3"/>
  <c r="K259" i="3" s="1"/>
  <c r="J176" i="3"/>
  <c r="J259" i="3" s="1"/>
  <c r="H176" i="3"/>
  <c r="H259" i="3" s="1"/>
  <c r="G176" i="3"/>
  <c r="G259" i="3" s="1"/>
  <c r="F176" i="3"/>
  <c r="F259" i="3" s="1"/>
  <c r="E176" i="3"/>
  <c r="E259" i="3" s="1"/>
  <c r="N82" i="3"/>
  <c r="M82" i="3"/>
  <c r="L82" i="3"/>
  <c r="K82" i="3"/>
  <c r="J82" i="3"/>
  <c r="H82" i="3"/>
  <c r="G82" i="3"/>
  <c r="F82" i="3"/>
  <c r="E82" i="3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H80" i="3"/>
  <c r="G80" i="3"/>
  <c r="F80" i="3"/>
  <c r="E80" i="3"/>
  <c r="F168" i="3" l="1"/>
  <c r="H168" i="3"/>
  <c r="K168" i="3"/>
  <c r="M168" i="3"/>
  <c r="E168" i="3"/>
  <c r="G168" i="3"/>
  <c r="J168" i="3"/>
  <c r="L168" i="3"/>
  <c r="N168" i="3"/>
  <c r="K80" i="3"/>
  <c r="M80" i="3"/>
  <c r="J80" i="3"/>
  <c r="L80" i="3"/>
  <c r="N80" i="3"/>
  <c r="J253" i="1"/>
  <c r="E253" i="1"/>
  <c r="D206" i="3" s="1"/>
  <c r="J249" i="1"/>
  <c r="I193" i="3" s="1"/>
  <c r="E249" i="1"/>
  <c r="D193" i="3" s="1"/>
  <c r="J201" i="1"/>
  <c r="I140" i="3" s="1"/>
  <c r="J187" i="1"/>
  <c r="I126" i="3" s="1"/>
  <c r="E187" i="1"/>
  <c r="D126" i="3" s="1"/>
  <c r="J185" i="1"/>
  <c r="I124" i="3" s="1"/>
  <c r="E185" i="1"/>
  <c r="D124" i="3" s="1"/>
  <c r="J181" i="1"/>
  <c r="I115" i="3" s="1"/>
  <c r="E181" i="1"/>
  <c r="D115" i="3" s="1"/>
  <c r="J179" i="1"/>
  <c r="I113" i="3" s="1"/>
  <c r="E179" i="1"/>
  <c r="D113" i="3" s="1"/>
  <c r="J175" i="1"/>
  <c r="J151" i="1"/>
  <c r="I97" i="3" s="1"/>
  <c r="E151" i="1"/>
  <c r="J150" i="1"/>
  <c r="E150" i="1"/>
  <c r="J148" i="1"/>
  <c r="I94" i="3" s="1"/>
  <c r="E148" i="1"/>
  <c r="J109" i="1"/>
  <c r="E109" i="1"/>
  <c r="J95" i="1"/>
  <c r="I62" i="3" s="1"/>
  <c r="E95" i="1"/>
  <c r="D62" i="3" s="1"/>
  <c r="J84" i="1"/>
  <c r="I50" i="3" s="1"/>
  <c r="I27" i="3" s="1"/>
  <c r="E84" i="1"/>
  <c r="D50" i="3" s="1"/>
  <c r="D27" i="3" s="1"/>
  <c r="J83" i="1"/>
  <c r="E83" i="1"/>
  <c r="J80" i="1"/>
  <c r="I45" i="3" s="1"/>
  <c r="I49" i="3" l="1"/>
  <c r="I25" i="3" s="1"/>
  <c r="J65" i="1"/>
  <c r="D49" i="3"/>
  <c r="D25" i="3" s="1"/>
  <c r="E65" i="1"/>
  <c r="J167" i="1"/>
  <c r="J227" i="1"/>
  <c r="E227" i="1"/>
  <c r="D176" i="3"/>
  <c r="D97" i="3"/>
  <c r="E132" i="1"/>
  <c r="D94" i="3"/>
  <c r="J70" i="1"/>
  <c r="I76" i="3"/>
  <c r="I29" i="3" s="1"/>
  <c r="E70" i="1"/>
  <c r="D76" i="3"/>
  <c r="D29" i="3" s="1"/>
  <c r="J68" i="1"/>
  <c r="E68" i="1"/>
  <c r="E175" i="1"/>
  <c r="E109" i="3"/>
  <c r="E201" i="1"/>
  <c r="E140" i="3"/>
  <c r="I109" i="3"/>
  <c r="I103" i="3" s="1"/>
  <c r="J225" i="1"/>
  <c r="I206" i="3"/>
  <c r="E131" i="1"/>
  <c r="D96" i="3"/>
  <c r="J131" i="1"/>
  <c r="I96" i="3"/>
  <c r="P253" i="1"/>
  <c r="E225" i="1"/>
  <c r="P249" i="1"/>
  <c r="O193" i="3" s="1"/>
  <c r="J132" i="1"/>
  <c r="E80" i="1"/>
  <c r="P179" i="1"/>
  <c r="O113" i="3" s="1"/>
  <c r="P181" i="1"/>
  <c r="O115" i="3" s="1"/>
  <c r="P185" i="1"/>
  <c r="O124" i="3" s="1"/>
  <c r="P187" i="1"/>
  <c r="O126" i="3" s="1"/>
  <c r="P148" i="1"/>
  <c r="O94" i="3" s="1"/>
  <c r="P150" i="1"/>
  <c r="P151" i="1"/>
  <c r="O97" i="3" s="1"/>
  <c r="P83" i="1"/>
  <c r="P84" i="1"/>
  <c r="O50" i="3" s="1"/>
  <c r="O27" i="3" s="1"/>
  <c r="P95" i="1"/>
  <c r="O62" i="3" s="1"/>
  <c r="P109" i="1"/>
  <c r="E324" i="1" l="1"/>
  <c r="J324" i="1"/>
  <c r="D82" i="3"/>
  <c r="D259" i="3"/>
  <c r="O49" i="3"/>
  <c r="O25" i="3" s="1"/>
  <c r="P65" i="1"/>
  <c r="E167" i="1"/>
  <c r="E103" i="3"/>
  <c r="D109" i="3"/>
  <c r="P227" i="1"/>
  <c r="P201" i="1"/>
  <c r="O140" i="3" s="1"/>
  <c r="P70" i="1"/>
  <c r="O76" i="3"/>
  <c r="O29" i="3" s="1"/>
  <c r="D45" i="3"/>
  <c r="P68" i="1"/>
  <c r="D140" i="3"/>
  <c r="P175" i="1"/>
  <c r="P225" i="1"/>
  <c r="O206" i="3"/>
  <c r="P131" i="1"/>
  <c r="O96" i="3"/>
  <c r="P80" i="1"/>
  <c r="P132" i="1"/>
  <c r="P324" i="1" l="1"/>
  <c r="P167" i="1"/>
  <c r="D103" i="3"/>
  <c r="O109" i="3"/>
  <c r="O103" i="3" s="1"/>
  <c r="O45" i="3"/>
  <c r="C232" i="3"/>
  <c r="N235" i="3"/>
  <c r="M235" i="3"/>
  <c r="L235" i="3"/>
  <c r="K235" i="3"/>
  <c r="J235" i="3"/>
  <c r="H235" i="3"/>
  <c r="G235" i="3"/>
  <c r="F235" i="3"/>
  <c r="E235" i="3"/>
  <c r="E232" i="3" s="1"/>
  <c r="E230" i="3" s="1"/>
  <c r="D57" i="1"/>
  <c r="O19" i="1"/>
  <c r="O325" i="1" s="1"/>
  <c r="N19" i="1"/>
  <c r="N325" i="1" s="1"/>
  <c r="M19" i="1"/>
  <c r="M325" i="1" s="1"/>
  <c r="L19" i="1"/>
  <c r="L325" i="1" s="1"/>
  <c r="K19" i="1"/>
  <c r="K325" i="1" s="1"/>
  <c r="I19" i="1"/>
  <c r="I325" i="1" s="1"/>
  <c r="H19" i="1"/>
  <c r="H325" i="1" s="1"/>
  <c r="G19" i="1"/>
  <c r="G325" i="1" s="1"/>
  <c r="F19" i="1"/>
  <c r="F325" i="1" s="1"/>
  <c r="J57" i="1"/>
  <c r="J19" i="1" s="1"/>
  <c r="J325" i="1" s="1"/>
  <c r="E57" i="1"/>
  <c r="E19" i="1" s="1"/>
  <c r="E325" i="1" s="1"/>
  <c r="G260" i="3" l="1"/>
  <c r="J260" i="3"/>
  <c r="L260" i="3"/>
  <c r="N260" i="3"/>
  <c r="E260" i="3"/>
  <c r="F260" i="3"/>
  <c r="H260" i="3"/>
  <c r="K260" i="3"/>
  <c r="M260" i="3"/>
  <c r="F232" i="3"/>
  <c r="F230" i="3" s="1"/>
  <c r="K232" i="3"/>
  <c r="K230" i="3" s="1"/>
  <c r="M232" i="3"/>
  <c r="M230" i="3" s="1"/>
  <c r="H232" i="3"/>
  <c r="H230" i="3" s="1"/>
  <c r="G232" i="3"/>
  <c r="G230" i="3" s="1"/>
  <c r="J232" i="3"/>
  <c r="J230" i="3" s="1"/>
  <c r="L232" i="3"/>
  <c r="L230" i="3" s="1"/>
  <c r="N232" i="3"/>
  <c r="N230" i="3" s="1"/>
  <c r="I235" i="3"/>
  <c r="P57" i="1"/>
  <c r="D235" i="3"/>
  <c r="I232" i="3" l="1"/>
  <c r="I230" i="3" s="1"/>
  <c r="D232" i="3"/>
  <c r="D230" i="3" s="1"/>
  <c r="P19" i="1"/>
  <c r="P325" i="1" s="1"/>
  <c r="O235" i="3"/>
  <c r="O232" i="3" l="1"/>
  <c r="O230" i="3" s="1"/>
  <c r="E153" i="1"/>
  <c r="J62" i="1"/>
  <c r="E62" i="1"/>
  <c r="I257" i="3" l="1"/>
  <c r="D257" i="3"/>
  <c r="P62" i="1"/>
  <c r="O257" i="3" l="1"/>
  <c r="J245" i="1"/>
  <c r="I188" i="3" s="1"/>
  <c r="E245" i="1"/>
  <c r="D188" i="3" s="1"/>
  <c r="C245" i="1"/>
  <c r="P245" i="1" l="1"/>
  <c r="O188" i="3" s="1"/>
  <c r="J186" i="3" l="1"/>
  <c r="G205" i="1"/>
  <c r="F205" i="1" l="1"/>
  <c r="E233" i="3" l="1"/>
  <c r="F233" i="3"/>
  <c r="G233" i="3"/>
  <c r="H233" i="3"/>
  <c r="J233" i="3"/>
  <c r="K233" i="3"/>
  <c r="L233" i="3"/>
  <c r="M233" i="3"/>
  <c r="N233" i="3"/>
  <c r="J262" i="1"/>
  <c r="E262" i="1"/>
  <c r="C262" i="1"/>
  <c r="D262" i="1"/>
  <c r="B262" i="1"/>
  <c r="P262" i="1" l="1"/>
  <c r="E237" i="3" l="1"/>
  <c r="F237" i="3"/>
  <c r="G237" i="3"/>
  <c r="H237" i="3"/>
  <c r="J237" i="3"/>
  <c r="K237" i="3"/>
  <c r="L237" i="3"/>
  <c r="M237" i="3"/>
  <c r="N237" i="3"/>
  <c r="J263" i="1"/>
  <c r="E263" i="1"/>
  <c r="C263" i="1"/>
  <c r="D263" i="1"/>
  <c r="B263" i="1"/>
  <c r="P263" i="1" l="1"/>
  <c r="E202" i="3" l="1"/>
  <c r="F202" i="3"/>
  <c r="G202" i="3"/>
  <c r="H202" i="3"/>
  <c r="J202" i="3"/>
  <c r="K202" i="3"/>
  <c r="L202" i="3"/>
  <c r="M202" i="3"/>
  <c r="N202" i="3"/>
  <c r="E204" i="3"/>
  <c r="F204" i="3"/>
  <c r="G204" i="3"/>
  <c r="H204" i="3"/>
  <c r="J204" i="3"/>
  <c r="K204" i="3"/>
  <c r="L204" i="3"/>
  <c r="M204" i="3"/>
  <c r="N204" i="3"/>
  <c r="E45" i="1"/>
  <c r="E47" i="1"/>
  <c r="J44" i="1"/>
  <c r="J45" i="1"/>
  <c r="I202" i="3" s="1"/>
  <c r="J47" i="1"/>
  <c r="I204" i="3" s="1"/>
  <c r="C45" i="1"/>
  <c r="D45" i="1"/>
  <c r="D47" i="1"/>
  <c r="B47" i="1"/>
  <c r="B45" i="1"/>
  <c r="D204" i="3" l="1"/>
  <c r="P47" i="1"/>
  <c r="O204" i="3" s="1"/>
  <c r="P45" i="1"/>
  <c r="O202" i="3" s="1"/>
  <c r="D202" i="3"/>
  <c r="N182" i="3" l="1"/>
  <c r="J182" i="3" l="1"/>
  <c r="E205" i="3" l="1"/>
  <c r="F205" i="3"/>
  <c r="G205" i="3"/>
  <c r="H205" i="3"/>
  <c r="J205" i="3"/>
  <c r="K205" i="3"/>
  <c r="L205" i="3"/>
  <c r="M205" i="3"/>
  <c r="N205" i="3"/>
  <c r="J252" i="1"/>
  <c r="E252" i="1"/>
  <c r="D209" i="3" s="1"/>
  <c r="B252" i="1"/>
  <c r="I205" i="3" l="1"/>
  <c r="I209" i="3"/>
  <c r="P252" i="1"/>
  <c r="D205" i="3"/>
  <c r="N190" i="3"/>
  <c r="M190" i="3"/>
  <c r="L190" i="3"/>
  <c r="K190" i="3"/>
  <c r="J190" i="3"/>
  <c r="H190" i="3"/>
  <c r="G190" i="3"/>
  <c r="F190" i="3"/>
  <c r="E190" i="3"/>
  <c r="J156" i="1"/>
  <c r="E156" i="1"/>
  <c r="D156" i="1"/>
  <c r="C156" i="1"/>
  <c r="B156" i="1"/>
  <c r="D284" i="1"/>
  <c r="C284" i="1"/>
  <c r="B284" i="1"/>
  <c r="D246" i="1"/>
  <c r="C246" i="1"/>
  <c r="B246" i="1"/>
  <c r="O205" i="3" l="1"/>
  <c r="O209" i="3"/>
  <c r="P156" i="1"/>
  <c r="J284" i="1"/>
  <c r="E284" i="1"/>
  <c r="J246" i="1"/>
  <c r="E246" i="1"/>
  <c r="D190" i="3" l="1"/>
  <c r="P284" i="1"/>
  <c r="I190" i="3"/>
  <c r="P246" i="1"/>
  <c r="O190" i="3" l="1"/>
  <c r="K303" i="1"/>
  <c r="J290" i="1" l="1"/>
  <c r="E290" i="1"/>
  <c r="E248" i="1"/>
  <c r="J248" i="1" l="1"/>
  <c r="P290" i="1"/>
  <c r="P248" i="1" l="1"/>
  <c r="J285" i="1"/>
  <c r="I192" i="3" s="1"/>
  <c r="E285" i="1"/>
  <c r="D192" i="3" s="1"/>
  <c r="P285" i="1" l="1"/>
  <c r="O192" i="3" s="1"/>
  <c r="N227" i="3" l="1"/>
  <c r="M227" i="3"/>
  <c r="L227" i="3"/>
  <c r="K227" i="3"/>
  <c r="J227" i="3"/>
  <c r="H227" i="3"/>
  <c r="G227" i="3"/>
  <c r="F227" i="3"/>
  <c r="E227" i="3"/>
  <c r="J161" i="1"/>
  <c r="I227" i="3" s="1"/>
  <c r="E161" i="1"/>
  <c r="D227" i="3" s="1"/>
  <c r="P161" i="1" l="1"/>
  <c r="D173" i="1"/>
  <c r="O227" i="3" l="1"/>
  <c r="B281" i="1" l="1"/>
  <c r="J281" i="1"/>
  <c r="I186" i="3" s="1"/>
  <c r="P281" i="1" l="1"/>
  <c r="O186" i="3" s="1"/>
  <c r="D203" i="1" l="1"/>
  <c r="F226" i="3"/>
  <c r="G226" i="3"/>
  <c r="H226" i="3"/>
  <c r="J226" i="3"/>
  <c r="K226" i="3"/>
  <c r="L226" i="3"/>
  <c r="M226" i="3"/>
  <c r="N226" i="3"/>
  <c r="F166" i="3"/>
  <c r="G166" i="3"/>
  <c r="H166" i="3"/>
  <c r="J166" i="3"/>
  <c r="K166" i="3"/>
  <c r="L166" i="3"/>
  <c r="M166" i="3"/>
  <c r="N166" i="3"/>
  <c r="G314" i="1"/>
  <c r="H314" i="1"/>
  <c r="I314" i="1"/>
  <c r="K314" i="1"/>
  <c r="L314" i="1"/>
  <c r="M314" i="1"/>
  <c r="N314" i="1"/>
  <c r="O314" i="1"/>
  <c r="G303" i="1"/>
  <c r="H303" i="1"/>
  <c r="L303" i="1"/>
  <c r="M303" i="1"/>
  <c r="N303" i="1"/>
  <c r="O303" i="1"/>
  <c r="G127" i="1"/>
  <c r="H127" i="1"/>
  <c r="I127" i="1"/>
  <c r="L127" i="1"/>
  <c r="M127" i="1"/>
  <c r="N127" i="1"/>
  <c r="I303" i="1" l="1"/>
  <c r="E226" i="3" l="1"/>
  <c r="F303" i="1" l="1"/>
  <c r="F127" i="1"/>
  <c r="D266" i="1" l="1"/>
  <c r="F314" i="1" l="1"/>
  <c r="O127" i="1" l="1"/>
  <c r="K127" i="1"/>
  <c r="J222" i="1"/>
  <c r="E222" i="1"/>
  <c r="C222" i="1"/>
  <c r="D222" i="1"/>
  <c r="B222" i="1"/>
  <c r="P222" i="1" l="1"/>
  <c r="E17" i="3"/>
  <c r="F17" i="3"/>
  <c r="G17" i="3"/>
  <c r="H17" i="3"/>
  <c r="J17" i="3"/>
  <c r="K17" i="3"/>
  <c r="L17" i="3"/>
  <c r="M17" i="3"/>
  <c r="N17" i="3"/>
  <c r="E84" i="3"/>
  <c r="F84" i="3"/>
  <c r="G84" i="3"/>
  <c r="H84" i="3"/>
  <c r="J84" i="3"/>
  <c r="K84" i="3"/>
  <c r="L84" i="3"/>
  <c r="M84" i="3"/>
  <c r="N84" i="3"/>
  <c r="E89" i="3"/>
  <c r="F89" i="3"/>
  <c r="G89" i="3"/>
  <c r="H89" i="3"/>
  <c r="J89" i="3"/>
  <c r="K89" i="3"/>
  <c r="L89" i="3"/>
  <c r="M89" i="3"/>
  <c r="N89" i="3"/>
  <c r="E91" i="3"/>
  <c r="F91" i="3"/>
  <c r="G91" i="3"/>
  <c r="H91" i="3"/>
  <c r="J91" i="3"/>
  <c r="K91" i="3"/>
  <c r="L91" i="3"/>
  <c r="M91" i="3"/>
  <c r="N91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6" i="3"/>
  <c r="F106" i="3"/>
  <c r="G106" i="3"/>
  <c r="H106" i="3"/>
  <c r="K106" i="3"/>
  <c r="L106" i="3"/>
  <c r="M106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4" i="3"/>
  <c r="F114" i="3"/>
  <c r="G114" i="3"/>
  <c r="H114" i="3"/>
  <c r="J114" i="3"/>
  <c r="K114" i="3"/>
  <c r="L114" i="3"/>
  <c r="M114" i="3"/>
  <c r="N114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5" i="3"/>
  <c r="F125" i="3"/>
  <c r="G125" i="3"/>
  <c r="H125" i="3"/>
  <c r="J125" i="3"/>
  <c r="K125" i="3"/>
  <c r="L125" i="3"/>
  <c r="M125" i="3"/>
  <c r="N125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8" i="3"/>
  <c r="F138" i="3"/>
  <c r="G138" i="3"/>
  <c r="H138" i="3"/>
  <c r="J138" i="3"/>
  <c r="K138" i="3"/>
  <c r="L138" i="3"/>
  <c r="M138" i="3"/>
  <c r="N138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2" i="3"/>
  <c r="F152" i="3"/>
  <c r="G152" i="3"/>
  <c r="H152" i="3"/>
  <c r="J152" i="3"/>
  <c r="K152" i="3"/>
  <c r="L152" i="3"/>
  <c r="M152" i="3"/>
  <c r="N152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5" i="3"/>
  <c r="F165" i="3"/>
  <c r="G165" i="3"/>
  <c r="H165" i="3"/>
  <c r="J165" i="3"/>
  <c r="K165" i="3"/>
  <c r="L165" i="3"/>
  <c r="M165" i="3"/>
  <c r="N165" i="3"/>
  <c r="E174" i="3"/>
  <c r="E173" i="3" s="1"/>
  <c r="F174" i="3"/>
  <c r="F173" i="3" s="1"/>
  <c r="G174" i="3"/>
  <c r="G173" i="3" s="1"/>
  <c r="H174" i="3"/>
  <c r="H173" i="3" s="1"/>
  <c r="J174" i="3"/>
  <c r="J173" i="3" s="1"/>
  <c r="K174" i="3"/>
  <c r="K173" i="3" s="1"/>
  <c r="L174" i="3"/>
  <c r="L173" i="3" s="1"/>
  <c r="M174" i="3"/>
  <c r="M173" i="3" s="1"/>
  <c r="N174" i="3"/>
  <c r="N173" i="3" s="1"/>
  <c r="E179" i="3"/>
  <c r="E175" i="3" s="1"/>
  <c r="F179" i="3"/>
  <c r="F175" i="3" s="1"/>
  <c r="G179" i="3"/>
  <c r="G175" i="3" s="1"/>
  <c r="H179" i="3"/>
  <c r="H175" i="3" s="1"/>
  <c r="J179" i="3"/>
  <c r="J175" i="3" s="1"/>
  <c r="K179" i="3"/>
  <c r="K175" i="3" s="1"/>
  <c r="L179" i="3"/>
  <c r="L175" i="3" s="1"/>
  <c r="M179" i="3"/>
  <c r="M175" i="3" s="1"/>
  <c r="N179" i="3"/>
  <c r="N175" i="3" s="1"/>
  <c r="E191" i="3"/>
  <c r="F191" i="3"/>
  <c r="G191" i="3"/>
  <c r="H191" i="3"/>
  <c r="J191" i="3"/>
  <c r="K191" i="3"/>
  <c r="L191" i="3"/>
  <c r="M191" i="3"/>
  <c r="N191" i="3"/>
  <c r="E201" i="3"/>
  <c r="E197" i="3" s="1"/>
  <c r="F201" i="3"/>
  <c r="F197" i="3" s="1"/>
  <c r="G201" i="3"/>
  <c r="G197" i="3" s="1"/>
  <c r="H201" i="3"/>
  <c r="H197" i="3" s="1"/>
  <c r="J201" i="3"/>
  <c r="J197" i="3" s="1"/>
  <c r="K201" i="3"/>
  <c r="K197" i="3" s="1"/>
  <c r="L201" i="3"/>
  <c r="L197" i="3" s="1"/>
  <c r="M201" i="3"/>
  <c r="M197" i="3" s="1"/>
  <c r="N201" i="3"/>
  <c r="N197" i="3" s="1"/>
  <c r="E217" i="3"/>
  <c r="F217" i="3"/>
  <c r="G217" i="3"/>
  <c r="H217" i="3"/>
  <c r="J217" i="3"/>
  <c r="K217" i="3"/>
  <c r="L217" i="3"/>
  <c r="M217" i="3"/>
  <c r="N217" i="3"/>
  <c r="E220" i="3"/>
  <c r="F220" i="3"/>
  <c r="G220" i="3"/>
  <c r="H220" i="3"/>
  <c r="J220" i="3"/>
  <c r="K220" i="3"/>
  <c r="L220" i="3"/>
  <c r="M220" i="3"/>
  <c r="N220" i="3"/>
  <c r="E221" i="3"/>
  <c r="F221" i="3"/>
  <c r="G221" i="3"/>
  <c r="H221" i="3"/>
  <c r="J221" i="3"/>
  <c r="K221" i="3"/>
  <c r="L221" i="3"/>
  <c r="M221" i="3"/>
  <c r="N221" i="3"/>
  <c r="E222" i="3"/>
  <c r="F222" i="3"/>
  <c r="G222" i="3"/>
  <c r="H222" i="3"/>
  <c r="J222" i="3"/>
  <c r="K222" i="3"/>
  <c r="L222" i="3"/>
  <c r="M222" i="3"/>
  <c r="N222" i="3"/>
  <c r="F224" i="3"/>
  <c r="G224" i="3"/>
  <c r="H224" i="3"/>
  <c r="J224" i="3"/>
  <c r="K224" i="3"/>
  <c r="L224" i="3"/>
  <c r="M224" i="3"/>
  <c r="N224" i="3"/>
  <c r="E234" i="3"/>
  <c r="F234" i="3"/>
  <c r="G234" i="3"/>
  <c r="H234" i="3"/>
  <c r="J234" i="3"/>
  <c r="K234" i="3"/>
  <c r="L234" i="3"/>
  <c r="M234" i="3"/>
  <c r="N234" i="3"/>
  <c r="E236" i="3"/>
  <c r="F236" i="3"/>
  <c r="G236" i="3"/>
  <c r="H236" i="3"/>
  <c r="J236" i="3"/>
  <c r="K236" i="3"/>
  <c r="L236" i="3"/>
  <c r="M236" i="3"/>
  <c r="N236" i="3"/>
  <c r="E239" i="3"/>
  <c r="E238" i="3" s="1"/>
  <c r="F239" i="3"/>
  <c r="F238" i="3" s="1"/>
  <c r="G239" i="3"/>
  <c r="H239" i="3"/>
  <c r="J239" i="3"/>
  <c r="K239" i="3"/>
  <c r="K238" i="3" s="1"/>
  <c r="L239" i="3"/>
  <c r="M239" i="3"/>
  <c r="M238" i="3" s="1"/>
  <c r="N239" i="3"/>
  <c r="E242" i="3"/>
  <c r="E241" i="3" s="1"/>
  <c r="F242" i="3"/>
  <c r="F241" i="3" s="1"/>
  <c r="G242" i="3"/>
  <c r="G241" i="3" s="1"/>
  <c r="H242" i="3"/>
  <c r="H241" i="3" s="1"/>
  <c r="J242" i="3"/>
  <c r="J241" i="3" s="1"/>
  <c r="K242" i="3"/>
  <c r="K241" i="3" s="1"/>
  <c r="L242" i="3"/>
  <c r="L241" i="3" s="1"/>
  <c r="M242" i="3"/>
  <c r="M241" i="3" s="1"/>
  <c r="N242" i="3"/>
  <c r="N241" i="3" s="1"/>
  <c r="E243" i="3"/>
  <c r="F243" i="3"/>
  <c r="G243" i="3"/>
  <c r="H243" i="3"/>
  <c r="J243" i="3"/>
  <c r="K243" i="3"/>
  <c r="L243" i="3"/>
  <c r="M243" i="3"/>
  <c r="N243" i="3"/>
  <c r="D244" i="3"/>
  <c r="E244" i="3"/>
  <c r="F244" i="3"/>
  <c r="G244" i="3"/>
  <c r="H244" i="3"/>
  <c r="J244" i="3"/>
  <c r="K244" i="3"/>
  <c r="L244" i="3"/>
  <c r="M244" i="3"/>
  <c r="N244" i="3"/>
  <c r="J78" i="1"/>
  <c r="J316" i="1"/>
  <c r="J317" i="1"/>
  <c r="J318" i="1"/>
  <c r="I239" i="3" s="1"/>
  <c r="J319" i="1"/>
  <c r="J320" i="1"/>
  <c r="I243" i="3" s="1"/>
  <c r="J321" i="1"/>
  <c r="I244" i="3" s="1"/>
  <c r="J322" i="1"/>
  <c r="I248" i="3" s="1"/>
  <c r="I247" i="3" s="1"/>
  <c r="J315" i="1"/>
  <c r="J305" i="1"/>
  <c r="I174" i="3" s="1"/>
  <c r="I173" i="3" s="1"/>
  <c r="J306" i="1"/>
  <c r="J307" i="1"/>
  <c r="I220" i="3" s="1"/>
  <c r="J308" i="1"/>
  <c r="I221" i="3" s="1"/>
  <c r="J309" i="1"/>
  <c r="J304" i="1"/>
  <c r="J301" i="1"/>
  <c r="J275" i="1"/>
  <c r="J276" i="1"/>
  <c r="I165" i="3" s="1"/>
  <c r="J277" i="1"/>
  <c r="J278" i="1"/>
  <c r="I180" i="3" s="1"/>
  <c r="J279" i="1"/>
  <c r="I182" i="3" s="1"/>
  <c r="J282" i="1"/>
  <c r="J294" i="1"/>
  <c r="J295" i="1"/>
  <c r="J298" i="1"/>
  <c r="J274" i="1"/>
  <c r="J269" i="1"/>
  <c r="J233" i="1"/>
  <c r="J234" i="1"/>
  <c r="J235" i="1"/>
  <c r="I158" i="3" s="1"/>
  <c r="J236" i="1"/>
  <c r="I159" i="3" s="1"/>
  <c r="J237" i="1"/>
  <c r="I160" i="3" s="1"/>
  <c r="J238" i="1"/>
  <c r="J239" i="1"/>
  <c r="J243" i="1"/>
  <c r="J244" i="1"/>
  <c r="J247" i="1"/>
  <c r="I191" i="3" s="1"/>
  <c r="J258" i="1"/>
  <c r="J259" i="1"/>
  <c r="J264" i="1"/>
  <c r="J266" i="1"/>
  <c r="J231" i="1"/>
  <c r="J216" i="1"/>
  <c r="I142" i="3" s="1"/>
  <c r="J217" i="1"/>
  <c r="J218" i="1"/>
  <c r="J219" i="1"/>
  <c r="J221" i="1"/>
  <c r="J214" i="1"/>
  <c r="J208" i="1"/>
  <c r="I117" i="3" s="1"/>
  <c r="J209" i="1"/>
  <c r="I118" i="3" s="1"/>
  <c r="J207" i="1"/>
  <c r="J173" i="1"/>
  <c r="J174" i="1"/>
  <c r="J176" i="1"/>
  <c r="I110" i="3" s="1"/>
  <c r="J177" i="1"/>
  <c r="J178" i="1"/>
  <c r="I112" i="3" s="1"/>
  <c r="J180" i="1"/>
  <c r="I114" i="3" s="1"/>
  <c r="J182" i="1"/>
  <c r="I116" i="3" s="1"/>
  <c r="J183" i="1"/>
  <c r="I122" i="3" s="1"/>
  <c r="J184" i="1"/>
  <c r="I123" i="3" s="1"/>
  <c r="J186" i="1"/>
  <c r="I125" i="3" s="1"/>
  <c r="J188" i="1"/>
  <c r="I127" i="3" s="1"/>
  <c r="J189" i="1"/>
  <c r="I128" i="3" s="1"/>
  <c r="J190" i="1"/>
  <c r="I129" i="3" s="1"/>
  <c r="J191" i="1"/>
  <c r="I130" i="3" s="1"/>
  <c r="J192" i="1"/>
  <c r="J199" i="1"/>
  <c r="J200" i="1"/>
  <c r="J203" i="1"/>
  <c r="I256" i="3" s="1"/>
  <c r="J170" i="1"/>
  <c r="J138" i="1"/>
  <c r="J143" i="1"/>
  <c r="J145" i="1"/>
  <c r="I91" i="3" s="1"/>
  <c r="J147" i="1"/>
  <c r="I93" i="3" s="1"/>
  <c r="J149" i="1"/>
  <c r="I95" i="3" s="1"/>
  <c r="J152" i="1"/>
  <c r="I98" i="3" s="1"/>
  <c r="J153" i="1"/>
  <c r="I99" i="3" s="1"/>
  <c r="J137" i="1"/>
  <c r="J82" i="1"/>
  <c r="I48" i="3" s="1"/>
  <c r="J85" i="1"/>
  <c r="I51" i="3" s="1"/>
  <c r="J94" i="1"/>
  <c r="I60" i="3" s="1"/>
  <c r="J97" i="1"/>
  <c r="I64" i="3" s="1"/>
  <c r="J98" i="1"/>
  <c r="I65" i="3" s="1"/>
  <c r="J100" i="1"/>
  <c r="I67" i="3" s="1"/>
  <c r="J108" i="1"/>
  <c r="I75" i="3" s="1"/>
  <c r="J77" i="1"/>
  <c r="J26" i="1"/>
  <c r="J27" i="1"/>
  <c r="J28" i="1"/>
  <c r="I119" i="3" s="1"/>
  <c r="J29" i="1"/>
  <c r="I120" i="3" s="1"/>
  <c r="J30" i="1"/>
  <c r="I121" i="3" s="1"/>
  <c r="J31" i="1"/>
  <c r="J32" i="1"/>
  <c r="J33" i="1"/>
  <c r="J34" i="1"/>
  <c r="J35" i="1"/>
  <c r="J36" i="1"/>
  <c r="I148" i="3" s="1"/>
  <c r="J37" i="1"/>
  <c r="I149" i="3" s="1"/>
  <c r="J38" i="1"/>
  <c r="I150" i="3" s="1"/>
  <c r="J39" i="1"/>
  <c r="I152" i="3" s="1"/>
  <c r="J40" i="1"/>
  <c r="I153" i="3" s="1"/>
  <c r="J41" i="1"/>
  <c r="I154" i="3" s="1"/>
  <c r="I201" i="3"/>
  <c r="I197" i="3" s="1"/>
  <c r="J49" i="1"/>
  <c r="J50" i="1"/>
  <c r="J51" i="1"/>
  <c r="J52" i="1"/>
  <c r="I224" i="3" s="1"/>
  <c r="J53" i="1"/>
  <c r="J54" i="1"/>
  <c r="J55" i="1"/>
  <c r="I233" i="3" s="1"/>
  <c r="J56" i="1"/>
  <c r="I234" i="3" s="1"/>
  <c r="J58" i="1"/>
  <c r="J59" i="1"/>
  <c r="I242" i="3"/>
  <c r="I241" i="3" s="1"/>
  <c r="J21" i="1"/>
  <c r="J18" i="1" l="1"/>
  <c r="M100" i="3"/>
  <c r="K100" i="3"/>
  <c r="G100" i="3"/>
  <c r="L100" i="3"/>
  <c r="H100" i="3"/>
  <c r="F100" i="3"/>
  <c r="J293" i="1"/>
  <c r="J292" i="1" s="1"/>
  <c r="N155" i="3"/>
  <c r="L155" i="3"/>
  <c r="J155" i="3"/>
  <c r="G155" i="3"/>
  <c r="M155" i="3"/>
  <c r="K155" i="3"/>
  <c r="H155" i="3"/>
  <c r="F155" i="3"/>
  <c r="I19" i="3"/>
  <c r="I36" i="3"/>
  <c r="I240" i="3"/>
  <c r="I238" i="3" s="1"/>
  <c r="I139" i="3"/>
  <c r="M215" i="3"/>
  <c r="M167" i="3" s="1"/>
  <c r="K215" i="3"/>
  <c r="K167" i="3" s="1"/>
  <c r="H215" i="3"/>
  <c r="H167" i="3" s="1"/>
  <c r="F215" i="3"/>
  <c r="F167" i="3" s="1"/>
  <c r="N215" i="3"/>
  <c r="N167" i="3" s="1"/>
  <c r="L215" i="3"/>
  <c r="L167" i="3" s="1"/>
  <c r="J215" i="3"/>
  <c r="J167" i="3" s="1"/>
  <c r="G215" i="3"/>
  <c r="G167" i="3" s="1"/>
  <c r="H79" i="3"/>
  <c r="M79" i="3"/>
  <c r="K79" i="3"/>
  <c r="L79" i="3"/>
  <c r="F79" i="3"/>
  <c r="G79" i="3"/>
  <c r="E79" i="3"/>
  <c r="N79" i="3"/>
  <c r="J79" i="3"/>
  <c r="J205" i="1"/>
  <c r="I214" i="3"/>
  <c r="I213" i="3" s="1"/>
  <c r="I187" i="3"/>
  <c r="I84" i="3"/>
  <c r="I107" i="3"/>
  <c r="I89" i="3"/>
  <c r="I237" i="3"/>
  <c r="I236" i="3" s="1"/>
  <c r="I161" i="3"/>
  <c r="I157" i="3"/>
  <c r="I166" i="3"/>
  <c r="J314" i="1"/>
  <c r="I226" i="3"/>
  <c r="J303" i="1"/>
  <c r="J288" i="1"/>
  <c r="J271" i="1" s="1"/>
  <c r="I145" i="3"/>
  <c r="I143" i="3"/>
  <c r="I222" i="3"/>
  <c r="I144" i="3"/>
  <c r="E153" i="3"/>
  <c r="E146" i="3" s="1"/>
  <c r="I179" i="3"/>
  <c r="L231" i="3"/>
  <c r="J231" i="3"/>
  <c r="G231" i="3"/>
  <c r="I108" i="3"/>
  <c r="I217" i="3"/>
  <c r="I146" i="3"/>
  <c r="I131" i="3"/>
  <c r="N231" i="3"/>
  <c r="H231" i="3"/>
  <c r="M231" i="3"/>
  <c r="M229" i="3" s="1"/>
  <c r="K231" i="3"/>
  <c r="K229" i="3" s="1"/>
  <c r="F231" i="3"/>
  <c r="F229" i="3" s="1"/>
  <c r="E231" i="3"/>
  <c r="E229" i="3" s="1"/>
  <c r="I162" i="3"/>
  <c r="I231" i="3"/>
  <c r="M146" i="3"/>
  <c r="F146" i="3"/>
  <c r="I138" i="3"/>
  <c r="I111" i="3"/>
  <c r="N238" i="3"/>
  <c r="L238" i="3"/>
  <c r="J238" i="3"/>
  <c r="H238" i="3"/>
  <c r="G238" i="3"/>
  <c r="K146" i="3"/>
  <c r="L141" i="3"/>
  <c r="H141" i="3"/>
  <c r="N141" i="3"/>
  <c r="J141" i="3"/>
  <c r="G141" i="3"/>
  <c r="M141" i="3"/>
  <c r="K141" i="3"/>
  <c r="F141" i="3"/>
  <c r="E141" i="3"/>
  <c r="N146" i="3"/>
  <c r="L146" i="3"/>
  <c r="J146" i="3"/>
  <c r="H146" i="3"/>
  <c r="G146" i="3"/>
  <c r="J261" i="1"/>
  <c r="J224" i="1" s="1"/>
  <c r="I175" i="3" l="1"/>
  <c r="I253" i="3"/>
  <c r="I245" i="3" s="1"/>
  <c r="M258" i="3"/>
  <c r="F258" i="3"/>
  <c r="K258" i="3"/>
  <c r="I155" i="3"/>
  <c r="I225" i="3"/>
  <c r="I17" i="3"/>
  <c r="I79" i="3"/>
  <c r="I141" i="3"/>
  <c r="L229" i="3"/>
  <c r="L258" i="3" s="1"/>
  <c r="G229" i="3"/>
  <c r="G258" i="3" s="1"/>
  <c r="N229" i="3"/>
  <c r="J229" i="3"/>
  <c r="I229" i="3"/>
  <c r="H229" i="3"/>
  <c r="H258" i="3" s="1"/>
  <c r="E318" i="1"/>
  <c r="D239" i="3" s="1"/>
  <c r="D318" i="1"/>
  <c r="B318" i="1"/>
  <c r="E166" i="3" l="1"/>
  <c r="E155" i="3" s="1"/>
  <c r="E224" i="3"/>
  <c r="J159" i="1"/>
  <c r="P318" i="1"/>
  <c r="O239" i="3" s="1"/>
  <c r="J128" i="1" l="1"/>
  <c r="J127" i="1" s="1"/>
  <c r="I218" i="3"/>
  <c r="I215" i="3" s="1"/>
  <c r="I167" i="3" s="1"/>
  <c r="E215" i="3"/>
  <c r="E167" i="3" s="1"/>
  <c r="E247" i="1" l="1"/>
  <c r="C247" i="1"/>
  <c r="D247" i="1"/>
  <c r="B247" i="1"/>
  <c r="D191" i="3" l="1"/>
  <c r="P247" i="1"/>
  <c r="O191" i="3" s="1"/>
  <c r="E127" i="3" l="1"/>
  <c r="E100" i="3" s="1"/>
  <c r="E258" i="3" l="1"/>
  <c r="J79" i="1"/>
  <c r="J64" i="1" s="1"/>
  <c r="I38" i="3" l="1"/>
  <c r="I24" i="3" s="1"/>
  <c r="J213" i="1"/>
  <c r="D53" i="1"/>
  <c r="D298" i="1"/>
  <c r="D261" i="1"/>
  <c r="C217" i="1"/>
  <c r="B217" i="1"/>
  <c r="D208" i="1"/>
  <c r="P321" i="1"/>
  <c r="O244" i="3" s="1"/>
  <c r="E316" i="1"/>
  <c r="E317" i="1"/>
  <c r="E319" i="1"/>
  <c r="E320" i="1"/>
  <c r="D243" i="3" s="1"/>
  <c r="E322" i="1"/>
  <c r="D248" i="3" s="1"/>
  <c r="D247" i="3" s="1"/>
  <c r="E315" i="1"/>
  <c r="K313" i="1"/>
  <c r="L313" i="1"/>
  <c r="M313" i="1"/>
  <c r="N313" i="1"/>
  <c r="O313" i="1"/>
  <c r="F313" i="1"/>
  <c r="G313" i="1"/>
  <c r="H313" i="1"/>
  <c r="I313" i="1"/>
  <c r="E305" i="1"/>
  <c r="D174" i="3" s="1"/>
  <c r="D173" i="3" s="1"/>
  <c r="E306" i="1"/>
  <c r="E307" i="1"/>
  <c r="D220" i="3" s="1"/>
  <c r="E308" i="1"/>
  <c r="D221" i="3" s="1"/>
  <c r="E309" i="1"/>
  <c r="E304" i="1"/>
  <c r="K302" i="1"/>
  <c r="L302" i="1"/>
  <c r="M302" i="1"/>
  <c r="N302" i="1"/>
  <c r="O302" i="1"/>
  <c r="F302" i="1"/>
  <c r="G302" i="1"/>
  <c r="H302" i="1"/>
  <c r="I302" i="1"/>
  <c r="J300" i="1"/>
  <c r="J299" i="1" s="1"/>
  <c r="E301" i="1"/>
  <c r="E300" i="1" s="1"/>
  <c r="E299" i="1" s="1"/>
  <c r="K300" i="1"/>
  <c r="K299" i="1" s="1"/>
  <c r="L300" i="1"/>
  <c r="L299" i="1" s="1"/>
  <c r="M300" i="1"/>
  <c r="M299" i="1" s="1"/>
  <c r="N300" i="1"/>
  <c r="N299" i="1" s="1"/>
  <c r="O300" i="1"/>
  <c r="O299" i="1" s="1"/>
  <c r="F300" i="1"/>
  <c r="F299" i="1" s="1"/>
  <c r="G300" i="1"/>
  <c r="G299" i="1" s="1"/>
  <c r="H300" i="1"/>
  <c r="H299" i="1" s="1"/>
  <c r="I300" i="1"/>
  <c r="I299" i="1" s="1"/>
  <c r="E295" i="1"/>
  <c r="E298" i="1"/>
  <c r="E294" i="1"/>
  <c r="K292" i="1"/>
  <c r="L292" i="1"/>
  <c r="M292" i="1"/>
  <c r="N292" i="1"/>
  <c r="O292" i="1"/>
  <c r="F292" i="1"/>
  <c r="G292" i="1"/>
  <c r="H292" i="1"/>
  <c r="I292" i="1"/>
  <c r="E275" i="1"/>
  <c r="E276" i="1"/>
  <c r="D165" i="3" s="1"/>
  <c r="E277" i="1"/>
  <c r="E278" i="1"/>
  <c r="D180" i="3" s="1"/>
  <c r="E279" i="1"/>
  <c r="D182" i="3" s="1"/>
  <c r="E282" i="1"/>
  <c r="E288" i="1"/>
  <c r="E274" i="1"/>
  <c r="E271" i="1" s="1"/>
  <c r="K270" i="1"/>
  <c r="M270" i="1"/>
  <c r="N270" i="1"/>
  <c r="O270" i="1"/>
  <c r="F270" i="1"/>
  <c r="G270" i="1"/>
  <c r="H270" i="1"/>
  <c r="I270" i="1"/>
  <c r="J268" i="1"/>
  <c r="J267" i="1" s="1"/>
  <c r="E269" i="1"/>
  <c r="E268" i="1" s="1"/>
  <c r="E267" i="1" s="1"/>
  <c r="K268" i="1"/>
  <c r="K267" i="1" s="1"/>
  <c r="L268" i="1"/>
  <c r="L267" i="1" s="1"/>
  <c r="M268" i="1"/>
  <c r="M267" i="1" s="1"/>
  <c r="N268" i="1"/>
  <c r="N267" i="1" s="1"/>
  <c r="O268" i="1"/>
  <c r="O267" i="1" s="1"/>
  <c r="F268" i="1"/>
  <c r="F267" i="1" s="1"/>
  <c r="G268" i="1"/>
  <c r="G267" i="1" s="1"/>
  <c r="H268" i="1"/>
  <c r="H267" i="1" s="1"/>
  <c r="I268" i="1"/>
  <c r="I267" i="1" s="1"/>
  <c r="E233" i="1"/>
  <c r="E234" i="1"/>
  <c r="D157" i="3" s="1"/>
  <c r="E235" i="1"/>
  <c r="E236" i="1"/>
  <c r="D159" i="3" s="1"/>
  <c r="E237" i="1"/>
  <c r="E238" i="1"/>
  <c r="E239" i="1"/>
  <c r="E242" i="1"/>
  <c r="E243" i="1"/>
  <c r="E244" i="1"/>
  <c r="P244" i="1" s="1"/>
  <c r="E258" i="1"/>
  <c r="E259" i="1"/>
  <c r="P259" i="1" s="1"/>
  <c r="E261" i="1"/>
  <c r="P261" i="1" s="1"/>
  <c r="E264" i="1"/>
  <c r="P264" i="1" s="1"/>
  <c r="E266" i="1"/>
  <c r="E231" i="1"/>
  <c r="K223" i="1"/>
  <c r="L223" i="1"/>
  <c r="M223" i="1"/>
  <c r="N223" i="1"/>
  <c r="O223" i="1"/>
  <c r="F223" i="1"/>
  <c r="G223" i="1"/>
  <c r="H223" i="1"/>
  <c r="I223" i="1"/>
  <c r="E216" i="1"/>
  <c r="E217" i="1"/>
  <c r="E218" i="1"/>
  <c r="E219" i="1"/>
  <c r="E221" i="1"/>
  <c r="E214" i="1"/>
  <c r="K212" i="1"/>
  <c r="L212" i="1"/>
  <c r="M212" i="1"/>
  <c r="N212" i="1"/>
  <c r="F212" i="1"/>
  <c r="G212" i="1"/>
  <c r="H212" i="1"/>
  <c r="I212" i="1"/>
  <c r="E208" i="1"/>
  <c r="D117" i="3" s="1"/>
  <c r="E209" i="1"/>
  <c r="D118" i="3" s="1"/>
  <c r="E207" i="1"/>
  <c r="K204" i="1"/>
  <c r="L204" i="1"/>
  <c r="M204" i="1"/>
  <c r="N204" i="1"/>
  <c r="O204" i="1"/>
  <c r="F204" i="1"/>
  <c r="G204" i="1"/>
  <c r="H204" i="1"/>
  <c r="I204" i="1"/>
  <c r="E172" i="1"/>
  <c r="D106" i="3" s="1"/>
  <c r="E173" i="1"/>
  <c r="E174" i="1"/>
  <c r="E176" i="1"/>
  <c r="D110" i="3" s="1"/>
  <c r="E177" i="1"/>
  <c r="E178" i="1"/>
  <c r="D112" i="3" s="1"/>
  <c r="E180" i="1"/>
  <c r="D114" i="3" s="1"/>
  <c r="E182" i="1"/>
  <c r="E183" i="1"/>
  <c r="D122" i="3" s="1"/>
  <c r="E184" i="1"/>
  <c r="E186" i="1"/>
  <c r="D125" i="3" s="1"/>
  <c r="E188" i="1"/>
  <c r="D127" i="3" s="1"/>
  <c r="E189" i="1"/>
  <c r="D128" i="3" s="1"/>
  <c r="E190" i="1"/>
  <c r="D129" i="3" s="1"/>
  <c r="E191" i="1"/>
  <c r="D130" i="3" s="1"/>
  <c r="E192" i="1"/>
  <c r="E199" i="1"/>
  <c r="E200" i="1"/>
  <c r="E203" i="1"/>
  <c r="E170" i="1"/>
  <c r="L163" i="1"/>
  <c r="M163" i="1"/>
  <c r="N163" i="1"/>
  <c r="F163" i="1"/>
  <c r="G163" i="1"/>
  <c r="H163" i="1"/>
  <c r="I163" i="1"/>
  <c r="E138" i="1"/>
  <c r="E143" i="1"/>
  <c r="E145" i="1"/>
  <c r="D91" i="3" s="1"/>
  <c r="E147" i="1"/>
  <c r="D93" i="3" s="1"/>
  <c r="E149" i="1"/>
  <c r="D95" i="3" s="1"/>
  <c r="E152" i="1"/>
  <c r="D98" i="3" s="1"/>
  <c r="D99" i="3"/>
  <c r="E159" i="1"/>
  <c r="E137" i="1"/>
  <c r="K63" i="1"/>
  <c r="L63" i="1"/>
  <c r="M63" i="1"/>
  <c r="N63" i="1"/>
  <c r="O63" i="1"/>
  <c r="F63" i="1"/>
  <c r="G63" i="1"/>
  <c r="H63" i="1"/>
  <c r="I63" i="1"/>
  <c r="E78" i="1"/>
  <c r="E79" i="1"/>
  <c r="E82" i="1"/>
  <c r="D48" i="3" s="1"/>
  <c r="E85" i="1"/>
  <c r="D51" i="3" s="1"/>
  <c r="E94" i="1"/>
  <c r="D60" i="3" s="1"/>
  <c r="E97" i="1"/>
  <c r="D64" i="3" s="1"/>
  <c r="E98" i="1"/>
  <c r="D65" i="3" s="1"/>
  <c r="E100" i="1"/>
  <c r="D67" i="3" s="1"/>
  <c r="E108" i="1"/>
  <c r="D75" i="3" s="1"/>
  <c r="E77" i="1"/>
  <c r="E23" i="1"/>
  <c r="D21" i="3" s="1"/>
  <c r="E26" i="1"/>
  <c r="E27" i="1"/>
  <c r="E28" i="1"/>
  <c r="D119" i="3" s="1"/>
  <c r="E29" i="1"/>
  <c r="D120" i="3" s="1"/>
  <c r="E30" i="1"/>
  <c r="D121" i="3" s="1"/>
  <c r="E31" i="1"/>
  <c r="E32" i="1"/>
  <c r="E33" i="1"/>
  <c r="E34" i="1"/>
  <c r="E35" i="1"/>
  <c r="E36" i="1"/>
  <c r="D148" i="3" s="1"/>
  <c r="E37" i="1"/>
  <c r="D149" i="3" s="1"/>
  <c r="E38" i="1"/>
  <c r="E39" i="1"/>
  <c r="D152" i="3" s="1"/>
  <c r="E40" i="1"/>
  <c r="E41" i="1"/>
  <c r="E44" i="1"/>
  <c r="D201" i="3" s="1"/>
  <c r="D197" i="3" s="1"/>
  <c r="E49" i="1"/>
  <c r="E50" i="1"/>
  <c r="E51" i="1"/>
  <c r="E52" i="1"/>
  <c r="D224" i="3" s="1"/>
  <c r="E53" i="1"/>
  <c r="E54" i="1"/>
  <c r="E55" i="1"/>
  <c r="D233" i="3" s="1"/>
  <c r="E56" i="1"/>
  <c r="D234" i="3" s="1"/>
  <c r="E58" i="1"/>
  <c r="E59" i="1"/>
  <c r="E60" i="1"/>
  <c r="D242" i="3" s="1"/>
  <c r="D241" i="3" s="1"/>
  <c r="E21" i="1"/>
  <c r="K17" i="1"/>
  <c r="M17" i="1"/>
  <c r="N17" i="1"/>
  <c r="O17" i="1"/>
  <c r="F17" i="1"/>
  <c r="G17" i="1"/>
  <c r="H17" i="1"/>
  <c r="I17" i="1"/>
  <c r="L17" i="1"/>
  <c r="D256" i="3" l="1"/>
  <c r="D154" i="3"/>
  <c r="E18" i="1"/>
  <c r="E17" i="1" s="1"/>
  <c r="E224" i="1"/>
  <c r="E270" i="1"/>
  <c r="E303" i="1"/>
  <c r="E302" i="1" s="1"/>
  <c r="E64" i="1"/>
  <c r="E63" i="1" s="1"/>
  <c r="E223" i="1"/>
  <c r="E128" i="1"/>
  <c r="E127" i="1" s="1"/>
  <c r="E164" i="1"/>
  <c r="E163" i="1" s="1"/>
  <c r="E213" i="1"/>
  <c r="E212" i="1" s="1"/>
  <c r="E205" i="1"/>
  <c r="E204" i="1" s="1"/>
  <c r="E293" i="1"/>
  <c r="E292" i="1" s="1"/>
  <c r="E314" i="1"/>
  <c r="E313" i="1" s="1"/>
  <c r="D36" i="3"/>
  <c r="D150" i="3"/>
  <c r="D142" i="3"/>
  <c r="I323" i="1"/>
  <c r="G323" i="1"/>
  <c r="M323" i="1"/>
  <c r="D19" i="3"/>
  <c r="D17" i="3" s="1"/>
  <c r="H323" i="1"/>
  <c r="N323" i="1"/>
  <c r="F323" i="1"/>
  <c r="D116" i="3"/>
  <c r="D38" i="3"/>
  <c r="D240" i="3"/>
  <c r="D238" i="3" s="1"/>
  <c r="D218" i="3"/>
  <c r="D139" i="3"/>
  <c r="D225" i="3"/>
  <c r="D153" i="3"/>
  <c r="D214" i="3"/>
  <c r="D213" i="3" s="1"/>
  <c r="D187" i="3"/>
  <c r="P200" i="1"/>
  <c r="D84" i="3"/>
  <c r="P233" i="1"/>
  <c r="D107" i="3"/>
  <c r="D89" i="3"/>
  <c r="D160" i="3"/>
  <c r="D237" i="3"/>
  <c r="D236" i="3" s="1"/>
  <c r="D161" i="3"/>
  <c r="D166" i="3"/>
  <c r="D226" i="3"/>
  <c r="P266" i="1"/>
  <c r="D158" i="3"/>
  <c r="D162" i="3"/>
  <c r="D222" i="3"/>
  <c r="D123" i="3"/>
  <c r="D217" i="3"/>
  <c r="P231" i="1"/>
  <c r="O212" i="1"/>
  <c r="D144" i="3"/>
  <c r="D131" i="3"/>
  <c r="D179" i="3"/>
  <c r="D145" i="3"/>
  <c r="D143" i="3"/>
  <c r="J212" i="1"/>
  <c r="D231" i="3"/>
  <c r="P203" i="1"/>
  <c r="D138" i="3"/>
  <c r="D111" i="3"/>
  <c r="D108" i="3"/>
  <c r="P21" i="1"/>
  <c r="P59" i="1"/>
  <c r="P56" i="1"/>
  <c r="O234" i="3" s="1"/>
  <c r="P54" i="1"/>
  <c r="P52" i="1"/>
  <c r="O224" i="3" s="1"/>
  <c r="P50" i="1"/>
  <c r="P108" i="1"/>
  <c r="O75" i="3" s="1"/>
  <c r="P100" i="1"/>
  <c r="O67" i="3" s="1"/>
  <c r="P98" i="1"/>
  <c r="O65" i="3" s="1"/>
  <c r="P85" i="1"/>
  <c r="O51" i="3" s="1"/>
  <c r="P82" i="1"/>
  <c r="O48" i="3" s="1"/>
  <c r="P79" i="1"/>
  <c r="P137" i="1"/>
  <c r="P191" i="1"/>
  <c r="O130" i="3" s="1"/>
  <c r="P189" i="1"/>
  <c r="O128" i="3" s="1"/>
  <c r="P186" i="1"/>
  <c r="O125" i="3" s="1"/>
  <c r="P183" i="1"/>
  <c r="O122" i="3" s="1"/>
  <c r="P180" i="1"/>
  <c r="O114" i="3" s="1"/>
  <c r="P177" i="1"/>
  <c r="P174" i="1"/>
  <c r="P242" i="1"/>
  <c r="P238" i="1"/>
  <c r="P235" i="1"/>
  <c r="O158" i="3" s="1"/>
  <c r="P278" i="1"/>
  <c r="O180" i="3" s="1"/>
  <c r="P322" i="1"/>
  <c r="O248" i="3" s="1"/>
  <c r="O247" i="3" s="1"/>
  <c r="P60" i="1"/>
  <c r="O242" i="3" s="1"/>
  <c r="O241" i="3" s="1"/>
  <c r="P58" i="1"/>
  <c r="P55" i="1"/>
  <c r="O233" i="3" s="1"/>
  <c r="P53" i="1"/>
  <c r="P51" i="1"/>
  <c r="O222" i="3" s="1"/>
  <c r="P49" i="1"/>
  <c r="P97" i="1"/>
  <c r="O64" i="3" s="1"/>
  <c r="P94" i="1"/>
  <c r="O60" i="3" s="1"/>
  <c r="P170" i="1"/>
  <c r="P192" i="1"/>
  <c r="P190" i="1"/>
  <c r="O129" i="3" s="1"/>
  <c r="P188" i="1"/>
  <c r="O127" i="3" s="1"/>
  <c r="P184" i="1"/>
  <c r="O123" i="3" s="1"/>
  <c r="P182" i="1"/>
  <c r="O116" i="3" s="1"/>
  <c r="P178" i="1"/>
  <c r="O112" i="3" s="1"/>
  <c r="P176" i="1"/>
  <c r="O110" i="3" s="1"/>
  <c r="P173" i="1"/>
  <c r="P239" i="1"/>
  <c r="P237" i="1"/>
  <c r="P236" i="1"/>
  <c r="O159" i="3" s="1"/>
  <c r="P279" i="1"/>
  <c r="O182" i="3" s="1"/>
  <c r="P315" i="1"/>
  <c r="J223" i="1"/>
  <c r="P258" i="1"/>
  <c r="P294" i="1"/>
  <c r="P295" i="1"/>
  <c r="P307" i="1"/>
  <c r="O220" i="3" s="1"/>
  <c r="J302" i="1"/>
  <c r="P319" i="1"/>
  <c r="P316" i="1"/>
  <c r="P209" i="1"/>
  <c r="O118" i="3" s="1"/>
  <c r="P208" i="1"/>
  <c r="O117" i="3" s="1"/>
  <c r="P44" i="1"/>
  <c r="O201" i="3" s="1"/>
  <c r="O197" i="3" s="1"/>
  <c r="P38" i="1"/>
  <c r="O150" i="3" s="1"/>
  <c r="P36" i="1"/>
  <c r="O148" i="3" s="1"/>
  <c r="P34" i="1"/>
  <c r="P32" i="1"/>
  <c r="P30" i="1"/>
  <c r="O121" i="3" s="1"/>
  <c r="P28" i="1"/>
  <c r="O119" i="3" s="1"/>
  <c r="P26" i="1"/>
  <c r="P214" i="1"/>
  <c r="P288" i="1"/>
  <c r="P301" i="1"/>
  <c r="P300" i="1" s="1"/>
  <c r="P299" i="1" s="1"/>
  <c r="P308" i="1"/>
  <c r="O221" i="3" s="1"/>
  <c r="P306" i="1"/>
  <c r="P305" i="1"/>
  <c r="O174" i="3" s="1"/>
  <c r="O173" i="3" s="1"/>
  <c r="P309" i="1"/>
  <c r="P243" i="1"/>
  <c r="P41" i="1"/>
  <c r="P39" i="1"/>
  <c r="O152" i="3" s="1"/>
  <c r="P37" i="1"/>
  <c r="O149" i="3" s="1"/>
  <c r="P35" i="1"/>
  <c r="P31" i="1"/>
  <c r="P29" i="1"/>
  <c r="O120" i="3" s="1"/>
  <c r="P27" i="1"/>
  <c r="P159" i="1"/>
  <c r="P153" i="1"/>
  <c r="O99" i="3" s="1"/>
  <c r="P152" i="1"/>
  <c r="O98" i="3" s="1"/>
  <c r="P149" i="1"/>
  <c r="O95" i="3" s="1"/>
  <c r="P147" i="1"/>
  <c r="O93" i="3" s="1"/>
  <c r="P145" i="1"/>
  <c r="O91" i="3" s="1"/>
  <c r="P143" i="1"/>
  <c r="P138" i="1"/>
  <c r="J204" i="1"/>
  <c r="P219" i="1"/>
  <c r="P221" i="1"/>
  <c r="P216" i="1"/>
  <c r="P282" i="1"/>
  <c r="O187" i="3" s="1"/>
  <c r="P277" i="1"/>
  <c r="P23" i="1"/>
  <c r="O21" i="3" s="1"/>
  <c r="P33" i="1"/>
  <c r="P234" i="1"/>
  <c r="O157" i="3" s="1"/>
  <c r="P298" i="1"/>
  <c r="P40" i="1"/>
  <c r="O153" i="3" s="1"/>
  <c r="P78" i="1"/>
  <c r="O36" i="3" s="1"/>
  <c r="P207" i="1"/>
  <c r="P218" i="1"/>
  <c r="P217" i="1"/>
  <c r="P317" i="1"/>
  <c r="P274" i="1"/>
  <c r="P275" i="1"/>
  <c r="P320" i="1"/>
  <c r="O243" i="3" s="1"/>
  <c r="J313" i="1"/>
  <c r="J63" i="1"/>
  <c r="P304" i="1"/>
  <c r="P269" i="1"/>
  <c r="P268" i="1" s="1"/>
  <c r="P267" i="1" s="1"/>
  <c r="P77" i="1"/>
  <c r="J17" i="1"/>
  <c r="P199" i="1"/>
  <c r="O256" i="3" l="1"/>
  <c r="O154" i="3"/>
  <c r="O146" i="3" s="1"/>
  <c r="P18" i="1"/>
  <c r="D175" i="3"/>
  <c r="P224" i="1"/>
  <c r="D24" i="3"/>
  <c r="P64" i="1"/>
  <c r="P63" i="1" s="1"/>
  <c r="D229" i="3"/>
  <c r="O253" i="3"/>
  <c r="O245" i="3" s="1"/>
  <c r="D253" i="3"/>
  <c r="D245" i="3" s="1"/>
  <c r="D100" i="3"/>
  <c r="P293" i="1"/>
  <c r="D155" i="3"/>
  <c r="E323" i="1"/>
  <c r="O19" i="3"/>
  <c r="O17" i="3" s="1"/>
  <c r="O139" i="3"/>
  <c r="O38" i="3"/>
  <c r="O24" i="3" s="1"/>
  <c r="D79" i="3"/>
  <c r="O218" i="3"/>
  <c r="O240" i="3"/>
  <c r="O238" i="3" s="1"/>
  <c r="D215" i="3"/>
  <c r="P213" i="1"/>
  <c r="O225" i="3"/>
  <c r="D146" i="3"/>
  <c r="P128" i="1"/>
  <c r="P127" i="1" s="1"/>
  <c r="P205" i="1"/>
  <c r="O214" i="3"/>
  <c r="O213" i="3" s="1"/>
  <c r="O142" i="3"/>
  <c r="O131" i="3"/>
  <c r="O84" i="3"/>
  <c r="O107" i="3"/>
  <c r="O89" i="3"/>
  <c r="O160" i="3"/>
  <c r="O237" i="3"/>
  <c r="O236" i="3" s="1"/>
  <c r="O161" i="3"/>
  <c r="O226" i="3"/>
  <c r="O166" i="3"/>
  <c r="P314" i="1"/>
  <c r="P303" i="1"/>
  <c r="O179" i="3"/>
  <c r="O175" i="3" s="1"/>
  <c r="O138" i="3"/>
  <c r="D141" i="3"/>
  <c r="O217" i="3"/>
  <c r="O231" i="3"/>
  <c r="O162" i="3"/>
  <c r="O145" i="3"/>
  <c r="O144" i="3"/>
  <c r="O111" i="3"/>
  <c r="O143" i="3"/>
  <c r="O108" i="3"/>
  <c r="L270" i="1"/>
  <c r="L323" i="1" s="1"/>
  <c r="D167" i="3" l="1"/>
  <c r="D258" i="3" s="1"/>
  <c r="O215" i="3"/>
  <c r="O167" i="3" s="1"/>
  <c r="O79" i="3"/>
  <c r="O229" i="3"/>
  <c r="O141" i="3"/>
  <c r="P276" i="1"/>
  <c r="P271" i="1" s="1"/>
  <c r="J270" i="1"/>
  <c r="O165" i="3" l="1"/>
  <c r="O155" i="3" s="1"/>
  <c r="J106" i="3" l="1"/>
  <c r="J100" i="3" s="1"/>
  <c r="K163" i="1"/>
  <c r="K323" i="1" s="1"/>
  <c r="N106" i="3"/>
  <c r="N100" i="3" s="1"/>
  <c r="O163" i="1"/>
  <c r="O323" i="1" s="1"/>
  <c r="O336" i="1" s="1"/>
  <c r="J172" i="1"/>
  <c r="J164" i="1" s="1"/>
  <c r="N258" i="3" l="1"/>
  <c r="J258" i="3"/>
  <c r="I106" i="3"/>
  <c r="I100" i="3" s="1"/>
  <c r="P172" i="1"/>
  <c r="P164" i="1" s="1"/>
  <c r="P17" i="1"/>
  <c r="P292" i="1"/>
  <c r="P313" i="1"/>
  <c r="I258" i="3" l="1"/>
  <c r="O106" i="3"/>
  <c r="O100" i="3" s="1"/>
  <c r="P163" i="1"/>
  <c r="J163" i="1"/>
  <c r="J323" i="1" s="1"/>
  <c r="P302" i="1"/>
  <c r="P270" i="1"/>
  <c r="P223" i="1"/>
  <c r="P212" i="1"/>
  <c r="P204" i="1"/>
  <c r="O258" i="3" l="1"/>
  <c r="P323" i="1"/>
  <c r="C56" i="1"/>
  <c r="C317" i="1" l="1"/>
  <c r="D317" i="1"/>
  <c r="B317" i="1"/>
  <c r="C259" i="1"/>
  <c r="D259" i="1"/>
  <c r="B259" i="1"/>
  <c r="C176" i="1" l="1"/>
  <c r="D176" i="1"/>
  <c r="B176" i="1"/>
  <c r="C33" i="1"/>
  <c r="B33" i="1"/>
  <c r="B149" i="1"/>
  <c r="C149" i="1"/>
  <c r="D149" i="1"/>
  <c r="B184" i="1"/>
  <c r="C184" i="1"/>
  <c r="D184" i="1"/>
  <c r="B186" i="1"/>
  <c r="C186" i="1"/>
  <c r="C180" i="1"/>
  <c r="D180" i="1"/>
  <c r="B180" i="1"/>
  <c r="C298" i="1"/>
  <c r="B298" i="1"/>
  <c r="C295" i="1"/>
  <c r="D295" i="1"/>
  <c r="B295" i="1"/>
  <c r="D153" i="1"/>
  <c r="C153" i="1"/>
  <c r="B153" i="1"/>
  <c r="C152" i="1"/>
  <c r="D152" i="1"/>
  <c r="B152" i="1"/>
  <c r="C53" i="1"/>
  <c r="B53" i="1"/>
  <c r="C203" i="1"/>
  <c r="B203" i="1"/>
  <c r="C199" i="1"/>
  <c r="D199" i="1"/>
  <c r="C200" i="1"/>
  <c r="B200" i="1"/>
  <c r="B199" i="1"/>
  <c r="C192" i="1"/>
  <c r="D192" i="1"/>
  <c r="B192" i="1"/>
  <c r="C191" i="1"/>
  <c r="D191" i="1"/>
  <c r="B191" i="1"/>
  <c r="C190" i="1"/>
  <c r="B190" i="1"/>
  <c r="C189" i="1"/>
  <c r="D189" i="1"/>
  <c r="B189" i="1"/>
  <c r="C188" i="1"/>
  <c r="D188" i="1"/>
  <c r="B188" i="1"/>
  <c r="C183" i="1"/>
  <c r="D183" i="1"/>
  <c r="B183" i="1"/>
  <c r="C182" i="1"/>
  <c r="D182" i="1"/>
  <c r="B182" i="1"/>
  <c r="C178" i="1"/>
  <c r="D178" i="1"/>
  <c r="B178" i="1"/>
  <c r="C177" i="1"/>
  <c r="D177" i="1"/>
  <c r="B177" i="1"/>
  <c r="C174" i="1"/>
  <c r="D174" i="1"/>
  <c r="B174" i="1"/>
  <c r="C173" i="1"/>
  <c r="B173" i="1"/>
  <c r="C172" i="1"/>
  <c r="D172" i="1"/>
  <c r="B172" i="1"/>
  <c r="C159" i="1"/>
  <c r="B159" i="1"/>
  <c r="C147" i="1"/>
  <c r="D147" i="1"/>
  <c r="B147" i="1"/>
  <c r="C145" i="1"/>
  <c r="D145" i="1"/>
  <c r="B145" i="1"/>
  <c r="C143" i="1"/>
  <c r="B143" i="1"/>
  <c r="C138" i="1"/>
  <c r="B138" i="1"/>
  <c r="C98" i="1"/>
  <c r="C100" i="1"/>
  <c r="C79" i="1"/>
  <c r="B79" i="1"/>
  <c r="C78" i="1"/>
  <c r="B78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4" i="1"/>
  <c r="D44" i="1"/>
  <c r="B44" i="1"/>
  <c r="C31" i="1"/>
  <c r="C32" i="1"/>
  <c r="B32" i="1"/>
  <c r="B31" i="1"/>
  <c r="C34" i="1"/>
  <c r="C35" i="1"/>
  <c r="B34" i="1"/>
  <c r="C41" i="1"/>
  <c r="D41" i="1"/>
  <c r="B41" i="1"/>
  <c r="C40" i="1"/>
  <c r="D40" i="1"/>
  <c r="B40" i="1"/>
  <c r="C39" i="1"/>
  <c r="B39" i="1"/>
  <c r="C38" i="1"/>
  <c r="B38" i="1"/>
  <c r="C37" i="1"/>
  <c r="B37" i="1"/>
  <c r="C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09" i="1"/>
  <c r="C209" i="1"/>
  <c r="B209" i="1"/>
  <c r="C216" i="1"/>
  <c r="D216" i="1"/>
  <c r="B216" i="1"/>
  <c r="C218" i="1"/>
  <c r="D218" i="1"/>
  <c r="C219" i="1"/>
  <c r="D219" i="1"/>
  <c r="B219" i="1"/>
  <c r="B218" i="1"/>
  <c r="C221" i="1"/>
  <c r="B221" i="1"/>
  <c r="C233" i="1"/>
  <c r="D233" i="1"/>
  <c r="B233" i="1"/>
  <c r="C237" i="1"/>
  <c r="D237" i="1"/>
  <c r="B237" i="1"/>
  <c r="C236" i="1"/>
  <c r="D236" i="1"/>
  <c r="B236" i="1"/>
  <c r="C235" i="1"/>
  <c r="D235" i="1"/>
  <c r="B235" i="1"/>
  <c r="C234" i="1"/>
  <c r="D234" i="1"/>
  <c r="B234" i="1"/>
  <c r="C238" i="1"/>
  <c r="D238" i="1"/>
  <c r="B238" i="1"/>
  <c r="C239" i="1"/>
  <c r="D239" i="1"/>
  <c r="B239" i="1"/>
  <c r="C242" i="1"/>
  <c r="D242" i="1"/>
  <c r="B242" i="1"/>
  <c r="C243" i="1"/>
  <c r="B243" i="1"/>
  <c r="C244" i="1"/>
  <c r="B244" i="1"/>
  <c r="C258" i="1"/>
  <c r="B258" i="1"/>
  <c r="C264" i="1"/>
  <c r="D264" i="1"/>
  <c r="B264" i="1"/>
  <c r="C266" i="1"/>
  <c r="B266" i="1"/>
  <c r="C275" i="1"/>
  <c r="D275" i="1"/>
  <c r="B275" i="1"/>
  <c r="C276" i="1"/>
  <c r="B276" i="1"/>
  <c r="C277" i="1"/>
  <c r="D277" i="1"/>
  <c r="B277" i="1"/>
  <c r="C279" i="1"/>
  <c r="B279" i="1"/>
  <c r="C278" i="1"/>
  <c r="B278" i="1"/>
  <c r="C282" i="1"/>
  <c r="B282" i="1"/>
  <c r="C288" i="1"/>
  <c r="B288" i="1"/>
  <c r="C305" i="1"/>
  <c r="D305" i="1"/>
  <c r="B305" i="1"/>
  <c r="C306" i="1"/>
  <c r="D306" i="1"/>
  <c r="B306" i="1"/>
  <c r="C307" i="1"/>
  <c r="D307" i="1"/>
  <c r="B307" i="1"/>
  <c r="C308" i="1"/>
  <c r="D308" i="1"/>
  <c r="B308" i="1"/>
  <c r="C309" i="1"/>
  <c r="D309" i="1"/>
  <c r="B309" i="1"/>
  <c r="C316" i="1"/>
  <c r="B316" i="1"/>
  <c r="C319" i="1"/>
  <c r="D319" i="1"/>
  <c r="B319" i="1"/>
  <c r="C320" i="1"/>
  <c r="D320" i="1"/>
  <c r="B320" i="1"/>
  <c r="C321" i="1"/>
  <c r="D321" i="1"/>
  <c r="C322" i="1"/>
  <c r="D322" i="1"/>
  <c r="B322" i="1"/>
  <c r="C315" i="1"/>
  <c r="B315" i="1"/>
  <c r="C304" i="1"/>
  <c r="B304" i="1"/>
  <c r="C301" i="1"/>
  <c r="B301" i="1"/>
  <c r="C294" i="1"/>
  <c r="B294" i="1"/>
  <c r="C274" i="1"/>
  <c r="B274" i="1"/>
  <c r="C269" i="1"/>
  <c r="B269" i="1"/>
  <c r="C231" i="1"/>
  <c r="B231" i="1"/>
  <c r="C214" i="1"/>
  <c r="B214" i="1"/>
  <c r="C207" i="1"/>
  <c r="B207" i="1"/>
  <c r="C170" i="1"/>
  <c r="B170" i="1"/>
  <c r="C137" i="1"/>
  <c r="B137" i="1"/>
  <c r="C77" i="1"/>
  <c r="B77" i="1"/>
  <c r="C21" i="1"/>
  <c r="B21" i="1"/>
  <c r="E81" i="3" l="1"/>
  <c r="D81" i="3" l="1"/>
  <c r="I81" i="3"/>
  <c r="O81" i="3" l="1"/>
  <c r="D80" i="3" l="1"/>
  <c r="I83" i="3"/>
  <c r="I82" i="3"/>
  <c r="O83" i="3"/>
  <c r="O82" i="3" l="1"/>
  <c r="I80" i="3"/>
  <c r="O80" i="3" l="1"/>
  <c r="I198" i="3" l="1"/>
  <c r="I169" i="3" s="1"/>
  <c r="D198" i="3"/>
  <c r="D169" i="3" s="1"/>
  <c r="D260" i="3" l="1"/>
  <c r="I260" i="3"/>
  <c r="O198" i="3"/>
  <c r="O169" i="3" s="1"/>
  <c r="O260" i="3" l="1"/>
  <c r="D168" i="3"/>
  <c r="I176" i="3" l="1"/>
  <c r="I259" i="3" s="1"/>
  <c r="O176" i="3"/>
  <c r="O259" i="3" s="1"/>
  <c r="O168" i="3" l="1"/>
  <c r="I168" i="3"/>
</calcChain>
</file>

<file path=xl/sharedStrings.xml><?xml version="1.0" encoding="utf-8"?>
<sst xmlns="http://schemas.openxmlformats.org/spreadsheetml/2006/main" count="1076" uniqueCount="629">
  <si>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</si>
  <si>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</si>
  <si>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</si>
  <si>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</si>
  <si>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</si>
  <si>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</si>
  <si>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</si>
  <si>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</si>
  <si>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</si>
  <si>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</si>
  <si>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</si>
  <si>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</si>
  <si>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</si>
  <si>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</si>
  <si>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</si>
  <si>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</si>
  <si>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</si>
  <si>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</si>
  <si>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</si>
  <si>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</si>
  <si>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</si>
  <si>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</si>
  <si>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</si>
  <si>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</si>
  <si>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</si>
  <si>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</si>
  <si>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</si>
  <si>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</si>
  <si>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</si>
  <si>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</si>
  <si>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</si>
  <si>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</si>
  <si>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</si>
  <si>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</si>
  <si>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</si>
  <si>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</si>
  <si>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</si>
  <si>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</si>
  <si>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</si>
  <si>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</si>
  <si>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</si>
  <si>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</si>
  <si>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</si>
  <si>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</si>
  <si>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</si>
  <si>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</si>
  <si>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</si>
  <si>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</si>
  <si>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</si>
  <si>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</si>
  <si>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</si>
  <si>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</si>
  <si>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</si>
  <si>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</si>
  <si>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</si>
  <si>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</si>
  <si>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</si>
  <si>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</si>
  <si>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</si>
  <si>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</si>
  <si>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</si>
  <si>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</si>
  <si>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</si>
  <si>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</si>
  <si>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</si>
  <si>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</si>
  <si>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</si>
  <si>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</si>
  <si>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</si>
  <si>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</si>
  <si>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</si>
  <si>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</si>
  <si>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</si>
  <si>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</si>
  <si>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</si>
  <si>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</si>
  <si>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</si>
  <si>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</si>
  <si>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</si>
  <si>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</si>
  <si>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</si>
  <si>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</si>
  <si>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</si>
  <si>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</si>
  <si>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</si>
  <si>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</si>
  <si>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</si>
  <si>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</si>
  <si>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</si>
  <si>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</si>
  <si>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</si>
  <si>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</si>
  <si>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</si>
  <si>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</si>
  <si>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</si>
  <si>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</si>
  <si>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</si>
  <si>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</si>
  <si>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</si>
  <si>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</si>
  <si>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</si>
  <si>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</si>
  <si>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</si>
  <si>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</si>
  <si>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</si>
  <si>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</si>
  <si>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</si>
  <si>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</si>
  <si>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</si>
  <si>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</si>
  <si>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</si>
  <si>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</si>
  <si>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</si>
  <si>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</si>
  <si>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</si>
  <si>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</si>
  <si>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</si>
  <si>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</si>
  <si>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</si>
  <si>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</si>
  <si>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</si>
  <si>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</si>
  <si>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</si>
  <si>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</si>
  <si>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</si>
  <si>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</si>
  <si>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</si>
  <si>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</si>
  <si>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</si>
  <si>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</si>
  <si>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</si>
  <si>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</si>
  <si>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</si>
  <si>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</si>
  <si>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</si>
  <si>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</si>
  <si>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</si>
  <si>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</si>
  <si>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</si>
  <si>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</si>
  <si>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</si>
  <si>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</si>
  <si>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</si>
  <si>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</si>
  <si>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</si>
  <si>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</si>
  <si>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</si>
  <si>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</si>
  <si>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</si>
  <si>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</si>
  <si>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</si>
  <si>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</si>
  <si>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</si>
  <si>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</si>
  <si>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</si>
  <si>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</si>
  <si>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</si>
  <si>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</si>
  <si>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</si>
  <si>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</si>
  <si>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</si>
  <si>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</si>
  <si>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</si>
  <si>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</si>
  <si>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</si>
  <si>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</si>
  <si>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</si>
  <si>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</si>
  <si>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</si>
  <si>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</si>
  <si>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</si>
  <si>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</si>
  <si>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</si>
  <si>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</si>
  <si>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</si>
  <si>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</si>
  <si>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</si>
  <si>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</si>
  <si>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</si>
  <si>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</si>
  <si>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</si>
  <si>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</si>
  <si>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</si>
  <si>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</si>
  <si>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</si>
  <si>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</si>
  <si>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</si>
  <si>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</si>
  <si>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</si>
  <si>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</si>
  <si>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</si>
  <si>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</si>
  <si>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</si>
  <si>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</si>
  <si>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</si>
  <si>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</si>
  <si>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</si>
  <si>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</si>
  <si>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</si>
  <si>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</si>
  <si>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</si>
  <si>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</si>
  <si>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</si>
  <si>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</si>
  <si>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</si>
  <si>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</si>
  <si>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</si>
  <si>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</si>
  <si>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</si>
  <si>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</si>
  <si>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</si>
  <si>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</si>
  <si>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</si>
  <si>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</si>
  <si>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</si>
  <si>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</si>
  <si>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</si>
  <si>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</si>
  <si>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</si>
  <si>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</si>
  <si>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</si>
  <si>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</si>
  <si>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</si>
  <si>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</si>
  <si>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</si>
  <si>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</si>
  <si>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</si>
  <si>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</si>
  <si>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</si>
  <si>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</si>
  <si>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</si>
  <si>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</si>
  <si>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</si>
  <si>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</si>
  <si>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</si>
  <si>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</si>
  <si>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</si>
  <si>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</si>
  <si>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</si>
  <si>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</si>
  <si>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</si>
  <si>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</si>
  <si>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</si>
  <si>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</si>
  <si>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</si>
  <si>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</si>
  <si>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</si>
  <si>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</si>
  <si>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</si>
  <si>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</si>
  <si>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</si>
  <si>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</si>
  <si>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</si>
  <si>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</si>
  <si>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</si>
  <si>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</si>
  <si>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</si>
  <si>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</si>
  <si>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</si>
  <si>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</si>
  <si>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</si>
  <si>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</si>
  <si>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</si>
  <si>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</si>
  <si>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</si>
  <si>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</si>
  <si>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</si>
  <si>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</si>
  <si>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</si>
  <si>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</si>
  <si>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</si>
  <si>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</si>
  <si>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</si>
  <si>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</si>
  <si>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</si>
  <si>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</si>
  <si>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</si>
  <si>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</si>
  <si>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</si>
  <si>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</si>
  <si>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</si>
  <si>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</si>
  <si>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</si>
  <si>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</si>
  <si>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</si>
  <si>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</si>
  <si>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</si>
  <si>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</si>
  <si>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</si>
  <si>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</si>
  <si>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</si>
  <si>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</si>
  <si>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</si>
  <si>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</si>
  <si>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</si>
  <si>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</si>
  <si>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</si>
  <si>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</si>
  <si>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</si>
  <si>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</si>
  <si>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</si>
  <si>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</si>
  <si>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</si>
  <si>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</si>
  <si>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</si>
  <si>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</si>
  <si>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</si>
  <si>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</si>
  <si>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</si>
  <si>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</si>
  <si>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</si>
  <si>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</si>
  <si>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</si>
  <si>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</si>
  <si>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</si>
  <si>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</si>
  <si>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</si>
  <si>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</si>
  <si>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</si>
  <si>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</si>
  <si>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</si>
  <si>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</si>
  <si>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</si>
  <si>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</si>
  <si>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</si>
  <si>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</si>
  <si>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</si>
  <si>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</si>
  <si>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</si>
  <si>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</si>
  <si>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</si>
  <si>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</si>
  <si>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</si>
  <si>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</si>
  <si>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</si>
  <si>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</si>
  <si>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</si>
  <si>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</si>
  <si>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</si>
  <si>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</si>
  <si>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</si>
  <si>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</si>
  <si>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</si>
  <si>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</si>
  <si>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</si>
  <si>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</si>
  <si>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</si>
  <si>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</si>
  <si>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</si>
  <si>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</si>
  <si>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</si>
  <si>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</si>
  <si>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</si>
  <si>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</si>
  <si>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</si>
  <si>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</si>
  <si>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</si>
  <si>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</si>
  <si>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</si>
  <si>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</si>
  <si>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</si>
  <si>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</si>
  <si>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</si>
  <si>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</si>
  <si>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</si>
  <si>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</si>
  <si>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</si>
  <si>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</si>
  <si>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</si>
  <si>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</si>
  <si>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</si>
  <si>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</si>
  <si>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</si>
  <si>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</si>
  <si>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</si>
  <si>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</si>
  <si>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</si>
  <si>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</si>
  <si>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</si>
  <si>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</si>
  <si>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</si>
  <si>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</si>
  <si>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</si>
  <si>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</si>
  <si>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</si>
  <si>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</si>
  <si>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</si>
  <si>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</si>
  <si>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</si>
  <si>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</si>
  <si>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</si>
  <si>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</si>
  <si>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</si>
  <si>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</si>
  <si>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</si>
  <si>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</si>
  <si>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</si>
  <si>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</si>
  <si>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</si>
  <si>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</si>
  <si>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</si>
  <si>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</si>
  <si>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</si>
  <si>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</si>
  <si>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</si>
  <si>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</si>
  <si>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</si>
  <si>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</si>
  <si>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</si>
  <si>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</si>
  <si>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</si>
  <si>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</si>
  <si>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</si>
  <si>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</si>
  <si>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</si>
  <si>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</si>
  <si>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</si>
  <si>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</si>
  <si>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</si>
  <si>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</si>
  <si>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</si>
  <si>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</si>
  <si>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</si>
  <si>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</si>
  <si>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</si>
  <si>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</si>
  <si>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</si>
  <si>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</si>
  <si>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</si>
  <si>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</si>
  <si>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</si>
  <si>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</si>
  <si>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</si>
  <si>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</si>
  <si>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</si>
  <si>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</si>
  <si>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</si>
  <si>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</si>
  <si>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</si>
  <si>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</si>
  <si>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</si>
  <si>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</si>
  <si>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</si>
  <si>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</si>
  <si>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</si>
  <si>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</si>
  <si>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</si>
  <si>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</si>
  <si>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</si>
  <si>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</si>
  <si>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</si>
  <si>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</si>
  <si>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</si>
  <si>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</si>
  <si>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</si>
  <si>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</si>
  <si>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</si>
  <si>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</si>
  <si>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</si>
  <si>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</si>
  <si>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</si>
  <si>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</si>
  <si>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</si>
  <si>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</si>
  <si>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</si>
  <si>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</si>
  <si>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</si>
  <si>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</si>
  <si>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</si>
  <si>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</si>
  <si>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</si>
  <si>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</si>
  <si>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</si>
  <si>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</si>
  <si>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</si>
  <si>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</si>
  <si>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</si>
  <si>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</si>
  <si>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</si>
  <si>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</si>
  <si>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</si>
  <si>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</si>
  <si>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</si>
  <si>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</si>
  <si>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</si>
  <si>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</si>
  <si>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</si>
  <si>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</si>
  <si>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</si>
  <si>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</si>
  <si>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</si>
  <si>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</si>
  <si>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</si>
  <si>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</si>
  <si>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</si>
  <si>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</si>
  <si>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</si>
  <si>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</si>
  <si>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</si>
  <si>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</si>
  <si>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</si>
  <si>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</si>
  <si>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</si>
  <si>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</si>
  <si>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</si>
  <si>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</si>
  <si>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</si>
  <si>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</si>
  <si>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</si>
  <si>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</si>
  <si>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</si>
  <si>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</si>
  <si>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</si>
  <si>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</si>
  <si>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</si>
  <si>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</si>
  <si>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</si>
  <si>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</si>
  <si>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</si>
  <si>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</si>
  <si>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</si>
  <si>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</si>
  <si>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</si>
  <si>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</si>
  <si>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</si>
  <si>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</si>
  <si>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</si>
  <si>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</si>
  <si>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</si>
  <si>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</si>
  <si>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</si>
  <si>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</si>
  <si>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</si>
  <si>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</si>
  <si>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</si>
  <si>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</si>
  <si>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</si>
  <si>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</si>
  <si>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</si>
  <si>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</si>
  <si>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</si>
  <si>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</si>
  <si>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</si>
  <si>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</si>
  <si>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</si>
  <si>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</si>
  <si>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</si>
  <si>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</si>
  <si>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</si>
  <si>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</si>
  <si>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</si>
  <si>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</si>
  <si>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</si>
  <si>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</si>
  <si>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</si>
  <si>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</si>
  <si>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</si>
  <si>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</si>
  <si>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</si>
  <si>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</si>
  <si>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</si>
  <si>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</si>
  <si>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</si>
  <si>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</si>
  <si>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</si>
  <si>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</si>
  <si>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</si>
  <si>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</si>
  <si>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</si>
  <si>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</si>
  <si>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</si>
  <si>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</si>
  <si>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</si>
  <si>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до      рішення      Сумської     міської         ради</t>
  </si>
  <si>
    <t xml:space="preserve">Сумської  міської  ради від 24 грудня 2020 року </t>
  </si>
  <si>
    <t xml:space="preserve">№ 62 - МР «Про   бюджет    Сумської     міської </t>
  </si>
  <si>
    <t>«Про       внесення       змін       до         рішення</t>
  </si>
  <si>
    <t>до      рішення      Сумської      міської        ради</t>
  </si>
  <si>
    <t>територіальної     громади    на      2021       рік»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</si>
  <si>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</si>
  <si>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</si>
  <si>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</si>
  <si>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</si>
  <si>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</si>
  <si>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</si>
  <si>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</si>
  <si>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</si>
  <si>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</si>
  <si>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</si>
  <si>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</si>
  <si>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</si>
  <si>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</si>
  <si>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</si>
  <si>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</si>
  <si>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</si>
  <si>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</si>
  <si>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</si>
  <si>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</si>
  <si>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</si>
  <si>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</si>
  <si>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</si>
  <si>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</si>
  <si>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</si>
  <si>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</si>
  <si>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</si>
  <si>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   Додаток 3</t>
  </si>
  <si>
    <t>територіальної     громади      на      2021      рік»</t>
  </si>
  <si>
    <t xml:space="preserve">Сумської  міської ради від 24 грудня 2020 року </t>
  </si>
  <si>
    <t xml:space="preserve">№ 62 - МР «Про   бюджет    Сумської    міської 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</si>
  <si>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</si>
  <si>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</si>
  <si>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</si>
  <si>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Багатопрофільна стаціонарна медична допомога населенню,  у т.ч. за рахунок: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</si>
  <si>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</si>
  <si>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</si>
  <si>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</si>
  <si>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</si>
  <si>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</si>
  <si>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</si>
  <si>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</si>
  <si>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</si>
  <si>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закладів, </t>
    </r>
    <r>
      <rPr>
        <i/>
        <sz val="12"/>
        <rFont val="Times New Roman"/>
        <family val="1"/>
        <charset val="204"/>
      </rPr>
      <t xml:space="preserve"> у т.ч. за рахунок:</t>
    </r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</si>
  <si>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</si>
  <si>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                               Додаток 7</t>
  </si>
  <si>
    <t>від     15    грудня    2021   року   №    2549 - МР</t>
  </si>
  <si>
    <t>від    15     грудня     2021   року   №  2549   -  МР</t>
  </si>
  <si>
    <t>«Про       внесення        змін        до        рішення</t>
  </si>
  <si>
    <t>Виконавець: Липова С.А.  ___________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</si>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</sst>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67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Border="1" applyAlignment="1">
      <alignment horizontal="right" wrapText="1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>
      <alignment horizontal="center"/>
    </xf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Alignment="1">
      <alignment horizontal="left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/>
    <xf numFmtId="4" fontId="2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 applyProtection="1">
      <alignment horizontal="left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3" fontId="47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Alignment="1">
      <alignment horizontal="left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8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 vertical="center"/>
    </xf>
    <xf numFmtId="0" fontId="39" fillId="0" borderId="0" xfId="0" applyFont="1" applyFill="1" applyAlignment="1"/>
    <xf numFmtId="0" fontId="40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707"/>
  <sheetViews>
    <sheetView showGridLines="0" showZeros="0" tabSelected="1" view="pageBreakPreview" topLeftCell="A318" zoomScale="68" zoomScaleNormal="82" zoomScaleSheetLayoutView="68" workbookViewId="0">
      <selection activeCell="D329" sqref="D329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47" customWidth="1"/>
    <col min="6" max="6" width="22.5" style="47" customWidth="1"/>
    <col min="7" max="7" width="23.83203125" style="47" customWidth="1"/>
    <col min="8" max="8" width="21.5" style="47" customWidth="1"/>
    <col min="9" max="9" width="19.6640625" style="47" customWidth="1"/>
    <col min="10" max="10" width="20.5" style="47" customWidth="1"/>
    <col min="11" max="11" width="22.5" style="47" customWidth="1"/>
    <col min="12" max="12" width="20" style="47" customWidth="1"/>
    <col min="13" max="13" width="19.5" style="47" customWidth="1"/>
    <col min="14" max="14" width="18" style="47" customWidth="1"/>
    <col min="15" max="15" width="21.1640625" style="47" customWidth="1"/>
    <col min="16" max="16" width="23" style="153" bestFit="1" customWidth="1"/>
    <col min="17" max="17" width="11.5" style="28" customWidth="1"/>
    <col min="18" max="18" width="34" style="28" customWidth="1"/>
    <col min="19" max="527" width="9.1640625" style="28"/>
    <col min="528" max="16384" width="9.1640625" style="20"/>
  </cols>
  <sheetData>
    <row r="1" spans="1:527" ht="26.25" customHeight="1" x14ac:dyDescent="0.4">
      <c r="K1" s="148" t="s">
        <v>605</v>
      </c>
      <c r="L1" s="148"/>
      <c r="M1" s="148"/>
      <c r="N1" s="148"/>
      <c r="O1" s="148"/>
      <c r="P1" s="148"/>
    </row>
    <row r="2" spans="1:527" ht="26.25" customHeight="1" x14ac:dyDescent="0.25">
      <c r="K2" s="91" t="s">
        <v>573</v>
      </c>
      <c r="L2" s="91"/>
      <c r="M2" s="91"/>
      <c r="N2" s="91"/>
      <c r="O2" s="91"/>
      <c r="P2" s="91"/>
    </row>
    <row r="3" spans="1:527" ht="26.25" customHeight="1" x14ac:dyDescent="0.4">
      <c r="K3" s="158" t="s">
        <v>626</v>
      </c>
      <c r="L3" s="158"/>
      <c r="M3" s="158"/>
      <c r="N3" s="158"/>
      <c r="O3" s="158"/>
      <c r="P3" s="158"/>
    </row>
    <row r="4" spans="1:527" ht="26.25" customHeight="1" x14ac:dyDescent="0.4">
      <c r="K4" s="158" t="s">
        <v>574</v>
      </c>
      <c r="L4" s="158"/>
      <c r="M4" s="158"/>
      <c r="N4" s="158"/>
      <c r="O4" s="158"/>
      <c r="P4" s="158"/>
    </row>
    <row r="5" spans="1:527" ht="26.25" customHeight="1" x14ac:dyDescent="0.4">
      <c r="K5" s="158" t="s">
        <v>575</v>
      </c>
      <c r="L5" s="158"/>
      <c r="M5" s="158"/>
      <c r="N5" s="158"/>
      <c r="O5" s="158"/>
      <c r="P5" s="158"/>
    </row>
    <row r="6" spans="1:527" ht="28.5" customHeight="1" x14ac:dyDescent="0.4">
      <c r="K6" s="158" t="s">
        <v>606</v>
      </c>
      <c r="L6" s="158"/>
      <c r="M6" s="158"/>
      <c r="N6" s="158"/>
      <c r="O6" s="158"/>
      <c r="P6" s="158"/>
    </row>
    <row r="7" spans="1:527" ht="28.5" customHeight="1" x14ac:dyDescent="0.4">
      <c r="K7" s="146" t="s">
        <v>534</v>
      </c>
      <c r="L7" s="146"/>
      <c r="M7" s="146"/>
      <c r="N7" s="146"/>
      <c r="O7" s="146"/>
      <c r="P7" s="146"/>
    </row>
    <row r="8" spans="1:527" ht="26.25" customHeight="1" x14ac:dyDescent="0.4">
      <c r="K8" s="158" t="s">
        <v>625</v>
      </c>
      <c r="L8" s="158"/>
      <c r="M8" s="158"/>
      <c r="N8" s="158"/>
      <c r="O8" s="158"/>
      <c r="P8" s="158"/>
    </row>
    <row r="9" spans="1:527" ht="26.25" x14ac:dyDescent="0.4">
      <c r="L9" s="62"/>
      <c r="M9" s="62"/>
      <c r="N9" s="62"/>
      <c r="O9" s="62"/>
      <c r="P9" s="62"/>
    </row>
    <row r="10" spans="1:527" s="44" customFormat="1" ht="71.25" customHeight="1" x14ac:dyDescent="0.3">
      <c r="A10" s="160" t="s">
        <v>448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154" t="s">
        <v>583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155" t="s">
        <v>582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50" t="s">
        <v>358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61" t="s">
        <v>336</v>
      </c>
      <c r="B14" s="162" t="s">
        <v>337</v>
      </c>
      <c r="C14" s="162" t="s">
        <v>327</v>
      </c>
      <c r="D14" s="162" t="s">
        <v>338</v>
      </c>
      <c r="E14" s="163" t="s">
        <v>224</v>
      </c>
      <c r="F14" s="163"/>
      <c r="G14" s="163"/>
      <c r="H14" s="163"/>
      <c r="I14" s="163"/>
      <c r="J14" s="163" t="s">
        <v>225</v>
      </c>
      <c r="K14" s="163"/>
      <c r="L14" s="163"/>
      <c r="M14" s="163"/>
      <c r="N14" s="163"/>
      <c r="O14" s="163"/>
      <c r="P14" s="163" t="s">
        <v>226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61"/>
      <c r="B15" s="162"/>
      <c r="C15" s="162"/>
      <c r="D15" s="162"/>
      <c r="E15" s="157" t="s">
        <v>328</v>
      </c>
      <c r="F15" s="157" t="s">
        <v>227</v>
      </c>
      <c r="G15" s="156" t="s">
        <v>228</v>
      </c>
      <c r="H15" s="156"/>
      <c r="I15" s="157" t="s">
        <v>229</v>
      </c>
      <c r="J15" s="157" t="s">
        <v>328</v>
      </c>
      <c r="K15" s="157" t="s">
        <v>329</v>
      </c>
      <c r="L15" s="157" t="s">
        <v>227</v>
      </c>
      <c r="M15" s="156" t="s">
        <v>228</v>
      </c>
      <c r="N15" s="156"/>
      <c r="O15" s="157" t="s">
        <v>229</v>
      </c>
      <c r="P15" s="163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88.5" customHeight="1" x14ac:dyDescent="0.2">
      <c r="A16" s="161"/>
      <c r="B16" s="162"/>
      <c r="C16" s="162"/>
      <c r="D16" s="162"/>
      <c r="E16" s="157"/>
      <c r="F16" s="157"/>
      <c r="G16" s="145" t="s">
        <v>230</v>
      </c>
      <c r="H16" s="145" t="s">
        <v>231</v>
      </c>
      <c r="I16" s="157"/>
      <c r="J16" s="157"/>
      <c r="K16" s="157"/>
      <c r="L16" s="157"/>
      <c r="M16" s="145" t="s">
        <v>230</v>
      </c>
      <c r="N16" s="145" t="s">
        <v>231</v>
      </c>
      <c r="O16" s="157"/>
      <c r="P16" s="163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19" t="s">
        <v>149</v>
      </c>
      <c r="B17" s="120"/>
      <c r="C17" s="120"/>
      <c r="D17" s="121" t="s">
        <v>35</v>
      </c>
      <c r="E17" s="94">
        <f>E18</f>
        <v>260544443.11000001</v>
      </c>
      <c r="F17" s="94">
        <f t="shared" ref="F17:J17" si="0">F18</f>
        <v>197865747.11000001</v>
      </c>
      <c r="G17" s="94">
        <f t="shared" si="0"/>
        <v>108077445</v>
      </c>
      <c r="H17" s="94">
        <f t="shared" si="0"/>
        <v>6558027</v>
      </c>
      <c r="I17" s="94">
        <f t="shared" si="0"/>
        <v>62678696</v>
      </c>
      <c r="J17" s="94">
        <f t="shared" si="0"/>
        <v>37854433.659999996</v>
      </c>
      <c r="K17" s="94">
        <f t="shared" ref="K17" si="1">K18</f>
        <v>37331638.659999996</v>
      </c>
      <c r="L17" s="94">
        <f t="shared" ref="L17" si="2">L18</f>
        <v>522795</v>
      </c>
      <c r="M17" s="94">
        <f t="shared" ref="M17" si="3">M18</f>
        <v>119291</v>
      </c>
      <c r="N17" s="94">
        <f t="shared" ref="N17" si="4">N18</f>
        <v>51832</v>
      </c>
      <c r="O17" s="94">
        <f t="shared" ref="O17:P17" si="5">O18</f>
        <v>37331638.659999996</v>
      </c>
      <c r="P17" s="94">
        <f t="shared" si="5"/>
        <v>298398876.76999998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95" t="s">
        <v>150</v>
      </c>
      <c r="B18" s="96"/>
      <c r="C18" s="96"/>
      <c r="D18" s="76" t="s">
        <v>519</v>
      </c>
      <c r="E18" s="97">
        <f>E21+E22+E23+E24+E26+E27+E28+E29+E30+E31+E32+E33+E34+E35+E36+E37+E38+E39+E40+E41+E42+E43+E44+E46+E48+E49+E50+E51+E52+E53+E54+E55+E56+E58+E59+E60+E45+E47+E62+E61</f>
        <v>260544443.11000001</v>
      </c>
      <c r="F18" s="97">
        <f t="shared" ref="F18:P18" si="6">F21+F22+F23+F24+F26+F27+F28+F29+F30+F31+F32+F33+F34+F35+F36+F37+F38+F39+F40+F41+F42+F43+F44+F46+F48+F49+F50+F51+F52+F53+F54+F55+F56+F58+F59+F60+F45+F47+F62+F61</f>
        <v>197865747.11000001</v>
      </c>
      <c r="G18" s="97">
        <f t="shared" si="6"/>
        <v>108077445</v>
      </c>
      <c r="H18" s="97">
        <f t="shared" si="6"/>
        <v>6558027</v>
      </c>
      <c r="I18" s="97">
        <f t="shared" si="6"/>
        <v>62678696</v>
      </c>
      <c r="J18" s="97">
        <f t="shared" si="6"/>
        <v>37854433.659999996</v>
      </c>
      <c r="K18" s="97">
        <f t="shared" si="6"/>
        <v>37331638.659999996</v>
      </c>
      <c r="L18" s="97">
        <f t="shared" si="6"/>
        <v>522795</v>
      </c>
      <c r="M18" s="97">
        <f t="shared" si="6"/>
        <v>119291</v>
      </c>
      <c r="N18" s="97">
        <f t="shared" si="6"/>
        <v>51832</v>
      </c>
      <c r="O18" s="97">
        <f t="shared" si="6"/>
        <v>37331638.659999996</v>
      </c>
      <c r="P18" s="97">
        <f t="shared" si="6"/>
        <v>298398876.76999998</v>
      </c>
      <c r="Q18" s="33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95"/>
      <c r="B19" s="96"/>
      <c r="C19" s="96"/>
      <c r="D19" s="76" t="s">
        <v>382</v>
      </c>
      <c r="E19" s="97">
        <f>E57</f>
        <v>588815</v>
      </c>
      <c r="F19" s="97">
        <f t="shared" ref="F19:P19" si="7">F57</f>
        <v>588815</v>
      </c>
      <c r="G19" s="97">
        <f t="shared" si="7"/>
        <v>482635</v>
      </c>
      <c r="H19" s="97">
        <f t="shared" si="7"/>
        <v>0</v>
      </c>
      <c r="I19" s="97">
        <f t="shared" si="7"/>
        <v>0</v>
      </c>
      <c r="J19" s="97">
        <f t="shared" si="7"/>
        <v>0</v>
      </c>
      <c r="K19" s="97">
        <f t="shared" si="7"/>
        <v>0</v>
      </c>
      <c r="L19" s="97">
        <f t="shared" si="7"/>
        <v>0</v>
      </c>
      <c r="M19" s="97">
        <f t="shared" si="7"/>
        <v>0</v>
      </c>
      <c r="N19" s="97">
        <f t="shared" si="7"/>
        <v>0</v>
      </c>
      <c r="O19" s="97">
        <f t="shared" si="7"/>
        <v>0</v>
      </c>
      <c r="P19" s="97">
        <f t="shared" si="7"/>
        <v>588815</v>
      </c>
      <c r="Q19" s="33"/>
      <c r="R19" s="32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95"/>
      <c r="B20" s="96"/>
      <c r="C20" s="96"/>
      <c r="D20" s="76" t="str">
        <f>'дод 7'!C23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97">
        <f>E25</f>
        <v>0</v>
      </c>
      <c r="F20" s="97">
        <f t="shared" ref="F20:P20" si="8">F25</f>
        <v>0</v>
      </c>
      <c r="G20" s="97">
        <f t="shared" si="8"/>
        <v>0</v>
      </c>
      <c r="H20" s="97">
        <f t="shared" si="8"/>
        <v>0</v>
      </c>
      <c r="I20" s="97">
        <f t="shared" si="8"/>
        <v>0</v>
      </c>
      <c r="J20" s="97">
        <f t="shared" si="8"/>
        <v>0</v>
      </c>
      <c r="K20" s="97">
        <f t="shared" si="8"/>
        <v>0</v>
      </c>
      <c r="L20" s="97">
        <f t="shared" si="8"/>
        <v>0</v>
      </c>
      <c r="M20" s="97">
        <f t="shared" si="8"/>
        <v>0</v>
      </c>
      <c r="N20" s="97">
        <f t="shared" si="8"/>
        <v>0</v>
      </c>
      <c r="O20" s="97">
        <f t="shared" si="8"/>
        <v>0</v>
      </c>
      <c r="P20" s="97">
        <f t="shared" si="8"/>
        <v>0</v>
      </c>
      <c r="Q20" s="33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59" t="s">
        <v>151</v>
      </c>
      <c r="B21" s="92" t="str">
        <f>'дод 7'!A19</f>
        <v>0160</v>
      </c>
      <c r="C21" s="92" t="str">
        <f>'дод 7'!B19</f>
        <v>0111</v>
      </c>
      <c r="D21" s="36" t="s">
        <v>493</v>
      </c>
      <c r="E21" s="98">
        <f t="shared" ref="E21:E62" si="9">F21+I21</f>
        <v>113179546</v>
      </c>
      <c r="F21" s="98">
        <f>112926046+38700+214800</f>
        <v>113179546</v>
      </c>
      <c r="G21" s="98">
        <f>82129700+31700+80000</f>
        <v>82241400</v>
      </c>
      <c r="H21" s="98">
        <f>3011146+214800+582000</f>
        <v>3807946</v>
      </c>
      <c r="I21" s="98"/>
      <c r="J21" s="98">
        <f>L21+O21</f>
        <v>0</v>
      </c>
      <c r="K21" s="98"/>
      <c r="L21" s="98"/>
      <c r="M21" s="98"/>
      <c r="N21" s="98"/>
      <c r="O21" s="98"/>
      <c r="P21" s="98">
        <f t="shared" ref="P21:P62" si="10">E21+J21</f>
        <v>113179546</v>
      </c>
      <c r="Q21" s="23"/>
      <c r="R21" s="32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hidden="1" customHeight="1" x14ac:dyDescent="0.25">
      <c r="A22" s="59" t="s">
        <v>451</v>
      </c>
      <c r="B22" s="59" t="s">
        <v>90</v>
      </c>
      <c r="C22" s="59" t="s">
        <v>461</v>
      </c>
      <c r="D22" s="36" t="s">
        <v>452</v>
      </c>
      <c r="E22" s="98">
        <f t="shared" si="9"/>
        <v>0</v>
      </c>
      <c r="F22" s="98">
        <f>200000-200000</f>
        <v>0</v>
      </c>
      <c r="G22" s="98"/>
      <c r="H22" s="98"/>
      <c r="I22" s="98"/>
      <c r="J22" s="98">
        <f>L22+O22</f>
        <v>0</v>
      </c>
      <c r="K22" s="98"/>
      <c r="L22" s="98"/>
      <c r="M22" s="98"/>
      <c r="N22" s="98"/>
      <c r="O22" s="98"/>
      <c r="P22" s="98">
        <f t="shared" si="10"/>
        <v>0</v>
      </c>
      <c r="Q22" s="23"/>
      <c r="R22" s="3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59" t="s">
        <v>241</v>
      </c>
      <c r="B23" s="92" t="str">
        <f>'дод 7'!A21</f>
        <v>0180</v>
      </c>
      <c r="C23" s="92" t="str">
        <f>'дод 7'!B21</f>
        <v>0133</v>
      </c>
      <c r="D23" s="60" t="str">
        <f>'дод 7'!C21</f>
        <v>Інша діяльність у сфері державного управління</v>
      </c>
      <c r="E23" s="98">
        <f t="shared" si="9"/>
        <v>396000</v>
      </c>
      <c r="F23" s="98">
        <v>396000</v>
      </c>
      <c r="G23" s="98"/>
      <c r="H23" s="98"/>
      <c r="I23" s="98"/>
      <c r="J23" s="98">
        <f t="shared" ref="J23:J25" si="11">L23+O23</f>
        <v>0</v>
      </c>
      <c r="K23" s="98"/>
      <c r="L23" s="98"/>
      <c r="M23" s="98"/>
      <c r="N23" s="98"/>
      <c r="O23" s="98"/>
      <c r="P23" s="98">
        <f t="shared" si="10"/>
        <v>396000</v>
      </c>
      <c r="Q23" s="23"/>
      <c r="R23" s="32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59" t="s">
        <v>434</v>
      </c>
      <c r="B24" s="59" t="s">
        <v>435</v>
      </c>
      <c r="C24" s="59" t="s">
        <v>119</v>
      </c>
      <c r="D24" s="60" t="s">
        <v>436</v>
      </c>
      <c r="E24" s="98">
        <f t="shared" si="9"/>
        <v>0</v>
      </c>
      <c r="F24" s="98"/>
      <c r="G24" s="98"/>
      <c r="H24" s="98"/>
      <c r="I24" s="98"/>
      <c r="J24" s="98">
        <f t="shared" si="11"/>
        <v>0</v>
      </c>
      <c r="K24" s="98"/>
      <c r="L24" s="98"/>
      <c r="M24" s="98"/>
      <c r="N24" s="98"/>
      <c r="O24" s="98"/>
      <c r="P24" s="98">
        <f t="shared" si="10"/>
        <v>0</v>
      </c>
      <c r="Q24" s="23"/>
      <c r="R24" s="32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3"/>
      <c r="B25" s="99"/>
      <c r="C25" s="99"/>
      <c r="D25" s="86" t="str">
        <f>'дод 7'!C23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0">
        <f t="shared" si="9"/>
        <v>0</v>
      </c>
      <c r="F25" s="100"/>
      <c r="G25" s="100"/>
      <c r="H25" s="100"/>
      <c r="I25" s="100"/>
      <c r="J25" s="100">
        <f t="shared" si="11"/>
        <v>0</v>
      </c>
      <c r="K25" s="100"/>
      <c r="L25" s="100"/>
      <c r="M25" s="100"/>
      <c r="N25" s="100"/>
      <c r="O25" s="100"/>
      <c r="P25" s="100">
        <f t="shared" si="10"/>
        <v>0</v>
      </c>
      <c r="Q25" s="30"/>
      <c r="R25" s="3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7.25" customHeight="1" x14ac:dyDescent="0.25">
      <c r="A26" s="59" t="s">
        <v>257</v>
      </c>
      <c r="B26" s="92" t="str">
        <f>'дод 7'!A108</f>
        <v>3033</v>
      </c>
      <c r="C26" s="92" t="str">
        <f>'дод 7'!B108</f>
        <v>1070</v>
      </c>
      <c r="D26" s="60" t="s">
        <v>411</v>
      </c>
      <c r="E26" s="98">
        <f t="shared" si="9"/>
        <v>350460</v>
      </c>
      <c r="F26" s="98">
        <f>314360+36100</f>
        <v>350460</v>
      </c>
      <c r="G26" s="98"/>
      <c r="H26" s="98"/>
      <c r="I26" s="98"/>
      <c r="J26" s="98">
        <f t="shared" ref="J26:J62" si="12">L26+O26</f>
        <v>0</v>
      </c>
      <c r="K26" s="98"/>
      <c r="L26" s="98"/>
      <c r="M26" s="98"/>
      <c r="N26" s="98"/>
      <c r="O26" s="98"/>
      <c r="P26" s="98">
        <f t="shared" si="10"/>
        <v>350460</v>
      </c>
      <c r="Q26" s="23"/>
      <c r="R26" s="32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59" t="s">
        <v>152</v>
      </c>
      <c r="B27" s="92" t="str">
        <f>'дод 7'!A111</f>
        <v>3036</v>
      </c>
      <c r="C27" s="92" t="str">
        <f>'дод 7'!B111</f>
        <v>1070</v>
      </c>
      <c r="D27" s="60" t="str">
        <f>'дод 7'!C111</f>
        <v>Компенсаційні виплати на пільговий проїзд електротранспортом окремим категоріям громадян</v>
      </c>
      <c r="E27" s="98">
        <f t="shared" si="9"/>
        <v>467186</v>
      </c>
      <c r="F27" s="98">
        <f>465886-45400+46700</f>
        <v>467186</v>
      </c>
      <c r="G27" s="98"/>
      <c r="H27" s="98"/>
      <c r="I27" s="98"/>
      <c r="J27" s="98">
        <f t="shared" si="12"/>
        <v>0</v>
      </c>
      <c r="K27" s="98"/>
      <c r="L27" s="98"/>
      <c r="M27" s="98"/>
      <c r="N27" s="98"/>
      <c r="O27" s="98"/>
      <c r="P27" s="98">
        <f t="shared" si="10"/>
        <v>467186</v>
      </c>
      <c r="Q27" s="23"/>
      <c r="R27" s="3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59" t="s">
        <v>153</v>
      </c>
      <c r="B28" s="92" t="str">
        <f>'дод 7'!A119</f>
        <v>3121</v>
      </c>
      <c r="C28" s="92" t="str">
        <f>'дод 7'!B119</f>
        <v>1040</v>
      </c>
      <c r="D28" s="60" t="s">
        <v>500</v>
      </c>
      <c r="E28" s="98">
        <f t="shared" si="9"/>
        <v>3222540</v>
      </c>
      <c r="F28" s="98">
        <f>3210440+9700+2400</f>
        <v>3222540</v>
      </c>
      <c r="G28" s="98">
        <v>2407050</v>
      </c>
      <c r="H28" s="98">
        <f>43630+9700+2400</f>
        <v>55730</v>
      </c>
      <c r="I28" s="98"/>
      <c r="J28" s="98">
        <f t="shared" si="12"/>
        <v>0</v>
      </c>
      <c r="K28" s="98"/>
      <c r="L28" s="98"/>
      <c r="M28" s="98"/>
      <c r="N28" s="98"/>
      <c r="O28" s="98"/>
      <c r="P28" s="98">
        <f t="shared" si="10"/>
        <v>3222540</v>
      </c>
      <c r="Q28" s="23"/>
      <c r="R28" s="3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59" t="s">
        <v>154</v>
      </c>
      <c r="B29" s="92" t="str">
        <f>'дод 7'!A120</f>
        <v>3131</v>
      </c>
      <c r="C29" s="92" t="str">
        <f>'дод 7'!B120</f>
        <v>1040</v>
      </c>
      <c r="D29" s="60" t="str">
        <f>'дод 7'!C120</f>
        <v>Здійснення заходів та реалізація проектів на виконання Державної цільової соціальної програми "Молодь України"</v>
      </c>
      <c r="E29" s="98">
        <f t="shared" si="9"/>
        <v>556216</v>
      </c>
      <c r="F29" s="98">
        <f>783850-128084-99550</f>
        <v>556216</v>
      </c>
      <c r="G29" s="98"/>
      <c r="H29" s="98"/>
      <c r="I29" s="98"/>
      <c r="J29" s="98">
        <f t="shared" si="12"/>
        <v>0</v>
      </c>
      <c r="K29" s="98"/>
      <c r="L29" s="98"/>
      <c r="M29" s="98"/>
      <c r="N29" s="98"/>
      <c r="O29" s="98"/>
      <c r="P29" s="98">
        <f t="shared" si="10"/>
        <v>556216</v>
      </c>
      <c r="Q29" s="23"/>
      <c r="R29" s="32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63" x14ac:dyDescent="0.25">
      <c r="A30" s="59" t="s">
        <v>155</v>
      </c>
      <c r="B30" s="92" t="str">
        <f>'дод 7'!A121</f>
        <v>3140</v>
      </c>
      <c r="C30" s="92" t="str">
        <f>'дод 7'!B121</f>
        <v>1040</v>
      </c>
      <c r="D30" s="60" t="s">
        <v>20</v>
      </c>
      <c r="E30" s="98">
        <f t="shared" si="9"/>
        <v>280000</v>
      </c>
      <c r="F30" s="98">
        <v>280000</v>
      </c>
      <c r="G30" s="98"/>
      <c r="H30" s="98"/>
      <c r="I30" s="98"/>
      <c r="J30" s="98">
        <f t="shared" si="12"/>
        <v>0</v>
      </c>
      <c r="K30" s="98"/>
      <c r="L30" s="98"/>
      <c r="M30" s="98"/>
      <c r="N30" s="98"/>
      <c r="O30" s="98"/>
      <c r="P30" s="98">
        <f t="shared" si="10"/>
        <v>280000</v>
      </c>
      <c r="Q30" s="23"/>
      <c r="R30" s="32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59" t="s">
        <v>305</v>
      </c>
      <c r="B31" s="92" t="str">
        <f>'дод 7'!A138</f>
        <v>3241</v>
      </c>
      <c r="C31" s="92" t="str">
        <f>'дод 7'!B138</f>
        <v>1090</v>
      </c>
      <c r="D31" s="3" t="s">
        <v>292</v>
      </c>
      <c r="E31" s="98">
        <f t="shared" si="9"/>
        <v>1559812</v>
      </c>
      <c r="F31" s="98">
        <f>1539992+12900+6920</f>
        <v>1559812</v>
      </c>
      <c r="G31" s="98">
        <f>1078950-832</f>
        <v>1078118</v>
      </c>
      <c r="H31" s="98">
        <f>118232+12900+6920</f>
        <v>138052</v>
      </c>
      <c r="I31" s="98"/>
      <c r="J31" s="98">
        <f t="shared" si="12"/>
        <v>0</v>
      </c>
      <c r="K31" s="98"/>
      <c r="L31" s="98"/>
      <c r="M31" s="98"/>
      <c r="N31" s="98"/>
      <c r="O31" s="98"/>
      <c r="P31" s="98">
        <f t="shared" si="10"/>
        <v>1559812</v>
      </c>
      <c r="Q31" s="23"/>
      <c r="R31" s="3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59" t="s">
        <v>306</v>
      </c>
      <c r="B32" s="92" t="str">
        <f>'дод 7'!A139</f>
        <v>3242</v>
      </c>
      <c r="C32" s="92" t="str">
        <f>'дод 7'!B139</f>
        <v>1090</v>
      </c>
      <c r="D32" s="60" t="s">
        <v>412</v>
      </c>
      <c r="E32" s="98">
        <f t="shared" si="9"/>
        <v>257400</v>
      </c>
      <c r="F32" s="98">
        <v>257400</v>
      </c>
      <c r="G32" s="98"/>
      <c r="H32" s="98"/>
      <c r="I32" s="98"/>
      <c r="J32" s="98">
        <f t="shared" si="12"/>
        <v>0</v>
      </c>
      <c r="K32" s="98"/>
      <c r="L32" s="98"/>
      <c r="M32" s="98"/>
      <c r="N32" s="98"/>
      <c r="O32" s="98"/>
      <c r="P32" s="98">
        <f t="shared" si="10"/>
        <v>257400</v>
      </c>
      <c r="Q32" s="23"/>
      <c r="R32" s="3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49.5" customHeight="1" x14ac:dyDescent="0.25">
      <c r="A33" s="59" t="s">
        <v>318</v>
      </c>
      <c r="B33" s="92" t="str">
        <f>'дод 7'!A143</f>
        <v>4060</v>
      </c>
      <c r="C33" s="92" t="str">
        <f>'дод 7'!B143</f>
        <v>0828</v>
      </c>
      <c r="D33" s="60" t="s">
        <v>321</v>
      </c>
      <c r="E33" s="98">
        <f t="shared" si="9"/>
        <v>5164600</v>
      </c>
      <c r="F33" s="101">
        <f>4945509-36200+255291</f>
        <v>5164600</v>
      </c>
      <c r="G33" s="98">
        <f>2526200+209255</f>
        <v>2735455</v>
      </c>
      <c r="H33" s="98">
        <f>724709-36200</f>
        <v>688509</v>
      </c>
      <c r="I33" s="98"/>
      <c r="J33" s="98">
        <f t="shared" si="12"/>
        <v>0</v>
      </c>
      <c r="K33" s="98"/>
      <c r="L33" s="98"/>
      <c r="M33" s="98"/>
      <c r="N33" s="98"/>
      <c r="O33" s="98"/>
      <c r="P33" s="98">
        <f t="shared" si="10"/>
        <v>5164600</v>
      </c>
      <c r="Q33" s="23"/>
      <c r="R33" s="3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59" t="s">
        <v>303</v>
      </c>
      <c r="B34" s="92" t="str">
        <f>'дод 7'!A144</f>
        <v>4081</v>
      </c>
      <c r="C34" s="92" t="str">
        <f>'дод 7'!B144</f>
        <v>0829</v>
      </c>
      <c r="D34" s="60" t="s">
        <v>343</v>
      </c>
      <c r="E34" s="98">
        <f t="shared" si="9"/>
        <v>3073881</v>
      </c>
      <c r="F34" s="98">
        <f>2963381+92000+18500</f>
        <v>3073881</v>
      </c>
      <c r="G34" s="98">
        <f>1687000-15000</f>
        <v>1672000</v>
      </c>
      <c r="H34" s="98">
        <f>93181+18500</f>
        <v>111681</v>
      </c>
      <c r="I34" s="98"/>
      <c r="J34" s="98">
        <f t="shared" si="12"/>
        <v>65000</v>
      </c>
      <c r="K34" s="98">
        <v>65000</v>
      </c>
      <c r="L34" s="98"/>
      <c r="M34" s="98"/>
      <c r="N34" s="98"/>
      <c r="O34" s="98">
        <v>65000</v>
      </c>
      <c r="P34" s="98">
        <f t="shared" si="10"/>
        <v>3138881</v>
      </c>
      <c r="Q34" s="23"/>
      <c r="R34" s="3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59" t="s">
        <v>304</v>
      </c>
      <c r="B35" s="92">
        <v>4082</v>
      </c>
      <c r="C35" s="92" t="str">
        <f>'дод 7'!B145</f>
        <v>0829</v>
      </c>
      <c r="D35" s="60" t="s">
        <v>295</v>
      </c>
      <c r="E35" s="98">
        <f t="shared" si="9"/>
        <v>417511</v>
      </c>
      <c r="F35" s="98">
        <f>424181-6670</f>
        <v>417511</v>
      </c>
      <c r="G35" s="98"/>
      <c r="H35" s="98"/>
      <c r="I35" s="98"/>
      <c r="J35" s="98">
        <f t="shared" si="12"/>
        <v>0</v>
      </c>
      <c r="K35" s="98"/>
      <c r="L35" s="98"/>
      <c r="M35" s="98"/>
      <c r="N35" s="98"/>
      <c r="O35" s="98"/>
      <c r="P35" s="98">
        <f t="shared" si="10"/>
        <v>417511</v>
      </c>
      <c r="Q35" s="23"/>
      <c r="R35" s="3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2" t="s">
        <v>156</v>
      </c>
      <c r="B36" s="42" t="str">
        <f>'дод 7'!A148</f>
        <v>5011</v>
      </c>
      <c r="C36" s="42" t="str">
        <f>'дод 7'!B148</f>
        <v>0810</v>
      </c>
      <c r="D36" s="36" t="s">
        <v>21</v>
      </c>
      <c r="E36" s="98">
        <f t="shared" si="9"/>
        <v>710000</v>
      </c>
      <c r="F36" s="98">
        <v>710000</v>
      </c>
      <c r="G36" s="98"/>
      <c r="H36" s="98"/>
      <c r="I36" s="98"/>
      <c r="J36" s="98">
        <f t="shared" si="12"/>
        <v>0</v>
      </c>
      <c r="K36" s="98"/>
      <c r="L36" s="98"/>
      <c r="M36" s="98"/>
      <c r="N36" s="98"/>
      <c r="O36" s="98"/>
      <c r="P36" s="98">
        <f t="shared" si="10"/>
        <v>710000</v>
      </c>
      <c r="Q36" s="23"/>
      <c r="R36" s="3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2" t="s">
        <v>157</v>
      </c>
      <c r="B37" s="42" t="str">
        <f>'дод 7'!A149</f>
        <v>5012</v>
      </c>
      <c r="C37" s="42" t="str">
        <f>'дод 7'!B149</f>
        <v>0810</v>
      </c>
      <c r="D37" s="36" t="s">
        <v>16</v>
      </c>
      <c r="E37" s="98">
        <f t="shared" si="9"/>
        <v>1031480</v>
      </c>
      <c r="F37" s="98">
        <v>1031480</v>
      </c>
      <c r="G37" s="98"/>
      <c r="H37" s="98"/>
      <c r="I37" s="98"/>
      <c r="J37" s="98">
        <f t="shared" si="12"/>
        <v>0</v>
      </c>
      <c r="K37" s="98"/>
      <c r="L37" s="98"/>
      <c r="M37" s="98"/>
      <c r="N37" s="98"/>
      <c r="O37" s="98"/>
      <c r="P37" s="98">
        <f t="shared" si="10"/>
        <v>1031480</v>
      </c>
      <c r="Q37" s="23"/>
      <c r="R37" s="3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4.5" customHeight="1" x14ac:dyDescent="0.25">
      <c r="A38" s="102" t="s">
        <v>158</v>
      </c>
      <c r="B38" s="42" t="str">
        <f>'дод 7'!A150</f>
        <v>5031</v>
      </c>
      <c r="C38" s="42" t="str">
        <f>'дод 7'!B150</f>
        <v>0810</v>
      </c>
      <c r="D38" s="36" t="s">
        <v>601</v>
      </c>
      <c r="E38" s="98">
        <f t="shared" si="9"/>
        <v>18432123</v>
      </c>
      <c r="F38" s="98">
        <f>18039683+5000+81600+69600+47240+49000+70000+70000</f>
        <v>18432123</v>
      </c>
      <c r="G38" s="98">
        <f>12968625-3090+66900+17457+5600</f>
        <v>13055492</v>
      </c>
      <c r="H38" s="98">
        <f>840273+69600+1560+47240</f>
        <v>958673</v>
      </c>
      <c r="I38" s="98"/>
      <c r="J38" s="98">
        <f t="shared" si="12"/>
        <v>200700</v>
      </c>
      <c r="K38" s="98">
        <v>200700</v>
      </c>
      <c r="L38" s="98"/>
      <c r="M38" s="98"/>
      <c r="N38" s="98"/>
      <c r="O38" s="98">
        <v>200700</v>
      </c>
      <c r="P38" s="98">
        <f t="shared" si="10"/>
        <v>18632823</v>
      </c>
      <c r="Q38" s="23"/>
      <c r="R38" s="3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2" t="s">
        <v>357</v>
      </c>
      <c r="B39" s="42" t="str">
        <f>'дод 7'!A152</f>
        <v>5032</v>
      </c>
      <c r="C39" s="42" t="str">
        <f>'дод 7'!B152</f>
        <v>0810</v>
      </c>
      <c r="D39" s="36" t="s">
        <v>22</v>
      </c>
      <c r="E39" s="98">
        <f t="shared" si="9"/>
        <v>14994942</v>
      </c>
      <c r="F39" s="98">
        <f>14952642+10000+17300+15000</f>
        <v>14994942</v>
      </c>
      <c r="G39" s="98"/>
      <c r="H39" s="98"/>
      <c r="I39" s="98"/>
      <c r="J39" s="98">
        <f t="shared" si="12"/>
        <v>357100</v>
      </c>
      <c r="K39" s="98">
        <f>372100-15000</f>
        <v>357100</v>
      </c>
      <c r="L39" s="98"/>
      <c r="M39" s="98"/>
      <c r="N39" s="98"/>
      <c r="O39" s="98">
        <f>372100-15000</f>
        <v>357100</v>
      </c>
      <c r="P39" s="98">
        <f t="shared" si="10"/>
        <v>15352042</v>
      </c>
      <c r="Q39" s="23"/>
      <c r="R39" s="32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2" t="s">
        <v>159</v>
      </c>
      <c r="B40" s="42" t="str">
        <f>'дод 7'!A153</f>
        <v>5061</v>
      </c>
      <c r="C40" s="42" t="str">
        <f>'дод 7'!B153</f>
        <v>0810</v>
      </c>
      <c r="D40" s="36" t="str">
        <f>'дод 7'!C153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98">
        <f t="shared" si="9"/>
        <v>5088784</v>
      </c>
      <c r="F40" s="98">
        <f>4983184+105600</f>
        <v>5088784</v>
      </c>
      <c r="G40" s="98">
        <f>2987400-6370</f>
        <v>2981030</v>
      </c>
      <c r="H40" s="98">
        <f>319039+105600</f>
        <v>424639</v>
      </c>
      <c r="I40" s="98"/>
      <c r="J40" s="98">
        <f t="shared" si="12"/>
        <v>1742994</v>
      </c>
      <c r="K40" s="98">
        <v>1530000</v>
      </c>
      <c r="L40" s="98">
        <v>212994</v>
      </c>
      <c r="M40" s="98">
        <v>119291</v>
      </c>
      <c r="N40" s="98">
        <v>50432</v>
      </c>
      <c r="O40" s="98">
        <v>1530000</v>
      </c>
      <c r="P40" s="98">
        <f t="shared" si="10"/>
        <v>6831778</v>
      </c>
      <c r="Q40" s="23"/>
      <c r="R40" s="32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2" t="s">
        <v>349</v>
      </c>
      <c r="B41" s="42" t="str">
        <f>'дод 7'!A154</f>
        <v>5062</v>
      </c>
      <c r="C41" s="42" t="str">
        <f>'дод 7'!B154</f>
        <v>0810</v>
      </c>
      <c r="D41" s="36" t="str">
        <f>'дод 7'!C154</f>
        <v>Підтримка спорту вищих досягнень та організацій, які здійснюють фізкультурно-спортивну діяльність в регіоні</v>
      </c>
      <c r="E41" s="98">
        <f t="shared" si="9"/>
        <v>16391395</v>
      </c>
      <c r="F41" s="98">
        <f>14968695+500000+47700+50000+825000</f>
        <v>16391395</v>
      </c>
      <c r="G41" s="98"/>
      <c r="H41" s="98"/>
      <c r="I41" s="98"/>
      <c r="J41" s="98">
        <f t="shared" si="12"/>
        <v>0</v>
      </c>
      <c r="K41" s="98"/>
      <c r="L41" s="98"/>
      <c r="M41" s="98"/>
      <c r="N41" s="98"/>
      <c r="O41" s="98"/>
      <c r="P41" s="98">
        <f t="shared" si="10"/>
        <v>16391395</v>
      </c>
      <c r="Q41" s="23"/>
      <c r="R41" s="32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2" t="s">
        <v>414</v>
      </c>
      <c r="B42" s="42">
        <v>7325</v>
      </c>
      <c r="C42" s="72" t="s">
        <v>111</v>
      </c>
      <c r="D42" s="6" t="s">
        <v>545</v>
      </c>
      <c r="E42" s="98">
        <f t="shared" si="9"/>
        <v>0</v>
      </c>
      <c r="F42" s="98"/>
      <c r="G42" s="98"/>
      <c r="H42" s="98"/>
      <c r="I42" s="98"/>
      <c r="J42" s="98">
        <f t="shared" si="12"/>
        <v>7444674</v>
      </c>
      <c r="K42" s="98">
        <f>9790000-325291-1950035-70000</f>
        <v>7444674</v>
      </c>
      <c r="L42" s="98"/>
      <c r="M42" s="98"/>
      <c r="N42" s="98"/>
      <c r="O42" s="98">
        <f>9790000-325291-1950035-70000</f>
        <v>7444674</v>
      </c>
      <c r="P42" s="98">
        <f t="shared" si="10"/>
        <v>7444674</v>
      </c>
      <c r="Q42" s="23"/>
      <c r="R42" s="32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2" t="s">
        <v>415</v>
      </c>
      <c r="B43" s="42">
        <v>7330</v>
      </c>
      <c r="C43" s="72" t="s">
        <v>111</v>
      </c>
      <c r="D43" s="6" t="s">
        <v>546</v>
      </c>
      <c r="E43" s="98">
        <f t="shared" si="9"/>
        <v>0</v>
      </c>
      <c r="F43" s="98"/>
      <c r="G43" s="98"/>
      <c r="H43" s="98"/>
      <c r="I43" s="98"/>
      <c r="J43" s="98">
        <f t="shared" si="12"/>
        <v>400000</v>
      </c>
      <c r="K43" s="98">
        <v>400000</v>
      </c>
      <c r="L43" s="98"/>
      <c r="M43" s="98"/>
      <c r="N43" s="98"/>
      <c r="O43" s="98">
        <v>400000</v>
      </c>
      <c r="P43" s="98">
        <f t="shared" si="10"/>
        <v>400000</v>
      </c>
      <c r="Q43" s="23"/>
      <c r="R43" s="3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2" t="s">
        <v>160</v>
      </c>
      <c r="B44" s="42" t="str">
        <f>'дод 7'!A201</f>
        <v>7412</v>
      </c>
      <c r="C44" s="42" t="str">
        <f>'дод 7'!B201</f>
        <v>0451</v>
      </c>
      <c r="D44" s="36" t="str">
        <f>'дод 7'!C201</f>
        <v>Регулювання цін на послуги місцевого автотранспорту</v>
      </c>
      <c r="E44" s="98">
        <f t="shared" si="9"/>
        <v>6542500</v>
      </c>
      <c r="F44" s="98"/>
      <c r="G44" s="98"/>
      <c r="H44" s="98"/>
      <c r="I44" s="98">
        <v>6542500</v>
      </c>
      <c r="J44" s="98">
        <f t="shared" si="12"/>
        <v>0</v>
      </c>
      <c r="K44" s="98"/>
      <c r="L44" s="98"/>
      <c r="M44" s="98"/>
      <c r="N44" s="98"/>
      <c r="O44" s="98"/>
      <c r="P44" s="98">
        <f t="shared" si="10"/>
        <v>6542500</v>
      </c>
      <c r="Q44" s="23"/>
      <c r="R44" s="32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2" t="s">
        <v>377</v>
      </c>
      <c r="B45" s="42">
        <f>'дод 7'!A202</f>
        <v>7413</v>
      </c>
      <c r="C45" s="42" t="str">
        <f>'дод 7'!B202</f>
        <v>0451</v>
      </c>
      <c r="D45" s="103" t="str">
        <f>'дод 7'!C202</f>
        <v>Інші заходи у сфері автотранспорту</v>
      </c>
      <c r="E45" s="98">
        <f t="shared" si="9"/>
        <v>12800000</v>
      </c>
      <c r="F45" s="98"/>
      <c r="G45" s="98"/>
      <c r="H45" s="98"/>
      <c r="I45" s="98">
        <v>12800000</v>
      </c>
      <c r="J45" s="98">
        <f t="shared" si="12"/>
        <v>0</v>
      </c>
      <c r="K45" s="98"/>
      <c r="L45" s="98"/>
      <c r="M45" s="98"/>
      <c r="N45" s="98"/>
      <c r="O45" s="98"/>
      <c r="P45" s="98">
        <f t="shared" si="10"/>
        <v>12800000</v>
      </c>
      <c r="Q45" s="23"/>
      <c r="R45" s="3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31.5" x14ac:dyDescent="0.25">
      <c r="A46" s="102" t="s">
        <v>564</v>
      </c>
      <c r="B46" s="42">
        <v>7422</v>
      </c>
      <c r="C46" s="102" t="s">
        <v>413</v>
      </c>
      <c r="D46" s="103" t="s">
        <v>565</v>
      </c>
      <c r="E46" s="98">
        <f t="shared" si="9"/>
        <v>5893900</v>
      </c>
      <c r="F46" s="98"/>
      <c r="G46" s="98"/>
      <c r="H46" s="98"/>
      <c r="I46" s="98">
        <f>4314400+1579500</f>
        <v>5893900</v>
      </c>
      <c r="J46" s="98">
        <f t="shared" si="12"/>
        <v>0</v>
      </c>
      <c r="K46" s="98"/>
      <c r="L46" s="98"/>
      <c r="M46" s="98"/>
      <c r="N46" s="98"/>
      <c r="O46" s="98"/>
      <c r="P46" s="98">
        <f t="shared" si="10"/>
        <v>5893900</v>
      </c>
      <c r="Q46" s="23"/>
      <c r="R46" s="32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2" t="s">
        <v>378</v>
      </c>
      <c r="B47" s="42">
        <f>'дод 7'!A204</f>
        <v>7426</v>
      </c>
      <c r="C47" s="102" t="s">
        <v>413</v>
      </c>
      <c r="D47" s="103" t="str">
        <f>'дод 7'!C204</f>
        <v>Інші заходи у сфері електротранспорту</v>
      </c>
      <c r="E47" s="98">
        <f t="shared" si="9"/>
        <v>37442296</v>
      </c>
      <c r="F47" s="98"/>
      <c r="G47" s="98"/>
      <c r="H47" s="98"/>
      <c r="I47" s="98">
        <v>37442296</v>
      </c>
      <c r="J47" s="98">
        <f t="shared" si="12"/>
        <v>0</v>
      </c>
      <c r="K47" s="98"/>
      <c r="L47" s="98"/>
      <c r="M47" s="98"/>
      <c r="N47" s="98"/>
      <c r="O47" s="98"/>
      <c r="P47" s="98">
        <f t="shared" si="10"/>
        <v>37442296</v>
      </c>
      <c r="Q47" s="23"/>
      <c r="R47" s="32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24" hidden="1" customHeight="1" x14ac:dyDescent="0.25">
      <c r="A48" s="102" t="s">
        <v>453</v>
      </c>
      <c r="B48" s="102" t="s">
        <v>454</v>
      </c>
      <c r="C48" s="102" t="s">
        <v>400</v>
      </c>
      <c r="D48" s="103" t="s">
        <v>460</v>
      </c>
      <c r="E48" s="98">
        <f t="shared" si="9"/>
        <v>0</v>
      </c>
      <c r="F48" s="98">
        <f>140000-140000</f>
        <v>0</v>
      </c>
      <c r="G48" s="98"/>
      <c r="H48" s="98"/>
      <c r="I48" s="98"/>
      <c r="J48" s="98">
        <f t="shared" si="12"/>
        <v>0</v>
      </c>
      <c r="K48" s="98"/>
      <c r="L48" s="98"/>
      <c r="M48" s="98"/>
      <c r="N48" s="98"/>
      <c r="O48" s="98"/>
      <c r="P48" s="98">
        <f t="shared" si="10"/>
        <v>0</v>
      </c>
      <c r="Q48" s="23"/>
      <c r="R48" s="32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0.75" customHeight="1" x14ac:dyDescent="0.25">
      <c r="A49" s="102" t="s">
        <v>233</v>
      </c>
      <c r="B49" s="42" t="str">
        <f>'дод 7'!A214</f>
        <v>7530</v>
      </c>
      <c r="C49" s="42" t="str">
        <f>'дод 7'!B214</f>
        <v>0460</v>
      </c>
      <c r="D49" s="36" t="s">
        <v>234</v>
      </c>
      <c r="E49" s="98">
        <f t="shared" si="9"/>
        <v>5882000</v>
      </c>
      <c r="F49" s="98">
        <f>7250000-280000-480000-608000</f>
        <v>5882000</v>
      </c>
      <c r="G49" s="98"/>
      <c r="H49" s="98"/>
      <c r="I49" s="98"/>
      <c r="J49" s="98">
        <f t="shared" si="12"/>
        <v>4020000</v>
      </c>
      <c r="K49" s="98">
        <f>3150000+280000+480000+110000</f>
        <v>4020000</v>
      </c>
      <c r="L49" s="98"/>
      <c r="M49" s="98"/>
      <c r="N49" s="98"/>
      <c r="O49" s="98">
        <f>3150000+280000+480000+110000</f>
        <v>4020000</v>
      </c>
      <c r="P49" s="98">
        <f t="shared" si="10"/>
        <v>9902000</v>
      </c>
      <c r="Q49" s="23"/>
      <c r="R49" s="3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1.5" customHeight="1" x14ac:dyDescent="0.25">
      <c r="A50" s="102" t="s">
        <v>161</v>
      </c>
      <c r="B50" s="42" t="str">
        <f>'дод 7'!A217</f>
        <v>7610</v>
      </c>
      <c r="C50" s="42" t="str">
        <f>'дод 7'!B217</f>
        <v>0411</v>
      </c>
      <c r="D50" s="36" t="str">
        <f>'дод 7'!C217</f>
        <v>Сприяння розвитку малого та середнього підприємництва</v>
      </c>
      <c r="E50" s="98">
        <f t="shared" si="9"/>
        <v>60000</v>
      </c>
      <c r="F50" s="98">
        <v>60000</v>
      </c>
      <c r="G50" s="98"/>
      <c r="H50" s="98"/>
      <c r="I50" s="98"/>
      <c r="J50" s="98">
        <f t="shared" si="12"/>
        <v>0</v>
      </c>
      <c r="K50" s="98"/>
      <c r="L50" s="98"/>
      <c r="M50" s="98"/>
      <c r="N50" s="98"/>
      <c r="O50" s="98"/>
      <c r="P50" s="98">
        <f t="shared" si="10"/>
        <v>60000</v>
      </c>
      <c r="Q50" s="23"/>
      <c r="R50" s="32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3.75" customHeight="1" x14ac:dyDescent="0.25">
      <c r="A51" s="102" t="s">
        <v>162</v>
      </c>
      <c r="B51" s="42" t="str">
        <f>'дод 7'!A222</f>
        <v>7670</v>
      </c>
      <c r="C51" s="42" t="str">
        <f>'дод 7'!B222</f>
        <v>0490</v>
      </c>
      <c r="D51" s="36" t="s">
        <v>24</v>
      </c>
      <c r="E51" s="98">
        <f t="shared" si="9"/>
        <v>0</v>
      </c>
      <c r="F51" s="98"/>
      <c r="G51" s="98"/>
      <c r="H51" s="98"/>
      <c r="I51" s="98"/>
      <c r="J51" s="98">
        <f t="shared" si="12"/>
        <v>18997900</v>
      </c>
      <c r="K51" s="98">
        <v>18997900</v>
      </c>
      <c r="L51" s="98"/>
      <c r="M51" s="98"/>
      <c r="N51" s="98"/>
      <c r="O51" s="98">
        <v>18997900</v>
      </c>
      <c r="P51" s="98">
        <f t="shared" si="10"/>
        <v>18997900</v>
      </c>
      <c r="Q51" s="23"/>
      <c r="R51" s="3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36.75" customHeight="1" x14ac:dyDescent="0.25">
      <c r="A52" s="102" t="s">
        <v>247</v>
      </c>
      <c r="B52" s="42" t="str">
        <f>'дод 7'!A224</f>
        <v>7680</v>
      </c>
      <c r="C52" s="42" t="str">
        <f>'дод 7'!B224</f>
        <v>0490</v>
      </c>
      <c r="D52" s="36" t="str">
        <f>'дод 7'!C224</f>
        <v>Членські внески до асоціацій органів місцевого самоврядування</v>
      </c>
      <c r="E52" s="98">
        <f t="shared" si="9"/>
        <v>356337</v>
      </c>
      <c r="F52" s="98">
        <v>356337</v>
      </c>
      <c r="G52" s="98"/>
      <c r="H52" s="98"/>
      <c r="I52" s="98"/>
      <c r="J52" s="98">
        <f t="shared" si="12"/>
        <v>0</v>
      </c>
      <c r="K52" s="98"/>
      <c r="L52" s="98"/>
      <c r="M52" s="98"/>
      <c r="N52" s="98"/>
      <c r="O52" s="98"/>
      <c r="P52" s="98">
        <f t="shared" si="10"/>
        <v>356337</v>
      </c>
      <c r="Q52" s="23"/>
      <c r="R52" s="32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120.75" customHeight="1" x14ac:dyDescent="0.25">
      <c r="A53" s="102" t="s">
        <v>301</v>
      </c>
      <c r="B53" s="42" t="str">
        <f>'дод 7'!A225</f>
        <v>7691</v>
      </c>
      <c r="C53" s="42" t="str">
        <f>'дод 7'!B225</f>
        <v>0490</v>
      </c>
      <c r="D53" s="36" t="str">
        <f>'дод 7'!C225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98">
        <f t="shared" si="9"/>
        <v>0</v>
      </c>
      <c r="F53" s="98"/>
      <c r="G53" s="98"/>
      <c r="H53" s="98"/>
      <c r="I53" s="98"/>
      <c r="J53" s="98">
        <f t="shared" si="12"/>
        <v>54101</v>
      </c>
      <c r="K53" s="98"/>
      <c r="L53" s="98">
        <v>54101</v>
      </c>
      <c r="M53" s="98"/>
      <c r="N53" s="98"/>
      <c r="O53" s="98"/>
      <c r="P53" s="98">
        <f t="shared" si="10"/>
        <v>54101</v>
      </c>
      <c r="Q53" s="23"/>
      <c r="R53" s="3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23.25" customHeight="1" x14ac:dyDescent="0.25">
      <c r="A54" s="102" t="s">
        <v>240</v>
      </c>
      <c r="B54" s="42" t="str">
        <f>'дод 7'!A226</f>
        <v>7693</v>
      </c>
      <c r="C54" s="42" t="str">
        <f>'дод 7'!B226</f>
        <v>0490</v>
      </c>
      <c r="D54" s="36" t="str">
        <f>'дод 7'!C226</f>
        <v>Інші заходи, пов'язані з економічною діяльністю</v>
      </c>
      <c r="E54" s="98">
        <f t="shared" si="9"/>
        <v>626596</v>
      </c>
      <c r="F54" s="98">
        <f>668626-42030</f>
        <v>626596</v>
      </c>
      <c r="G54" s="98"/>
      <c r="H54" s="98"/>
      <c r="I54" s="98"/>
      <c r="J54" s="98">
        <f t="shared" si="12"/>
        <v>0</v>
      </c>
      <c r="K54" s="98"/>
      <c r="L54" s="98"/>
      <c r="M54" s="98"/>
      <c r="N54" s="98"/>
      <c r="O54" s="98"/>
      <c r="P54" s="98">
        <f t="shared" si="10"/>
        <v>626596</v>
      </c>
      <c r="Q54" s="23"/>
      <c r="R54" s="3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4.5" customHeight="1" x14ac:dyDescent="0.25">
      <c r="A55" s="102" t="s">
        <v>163</v>
      </c>
      <c r="B55" s="42" t="str">
        <f>'дод 7'!A233</f>
        <v>8110</v>
      </c>
      <c r="C55" s="42" t="str">
        <f>'дод 7'!B233</f>
        <v>0320</v>
      </c>
      <c r="D55" s="36" t="str">
        <f>'дод 7'!C233</f>
        <v>Заходи із запобігання та ліквідації надзвичайних ситуацій та наслідків стихійного лиха</v>
      </c>
      <c r="E55" s="98">
        <f t="shared" si="9"/>
        <v>328278.11000000004</v>
      </c>
      <c r="F55" s="98">
        <f>283487.34+44790.77</f>
        <v>328278.11000000004</v>
      </c>
      <c r="G55" s="98"/>
      <c r="H55" s="98">
        <f>6500-150</f>
        <v>6350</v>
      </c>
      <c r="I55" s="98"/>
      <c r="J55" s="98">
        <f t="shared" si="12"/>
        <v>1398264.66</v>
      </c>
      <c r="K55" s="98">
        <v>1398264.66</v>
      </c>
      <c r="L55" s="98"/>
      <c r="M55" s="98"/>
      <c r="N55" s="98"/>
      <c r="O55" s="98">
        <v>1398264.66</v>
      </c>
      <c r="P55" s="98">
        <f t="shared" si="10"/>
        <v>1726542.77</v>
      </c>
      <c r="Q55" s="23"/>
      <c r="R55" s="32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2" customFormat="1" ht="30.75" customHeight="1" x14ac:dyDescent="0.25">
      <c r="A56" s="102" t="s">
        <v>223</v>
      </c>
      <c r="B56" s="42" t="str">
        <f>'дод 7'!A234</f>
        <v>8120</v>
      </c>
      <c r="C56" s="42" t="str">
        <f>'дод 7'!B234</f>
        <v>0320</v>
      </c>
      <c r="D56" s="36" t="str">
        <f>'дод 7'!C234</f>
        <v>Заходи з організації рятування на водах, у т.ч. за рахунок:</v>
      </c>
      <c r="E56" s="98">
        <f t="shared" si="9"/>
        <v>2449105</v>
      </c>
      <c r="F56" s="98">
        <v>2449105</v>
      </c>
      <c r="G56" s="98">
        <v>1906900</v>
      </c>
      <c r="H56" s="98">
        <v>73705</v>
      </c>
      <c r="I56" s="98"/>
      <c r="J56" s="98">
        <f t="shared" si="12"/>
        <v>5700</v>
      </c>
      <c r="K56" s="98"/>
      <c r="L56" s="98">
        <v>5700</v>
      </c>
      <c r="M56" s="98"/>
      <c r="N56" s="98">
        <v>1400</v>
      </c>
      <c r="O56" s="98"/>
      <c r="P56" s="98">
        <f t="shared" si="10"/>
        <v>2454805</v>
      </c>
      <c r="Q56" s="23"/>
      <c r="R56" s="32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</row>
    <row r="57" spans="1:527" s="24" customFormat="1" ht="63" x14ac:dyDescent="0.25">
      <c r="A57" s="104"/>
      <c r="B57" s="87"/>
      <c r="C57" s="87"/>
      <c r="D57" s="86" t="str">
        <f>'дод 7'!C235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0">
        <f t="shared" si="9"/>
        <v>588815</v>
      </c>
      <c r="F57" s="100">
        <v>588815</v>
      </c>
      <c r="G57" s="100">
        <v>482635</v>
      </c>
      <c r="H57" s="100"/>
      <c r="I57" s="100"/>
      <c r="J57" s="100">
        <f t="shared" si="12"/>
        <v>0</v>
      </c>
      <c r="K57" s="100"/>
      <c r="L57" s="100"/>
      <c r="M57" s="100"/>
      <c r="N57" s="100"/>
      <c r="O57" s="100"/>
      <c r="P57" s="100">
        <f t="shared" si="10"/>
        <v>588815</v>
      </c>
      <c r="Q57" s="30"/>
      <c r="R57" s="32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</row>
    <row r="58" spans="1:527" s="22" customFormat="1" ht="21.75" customHeight="1" x14ac:dyDescent="0.25">
      <c r="A58" s="102" t="s">
        <v>243</v>
      </c>
      <c r="B58" s="42" t="str">
        <f>'дод 7'!A237</f>
        <v>8230</v>
      </c>
      <c r="C58" s="42" t="str">
        <f>'дод 7'!B237</f>
        <v>0380</v>
      </c>
      <c r="D58" s="36" t="str">
        <f>'дод 7'!C237</f>
        <v>Інші заходи громадського порядку та безпеки</v>
      </c>
      <c r="E58" s="98">
        <f t="shared" si="9"/>
        <v>462056</v>
      </c>
      <c r="F58" s="98">
        <f>427256+34800</f>
        <v>462056</v>
      </c>
      <c r="G58" s="98"/>
      <c r="H58" s="98">
        <f>257942+34800</f>
        <v>292742</v>
      </c>
      <c r="I58" s="98"/>
      <c r="J58" s="98">
        <f t="shared" si="12"/>
        <v>0</v>
      </c>
      <c r="K58" s="98"/>
      <c r="L58" s="98"/>
      <c r="M58" s="98"/>
      <c r="N58" s="98"/>
      <c r="O58" s="98"/>
      <c r="P58" s="98">
        <f t="shared" si="10"/>
        <v>462056</v>
      </c>
      <c r="Q58" s="23"/>
      <c r="R58" s="32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36" customHeight="1" x14ac:dyDescent="0.25">
      <c r="A59" s="59" t="s">
        <v>164</v>
      </c>
      <c r="B59" s="92" t="str">
        <f>'дод 7'!A240</f>
        <v>8340</v>
      </c>
      <c r="C59" s="92" t="str">
        <f>'дод 7'!B240</f>
        <v>0540</v>
      </c>
      <c r="D59" s="60" t="str">
        <f>'дод 7'!C240</f>
        <v>Природоохоронні заходи за рахунок цільових фондів</v>
      </c>
      <c r="E59" s="98">
        <f t="shared" si="9"/>
        <v>0</v>
      </c>
      <c r="F59" s="98"/>
      <c r="G59" s="98"/>
      <c r="H59" s="98"/>
      <c r="I59" s="98"/>
      <c r="J59" s="98">
        <f t="shared" si="12"/>
        <v>250000</v>
      </c>
      <c r="K59" s="98"/>
      <c r="L59" s="98">
        <v>250000</v>
      </c>
      <c r="M59" s="98"/>
      <c r="N59" s="98"/>
      <c r="O59" s="98"/>
      <c r="P59" s="98">
        <f t="shared" si="10"/>
        <v>250000</v>
      </c>
      <c r="Q59" s="23"/>
      <c r="R59" s="32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26.25" customHeight="1" x14ac:dyDescent="0.25">
      <c r="A60" s="102" t="s">
        <v>254</v>
      </c>
      <c r="B60" s="42" t="str">
        <f>'дод 7'!A242</f>
        <v>8420</v>
      </c>
      <c r="C60" s="42" t="str">
        <f>'дод 7'!B242</f>
        <v>0830</v>
      </c>
      <c r="D60" s="36" t="str">
        <f>'дод 7'!C242</f>
        <v>Інші заходи у сфері засобів масової інформації</v>
      </c>
      <c r="E60" s="98">
        <f t="shared" si="9"/>
        <v>78700</v>
      </c>
      <c r="F60" s="98">
        <f>30000+48700</f>
        <v>78700</v>
      </c>
      <c r="G60" s="98"/>
      <c r="H60" s="98"/>
      <c r="I60" s="98"/>
      <c r="J60" s="98">
        <f t="shared" si="12"/>
        <v>0</v>
      </c>
      <c r="K60" s="98"/>
      <c r="L60" s="98"/>
      <c r="M60" s="98"/>
      <c r="N60" s="98"/>
      <c r="O60" s="98"/>
      <c r="P60" s="98">
        <f t="shared" si="10"/>
        <v>78700</v>
      </c>
      <c r="Q60" s="23"/>
      <c r="R60" s="32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2" customFormat="1" ht="26.25" customHeight="1" x14ac:dyDescent="0.25">
      <c r="A61" s="102" t="s">
        <v>615</v>
      </c>
      <c r="B61" s="42">
        <v>9770</v>
      </c>
      <c r="C61" s="102" t="s">
        <v>45</v>
      </c>
      <c r="D61" s="36" t="s">
        <v>356</v>
      </c>
      <c r="E61" s="98">
        <f t="shared" si="9"/>
        <v>0</v>
      </c>
      <c r="F61" s="98"/>
      <c r="G61" s="98"/>
      <c r="H61" s="98"/>
      <c r="I61" s="98"/>
      <c r="J61" s="98">
        <f t="shared" si="12"/>
        <v>35000</v>
      </c>
      <c r="K61" s="98">
        <v>35000</v>
      </c>
      <c r="L61" s="98"/>
      <c r="M61" s="98"/>
      <c r="N61" s="98"/>
      <c r="O61" s="98">
        <v>35000</v>
      </c>
      <c r="P61" s="98">
        <f t="shared" si="10"/>
        <v>35000</v>
      </c>
      <c r="Q61" s="23"/>
      <c r="R61" s="32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</row>
    <row r="62" spans="1:527" s="22" customFormat="1" ht="47.25" x14ac:dyDescent="0.25">
      <c r="A62" s="102" t="s">
        <v>381</v>
      </c>
      <c r="B62" s="42">
        <v>9800</v>
      </c>
      <c r="C62" s="102" t="s">
        <v>45</v>
      </c>
      <c r="D62" s="36" t="s">
        <v>367</v>
      </c>
      <c r="E62" s="98">
        <f t="shared" si="9"/>
        <v>2048799</v>
      </c>
      <c r="F62" s="98">
        <v>2048799</v>
      </c>
      <c r="G62" s="98"/>
      <c r="H62" s="98"/>
      <c r="I62" s="98"/>
      <c r="J62" s="98">
        <f t="shared" si="12"/>
        <v>2883000</v>
      </c>
      <c r="K62" s="98">
        <f>1483000+400000+1000000</f>
        <v>2883000</v>
      </c>
      <c r="L62" s="98"/>
      <c r="M62" s="98"/>
      <c r="N62" s="98"/>
      <c r="O62" s="98">
        <f>1483000+400000+1000000</f>
        <v>2883000</v>
      </c>
      <c r="P62" s="98">
        <f t="shared" si="10"/>
        <v>4931799</v>
      </c>
      <c r="Q62" s="23"/>
      <c r="R62" s="32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</row>
    <row r="63" spans="1:527" s="27" customFormat="1" ht="36" customHeight="1" x14ac:dyDescent="0.25">
      <c r="A63" s="105" t="s">
        <v>165</v>
      </c>
      <c r="B63" s="39"/>
      <c r="C63" s="39"/>
      <c r="D63" s="106" t="s">
        <v>25</v>
      </c>
      <c r="E63" s="94">
        <f>E64</f>
        <v>1199572407.52</v>
      </c>
      <c r="F63" s="94">
        <f t="shared" ref="F63:J63" si="13">F64</f>
        <v>1199572407.52</v>
      </c>
      <c r="G63" s="94">
        <f t="shared" si="13"/>
        <v>778320300</v>
      </c>
      <c r="H63" s="94">
        <f t="shared" si="13"/>
        <v>86744247</v>
      </c>
      <c r="I63" s="94">
        <f t="shared" si="13"/>
        <v>0</v>
      </c>
      <c r="J63" s="94">
        <f t="shared" si="13"/>
        <v>114028323.68000001</v>
      </c>
      <c r="K63" s="94">
        <f t="shared" ref="K63" si="14">K64</f>
        <v>72389873.680000007</v>
      </c>
      <c r="L63" s="94">
        <f t="shared" ref="L63" si="15">L64</f>
        <v>37465600</v>
      </c>
      <c r="M63" s="94">
        <f t="shared" ref="M63" si="16">M64</f>
        <v>2268060</v>
      </c>
      <c r="N63" s="94">
        <f t="shared" ref="N63" si="17">N64</f>
        <v>139890</v>
      </c>
      <c r="O63" s="94">
        <f t="shared" ref="O63:P63" si="18">O64</f>
        <v>76562723.680000007</v>
      </c>
      <c r="P63" s="94">
        <f t="shared" si="18"/>
        <v>1313600731.2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</row>
    <row r="64" spans="1:527" s="34" customFormat="1" ht="38.25" customHeight="1" x14ac:dyDescent="0.25">
      <c r="A64" s="107" t="s">
        <v>166</v>
      </c>
      <c r="B64" s="73"/>
      <c r="C64" s="73"/>
      <c r="D64" s="76" t="s">
        <v>507</v>
      </c>
      <c r="E64" s="97">
        <f>E77+E78+E79+E80+E81+E82+E85+E87+E89+E92+E94+E95+E96+E97+E98+E100+E101+E102+E104+E106+E108+E110+E112+E113+E114+E116+E118+E120+E121+E122+E123+E125+E126</f>
        <v>1199572407.52</v>
      </c>
      <c r="F64" s="97">
        <f t="shared" ref="F64:P64" si="19">F77+F78+F79+F80+F81+F82+F85+F87+F89+F92+F94+F95+F96+F97+F98+F100+F101+F102+F104+F106+F108+F110+F112+F113+F114+F116+F118+F120+F121+F122+F123+F125+F126</f>
        <v>1199572407.52</v>
      </c>
      <c r="G64" s="97">
        <f t="shared" si="19"/>
        <v>778320300</v>
      </c>
      <c r="H64" s="97">
        <f t="shared" si="19"/>
        <v>86744247</v>
      </c>
      <c r="I64" s="97">
        <f t="shared" si="19"/>
        <v>0</v>
      </c>
      <c r="J64" s="97">
        <f t="shared" si="19"/>
        <v>114028323.68000001</v>
      </c>
      <c r="K64" s="97">
        <f t="shared" si="19"/>
        <v>72389873.680000007</v>
      </c>
      <c r="L64" s="97">
        <f t="shared" si="19"/>
        <v>37465600</v>
      </c>
      <c r="M64" s="97">
        <f t="shared" si="19"/>
        <v>2268060</v>
      </c>
      <c r="N64" s="97">
        <f t="shared" si="19"/>
        <v>139890</v>
      </c>
      <c r="O64" s="97">
        <f t="shared" si="19"/>
        <v>76562723.680000007</v>
      </c>
      <c r="P64" s="97">
        <f t="shared" si="19"/>
        <v>1313600731.2</v>
      </c>
      <c r="Q64" s="33"/>
      <c r="R64" s="32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31.5" x14ac:dyDescent="0.25">
      <c r="A65" s="107"/>
      <c r="B65" s="73"/>
      <c r="C65" s="73"/>
      <c r="D65" s="76" t="s">
        <v>389</v>
      </c>
      <c r="E65" s="97">
        <f>E83+E86+E88</f>
        <v>482448000</v>
      </c>
      <c r="F65" s="97">
        <f t="shared" ref="F65:P65" si="20">F83+F86+F88</f>
        <v>482448000</v>
      </c>
      <c r="G65" s="97">
        <f t="shared" si="20"/>
        <v>395816000</v>
      </c>
      <c r="H65" s="97">
        <f t="shared" si="20"/>
        <v>0</v>
      </c>
      <c r="I65" s="97">
        <f t="shared" si="20"/>
        <v>0</v>
      </c>
      <c r="J65" s="97">
        <f t="shared" si="20"/>
        <v>0</v>
      </c>
      <c r="K65" s="97">
        <f t="shared" si="20"/>
        <v>0</v>
      </c>
      <c r="L65" s="97">
        <f t="shared" si="20"/>
        <v>0</v>
      </c>
      <c r="M65" s="97">
        <f t="shared" si="20"/>
        <v>0</v>
      </c>
      <c r="N65" s="97">
        <f t="shared" si="20"/>
        <v>0</v>
      </c>
      <c r="O65" s="97">
        <f t="shared" si="20"/>
        <v>0</v>
      </c>
      <c r="P65" s="97">
        <f t="shared" si="20"/>
        <v>482448000</v>
      </c>
      <c r="Q65" s="33"/>
      <c r="R65" s="32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63" hidden="1" customHeight="1" x14ac:dyDescent="0.25">
      <c r="A66" s="107"/>
      <c r="B66" s="73"/>
      <c r="C66" s="73"/>
      <c r="D66" s="76" t="s">
        <v>388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33"/>
      <c r="R66" s="32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7.25" x14ac:dyDescent="0.25">
      <c r="A67" s="107"/>
      <c r="B67" s="73"/>
      <c r="C67" s="73"/>
      <c r="D67" s="76" t="s">
        <v>543</v>
      </c>
      <c r="E67" s="97">
        <f>E90</f>
        <v>363000</v>
      </c>
      <c r="F67" s="97">
        <f t="shared" ref="F67:P67" si="21">F90</f>
        <v>363000</v>
      </c>
      <c r="G67" s="97">
        <f t="shared" si="21"/>
        <v>0</v>
      </c>
      <c r="H67" s="97">
        <f t="shared" si="21"/>
        <v>0</v>
      </c>
      <c r="I67" s="97">
        <f t="shared" si="21"/>
        <v>0</v>
      </c>
      <c r="J67" s="97">
        <f t="shared" si="21"/>
        <v>1637000</v>
      </c>
      <c r="K67" s="97">
        <f t="shared" si="21"/>
        <v>1637000</v>
      </c>
      <c r="L67" s="97">
        <f t="shared" si="21"/>
        <v>0</v>
      </c>
      <c r="M67" s="97">
        <f t="shared" si="21"/>
        <v>0</v>
      </c>
      <c r="N67" s="97">
        <f t="shared" si="21"/>
        <v>0</v>
      </c>
      <c r="O67" s="97">
        <f t="shared" si="21"/>
        <v>1637000</v>
      </c>
      <c r="P67" s="97">
        <f t="shared" si="21"/>
        <v>2000000</v>
      </c>
      <c r="Q67" s="33"/>
      <c r="R67" s="32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47.25" x14ac:dyDescent="0.25">
      <c r="A68" s="107"/>
      <c r="B68" s="73"/>
      <c r="C68" s="73"/>
      <c r="D68" s="76" t="s">
        <v>384</v>
      </c>
      <c r="E68" s="97">
        <f t="shared" ref="E68:P68" si="22">E84+E99</f>
        <v>3578416</v>
      </c>
      <c r="F68" s="97">
        <f t="shared" si="22"/>
        <v>3578416</v>
      </c>
      <c r="G68" s="97">
        <f t="shared" si="22"/>
        <v>1228720</v>
      </c>
      <c r="H68" s="97">
        <f t="shared" si="22"/>
        <v>0</v>
      </c>
      <c r="I68" s="97">
        <f t="shared" si="22"/>
        <v>0</v>
      </c>
      <c r="J68" s="97">
        <f t="shared" si="22"/>
        <v>0</v>
      </c>
      <c r="K68" s="97">
        <f t="shared" si="22"/>
        <v>0</v>
      </c>
      <c r="L68" s="97">
        <f t="shared" si="22"/>
        <v>0</v>
      </c>
      <c r="M68" s="97">
        <f t="shared" si="22"/>
        <v>0</v>
      </c>
      <c r="N68" s="97">
        <f t="shared" si="22"/>
        <v>0</v>
      </c>
      <c r="O68" s="97">
        <f t="shared" si="22"/>
        <v>0</v>
      </c>
      <c r="P68" s="97">
        <f t="shared" si="22"/>
        <v>3578416</v>
      </c>
      <c r="Q68" s="33"/>
      <c r="R68" s="32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45" hidden="1" customHeight="1" x14ac:dyDescent="0.25">
      <c r="A69" s="107"/>
      <c r="B69" s="73"/>
      <c r="C69" s="73"/>
      <c r="D69" s="76" t="s">
        <v>386</v>
      </c>
      <c r="E69" s="97" t="e">
        <f>#REF!+E96</f>
        <v>#REF!</v>
      </c>
      <c r="F69" s="97" t="e">
        <f>#REF!+F96</f>
        <v>#REF!</v>
      </c>
      <c r="G69" s="97" t="e">
        <f>#REF!+G96</f>
        <v>#REF!</v>
      </c>
      <c r="H69" s="97" t="e">
        <f>#REF!+H96</f>
        <v>#REF!</v>
      </c>
      <c r="I69" s="97" t="e">
        <f>#REF!+I96</f>
        <v>#REF!</v>
      </c>
      <c r="J69" s="97" t="e">
        <f>#REF!+J96</f>
        <v>#REF!</v>
      </c>
      <c r="K69" s="97" t="e">
        <f>#REF!+K96</f>
        <v>#REF!</v>
      </c>
      <c r="L69" s="97" t="e">
        <f>#REF!+L96</f>
        <v>#REF!</v>
      </c>
      <c r="M69" s="97" t="e">
        <f>#REF!+M96</f>
        <v>#REF!</v>
      </c>
      <c r="N69" s="97" t="e">
        <f>#REF!+N96</f>
        <v>#REF!</v>
      </c>
      <c r="O69" s="97" t="e">
        <f>#REF!+O96</f>
        <v>#REF!</v>
      </c>
      <c r="P69" s="97" t="e">
        <f>#REF!+P96</f>
        <v>#REF!</v>
      </c>
      <c r="Q69" s="33"/>
      <c r="R69" s="32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63" x14ac:dyDescent="0.25">
      <c r="A70" s="107"/>
      <c r="B70" s="73"/>
      <c r="C70" s="73"/>
      <c r="D70" s="76" t="s">
        <v>383</v>
      </c>
      <c r="E70" s="97">
        <f>E109</f>
        <v>2417470</v>
      </c>
      <c r="F70" s="97">
        <f t="shared" ref="F70:P70" si="23">F109</f>
        <v>2417470</v>
      </c>
      <c r="G70" s="97">
        <f t="shared" si="23"/>
        <v>1299695</v>
      </c>
      <c r="H70" s="97">
        <f t="shared" si="23"/>
        <v>0</v>
      </c>
      <c r="I70" s="97">
        <f t="shared" si="23"/>
        <v>0</v>
      </c>
      <c r="J70" s="97">
        <f t="shared" si="23"/>
        <v>72000</v>
      </c>
      <c r="K70" s="97">
        <f t="shared" si="23"/>
        <v>72000</v>
      </c>
      <c r="L70" s="97">
        <f t="shared" si="23"/>
        <v>0</v>
      </c>
      <c r="M70" s="97">
        <f t="shared" si="23"/>
        <v>0</v>
      </c>
      <c r="N70" s="97">
        <f t="shared" si="23"/>
        <v>0</v>
      </c>
      <c r="O70" s="97">
        <f t="shared" si="23"/>
        <v>72000</v>
      </c>
      <c r="P70" s="97">
        <f t="shared" si="23"/>
        <v>2489470</v>
      </c>
      <c r="Q70" s="33"/>
      <c r="R70" s="32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80.25" customHeight="1" x14ac:dyDescent="0.25">
      <c r="A71" s="107"/>
      <c r="B71" s="142"/>
      <c r="C71" s="73"/>
      <c r="D71" s="76" t="s">
        <v>523</v>
      </c>
      <c r="E71" s="97">
        <f>E111</f>
        <v>1315285.79</v>
      </c>
      <c r="F71" s="97">
        <f t="shared" ref="F71:P71" si="24">F111</f>
        <v>1315285.79</v>
      </c>
      <c r="G71" s="97">
        <f t="shared" si="24"/>
        <v>1034620</v>
      </c>
      <c r="H71" s="97">
        <f t="shared" si="24"/>
        <v>0</v>
      </c>
      <c r="I71" s="97">
        <f t="shared" si="24"/>
        <v>0</v>
      </c>
      <c r="J71" s="97">
        <f t="shared" si="24"/>
        <v>0</v>
      </c>
      <c r="K71" s="97">
        <f t="shared" si="24"/>
        <v>0</v>
      </c>
      <c r="L71" s="97">
        <f t="shared" si="24"/>
        <v>0</v>
      </c>
      <c r="M71" s="97">
        <f t="shared" si="24"/>
        <v>0</v>
      </c>
      <c r="N71" s="97">
        <f t="shared" si="24"/>
        <v>0</v>
      </c>
      <c r="O71" s="97">
        <f t="shared" si="24"/>
        <v>0</v>
      </c>
      <c r="P71" s="97">
        <f t="shared" si="24"/>
        <v>1315285.79</v>
      </c>
      <c r="Q71" s="33"/>
      <c r="R71" s="32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31.5" x14ac:dyDescent="0.25">
      <c r="A72" s="107"/>
      <c r="B72" s="73"/>
      <c r="C72" s="73"/>
      <c r="D72" s="76" t="s">
        <v>540</v>
      </c>
      <c r="E72" s="97">
        <f t="shared" ref="E72:P72" si="25">E91+E93+E124</f>
        <v>1434017.6</v>
      </c>
      <c r="F72" s="97">
        <f t="shared" si="25"/>
        <v>1434017.6</v>
      </c>
      <c r="G72" s="97">
        <f t="shared" si="25"/>
        <v>0</v>
      </c>
      <c r="H72" s="97">
        <f t="shared" si="25"/>
        <v>0</v>
      </c>
      <c r="I72" s="97">
        <f t="shared" si="25"/>
        <v>0</v>
      </c>
      <c r="J72" s="97">
        <f t="shared" si="25"/>
        <v>7663725.1799999997</v>
      </c>
      <c r="K72" s="97">
        <f t="shared" si="25"/>
        <v>7663725.1799999997</v>
      </c>
      <c r="L72" s="97">
        <f t="shared" si="25"/>
        <v>0</v>
      </c>
      <c r="M72" s="97">
        <f t="shared" si="25"/>
        <v>0</v>
      </c>
      <c r="N72" s="97">
        <f t="shared" si="25"/>
        <v>0</v>
      </c>
      <c r="O72" s="97">
        <f t="shared" si="25"/>
        <v>7663725.1799999997</v>
      </c>
      <c r="P72" s="97">
        <f t="shared" si="25"/>
        <v>9097742.7799999993</v>
      </c>
      <c r="Q72" s="33"/>
      <c r="R72" s="32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78.75" x14ac:dyDescent="0.25">
      <c r="A73" s="107"/>
      <c r="B73" s="73"/>
      <c r="C73" s="73"/>
      <c r="D73" s="76" t="s">
        <v>559</v>
      </c>
      <c r="E73" s="97">
        <f>E107</f>
        <v>6262701.0999999996</v>
      </c>
      <c r="F73" s="97">
        <f t="shared" ref="F73:P73" si="26">F107</f>
        <v>6262701.0999999996</v>
      </c>
      <c r="G73" s="97">
        <f t="shared" si="26"/>
        <v>57829</v>
      </c>
      <c r="H73" s="97">
        <f t="shared" si="26"/>
        <v>0</v>
      </c>
      <c r="I73" s="97">
        <f t="shared" si="26"/>
        <v>0</v>
      </c>
      <c r="J73" s="97">
        <f t="shared" si="26"/>
        <v>644361.9</v>
      </c>
      <c r="K73" s="97">
        <f t="shared" si="26"/>
        <v>644361.9</v>
      </c>
      <c r="L73" s="97">
        <f t="shared" si="26"/>
        <v>0</v>
      </c>
      <c r="M73" s="97">
        <f t="shared" si="26"/>
        <v>0</v>
      </c>
      <c r="N73" s="97">
        <f t="shared" si="26"/>
        <v>0</v>
      </c>
      <c r="O73" s="97">
        <f t="shared" si="26"/>
        <v>644361.9</v>
      </c>
      <c r="P73" s="97">
        <f t="shared" si="26"/>
        <v>6907063</v>
      </c>
      <c r="Q73" s="33"/>
      <c r="R73" s="32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34" customFormat="1" ht="51.75" customHeight="1" x14ac:dyDescent="0.25">
      <c r="A74" s="95"/>
      <c r="B74" s="108"/>
      <c r="C74" s="109"/>
      <c r="D74" s="76" t="s">
        <v>602</v>
      </c>
      <c r="E74" s="97">
        <f>E103</f>
        <v>287772</v>
      </c>
      <c r="F74" s="97">
        <f t="shared" ref="F74:P74" si="27">F103</f>
        <v>287772</v>
      </c>
      <c r="G74" s="97">
        <f t="shared" si="27"/>
        <v>0</v>
      </c>
      <c r="H74" s="97">
        <f t="shared" si="27"/>
        <v>0</v>
      </c>
      <c r="I74" s="97">
        <f t="shared" si="27"/>
        <v>0</v>
      </c>
      <c r="J74" s="97">
        <f t="shared" si="27"/>
        <v>2859728</v>
      </c>
      <c r="K74" s="97">
        <f t="shared" si="27"/>
        <v>2859728</v>
      </c>
      <c r="L74" s="97">
        <f t="shared" si="27"/>
        <v>0</v>
      </c>
      <c r="M74" s="97">
        <f t="shared" si="27"/>
        <v>0</v>
      </c>
      <c r="N74" s="97">
        <f t="shared" si="27"/>
        <v>0</v>
      </c>
      <c r="O74" s="97">
        <f t="shared" si="27"/>
        <v>2859728</v>
      </c>
      <c r="P74" s="97">
        <f t="shared" si="27"/>
        <v>3147500</v>
      </c>
      <c r="Q74" s="33"/>
      <c r="R74" s="32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</row>
    <row r="75" spans="1:527" s="34" customFormat="1" ht="62.25" customHeight="1" x14ac:dyDescent="0.25">
      <c r="A75" s="107"/>
      <c r="B75" s="73"/>
      <c r="C75" s="73"/>
      <c r="D75" s="134" t="s">
        <v>388</v>
      </c>
      <c r="E75" s="97">
        <f>E119</f>
        <v>0</v>
      </c>
      <c r="F75" s="97">
        <f t="shared" ref="F75:P75" si="28">F119</f>
        <v>0</v>
      </c>
      <c r="G75" s="97">
        <f t="shared" si="28"/>
        <v>0</v>
      </c>
      <c r="H75" s="97">
        <f t="shared" si="28"/>
        <v>0</v>
      </c>
      <c r="I75" s="97">
        <f t="shared" si="28"/>
        <v>0</v>
      </c>
      <c r="J75" s="97">
        <f t="shared" si="28"/>
        <v>13762433</v>
      </c>
      <c r="K75" s="97">
        <f t="shared" si="28"/>
        <v>10269483</v>
      </c>
      <c r="L75" s="97">
        <f t="shared" si="28"/>
        <v>0</v>
      </c>
      <c r="M75" s="97">
        <f t="shared" si="28"/>
        <v>0</v>
      </c>
      <c r="N75" s="97">
        <f t="shared" si="28"/>
        <v>0</v>
      </c>
      <c r="O75" s="97">
        <f t="shared" si="28"/>
        <v>13762433</v>
      </c>
      <c r="P75" s="97">
        <f t="shared" si="28"/>
        <v>13762433</v>
      </c>
      <c r="Q75" s="33"/>
      <c r="R75" s="32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</row>
    <row r="76" spans="1:527" s="34" customFormat="1" ht="22.5" customHeight="1" x14ac:dyDescent="0.25">
      <c r="A76" s="107"/>
      <c r="B76" s="73"/>
      <c r="C76" s="73"/>
      <c r="D76" s="76" t="s">
        <v>395</v>
      </c>
      <c r="E76" s="97">
        <f>E105+E115+E117</f>
        <v>284064</v>
      </c>
      <c r="F76" s="97">
        <f>F105+F115+F117</f>
        <v>284064</v>
      </c>
      <c r="G76" s="97">
        <f t="shared" ref="G76:P76" si="29">G105+G115+G117</f>
        <v>0</v>
      </c>
      <c r="H76" s="97">
        <f t="shared" si="29"/>
        <v>0</v>
      </c>
      <c r="I76" s="97">
        <f t="shared" si="29"/>
        <v>0</v>
      </c>
      <c r="J76" s="97">
        <f t="shared" si="29"/>
        <v>250000</v>
      </c>
      <c r="K76" s="97">
        <f t="shared" si="29"/>
        <v>250000</v>
      </c>
      <c r="L76" s="97">
        <f t="shared" si="29"/>
        <v>0</v>
      </c>
      <c r="M76" s="97">
        <f t="shared" si="29"/>
        <v>0</v>
      </c>
      <c r="N76" s="97">
        <f t="shared" si="29"/>
        <v>0</v>
      </c>
      <c r="O76" s="97">
        <f t="shared" si="29"/>
        <v>250000</v>
      </c>
      <c r="P76" s="97">
        <f t="shared" si="29"/>
        <v>534064</v>
      </c>
      <c r="Q76" s="33"/>
      <c r="R76" s="32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</row>
    <row r="77" spans="1:527" s="22" customFormat="1" ht="45.75" customHeight="1" x14ac:dyDescent="0.25">
      <c r="A77" s="59" t="s">
        <v>167</v>
      </c>
      <c r="B77" s="92" t="str">
        <f>'дод 7'!A19</f>
        <v>0160</v>
      </c>
      <c r="C77" s="92" t="str">
        <f>'дод 7'!B19</f>
        <v>0111</v>
      </c>
      <c r="D77" s="36" t="s">
        <v>493</v>
      </c>
      <c r="E77" s="98">
        <f t="shared" ref="E77:E126" si="30">F77+I77</f>
        <v>3864285</v>
      </c>
      <c r="F77" s="98">
        <v>3864285</v>
      </c>
      <c r="G77" s="98">
        <f>2976200-3000</f>
        <v>2973200</v>
      </c>
      <c r="H77" s="98">
        <v>43585</v>
      </c>
      <c r="I77" s="98"/>
      <c r="J77" s="98">
        <f>L77+O77</f>
        <v>0</v>
      </c>
      <c r="K77" s="98">
        <v>0</v>
      </c>
      <c r="L77" s="98"/>
      <c r="M77" s="98"/>
      <c r="N77" s="98"/>
      <c r="O77" s="98">
        <v>0</v>
      </c>
      <c r="P77" s="98">
        <f t="shared" ref="P77:P126" si="31">E77+J77</f>
        <v>3864285</v>
      </c>
      <c r="Q77" s="23"/>
      <c r="R77" s="32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21.75" customHeight="1" x14ac:dyDescent="0.25">
      <c r="A78" s="59" t="s">
        <v>168</v>
      </c>
      <c r="B78" s="92" t="str">
        <f>'дод 7'!A36</f>
        <v>1010</v>
      </c>
      <c r="C78" s="92" t="str">
        <f>'дод 7'!B36</f>
        <v>0910</v>
      </c>
      <c r="D78" s="60" t="s">
        <v>502</v>
      </c>
      <c r="E78" s="98">
        <f t="shared" si="30"/>
        <v>312891086</v>
      </c>
      <c r="F78" s="98">
        <f>297514346-82400+49810+900000+1453830+3000000+2500000+7915500-49800-310200</f>
        <v>312891086</v>
      </c>
      <c r="G78" s="98">
        <f>205054200-732400+487530-137000</f>
        <v>204672330</v>
      </c>
      <c r="H78" s="98">
        <f>24363307+791300+7915500-100000</f>
        <v>32970107</v>
      </c>
      <c r="I78" s="98"/>
      <c r="J78" s="98">
        <f>L78+O78</f>
        <v>13014798</v>
      </c>
      <c r="K78" s="98">
        <f>1071480-12502+49800+146320</f>
        <v>1255098</v>
      </c>
      <c r="L78" s="98">
        <v>11759700</v>
      </c>
      <c r="M78" s="98"/>
      <c r="N78" s="98"/>
      <c r="O78" s="98">
        <f>1071480-12502+49800+146320</f>
        <v>1255098</v>
      </c>
      <c r="P78" s="98">
        <f t="shared" si="31"/>
        <v>325905884</v>
      </c>
      <c r="Q78" s="23"/>
      <c r="R78" s="3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2" customFormat="1" ht="37.5" customHeight="1" x14ac:dyDescent="0.25">
      <c r="A79" s="59" t="s">
        <v>469</v>
      </c>
      <c r="B79" s="59">
        <f>'дод 7'!A38</f>
        <v>1021</v>
      </c>
      <c r="C79" s="92" t="str">
        <f>'дод 7'!B38</f>
        <v>0921</v>
      </c>
      <c r="D79" s="60" t="s">
        <v>580</v>
      </c>
      <c r="E79" s="98">
        <f t="shared" si="30"/>
        <v>224822308.69999999</v>
      </c>
      <c r="F79" s="98">
        <f>209620109.2+17200+10000+700000+100000+14028900-25000+25700+79918.5+186500+1000+36286+297+35678+5720</f>
        <v>224822308.69999999</v>
      </c>
      <c r="G79" s="98">
        <f>116833485.94-160000</f>
        <v>116673485.94</v>
      </c>
      <c r="H79" s="98">
        <f>31973609.55+14028900+186500</f>
        <v>46189009.549999997</v>
      </c>
      <c r="I79" s="98"/>
      <c r="J79" s="98">
        <f t="shared" ref="J79:J126" si="32">L79+O79</f>
        <v>26423904</v>
      </c>
      <c r="K79" s="98">
        <v>1293104</v>
      </c>
      <c r="L79" s="98">
        <v>25130800</v>
      </c>
      <c r="M79" s="98">
        <v>2268060</v>
      </c>
      <c r="N79" s="98">
        <v>139890</v>
      </c>
      <c r="O79" s="98">
        <v>1293104</v>
      </c>
      <c r="P79" s="98">
        <f t="shared" si="31"/>
        <v>251246212.69999999</v>
      </c>
      <c r="Q79" s="23"/>
      <c r="R79" s="3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</row>
    <row r="80" spans="1:527" s="22" customFormat="1" ht="63" x14ac:dyDescent="0.25">
      <c r="A80" s="59" t="s">
        <v>471</v>
      </c>
      <c r="B80" s="92">
        <v>1022</v>
      </c>
      <c r="C80" s="59" t="s">
        <v>55</v>
      </c>
      <c r="D80" s="36" t="s">
        <v>472</v>
      </c>
      <c r="E80" s="98">
        <f t="shared" si="30"/>
        <v>15021607</v>
      </c>
      <c r="F80" s="98">
        <f>14436307-20200+572000+33500</f>
        <v>15021607</v>
      </c>
      <c r="G80" s="98">
        <v>8830500</v>
      </c>
      <c r="H80" s="98">
        <f>1512107+572000+33500</f>
        <v>2117607</v>
      </c>
      <c r="I80" s="98"/>
      <c r="J80" s="98">
        <f t="shared" si="32"/>
        <v>97000</v>
      </c>
      <c r="K80" s="98">
        <v>97000</v>
      </c>
      <c r="L80" s="98"/>
      <c r="M80" s="98"/>
      <c r="N80" s="98"/>
      <c r="O80" s="98">
        <v>97000</v>
      </c>
      <c r="P80" s="98">
        <f t="shared" si="31"/>
        <v>15118607</v>
      </c>
      <c r="Q80" s="23"/>
      <c r="R80" s="32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</row>
    <row r="81" spans="1:527" s="22" customFormat="1" ht="63" x14ac:dyDescent="0.25">
      <c r="A81" s="59" t="s">
        <v>597</v>
      </c>
      <c r="B81" s="92">
        <v>1025</v>
      </c>
      <c r="C81" s="59" t="s">
        <v>55</v>
      </c>
      <c r="D81" s="36" t="s">
        <v>598</v>
      </c>
      <c r="E81" s="98">
        <f t="shared" si="30"/>
        <v>4167674.43</v>
      </c>
      <c r="F81" s="98">
        <f>3993974.43+20200+92200+49800+11500</f>
        <v>4167674.43</v>
      </c>
      <c r="G81" s="98">
        <v>2829220.06</v>
      </c>
      <c r="H81" s="98">
        <f>306666.45+92200+11500</f>
        <v>410366.45</v>
      </c>
      <c r="I81" s="98"/>
      <c r="J81" s="98">
        <f t="shared" si="32"/>
        <v>0</v>
      </c>
      <c r="K81" s="98"/>
      <c r="L81" s="98"/>
      <c r="M81" s="98"/>
      <c r="N81" s="98"/>
      <c r="O81" s="98"/>
      <c r="P81" s="98">
        <f t="shared" si="31"/>
        <v>4167674.43</v>
      </c>
      <c r="Q81" s="23"/>
      <c r="R81" s="32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</row>
    <row r="82" spans="1:527" s="22" customFormat="1" ht="31.5" x14ac:dyDescent="0.25">
      <c r="A82" s="59" t="s">
        <v>473</v>
      </c>
      <c r="B82" s="92">
        <v>1031</v>
      </c>
      <c r="C82" s="59" t="s">
        <v>51</v>
      </c>
      <c r="D82" s="60" t="s">
        <v>503</v>
      </c>
      <c r="E82" s="98">
        <f t="shared" si="30"/>
        <v>468297758.54000002</v>
      </c>
      <c r="F82" s="98">
        <f>468581848.54-284090</f>
        <v>468297758.54000002</v>
      </c>
      <c r="G82" s="98">
        <f>382983978.35-482840</f>
        <v>382501138.35000002</v>
      </c>
      <c r="H82" s="98"/>
      <c r="I82" s="98"/>
      <c r="J82" s="98">
        <f t="shared" si="32"/>
        <v>0</v>
      </c>
      <c r="K82" s="98"/>
      <c r="L82" s="98"/>
      <c r="M82" s="98"/>
      <c r="N82" s="98"/>
      <c r="O82" s="98"/>
      <c r="P82" s="98">
        <f t="shared" si="31"/>
        <v>468297758.54000002</v>
      </c>
      <c r="Q82" s="23"/>
      <c r="R82" s="32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</row>
    <row r="83" spans="1:527" s="24" customFormat="1" ht="31.5" x14ac:dyDescent="0.25">
      <c r="A83" s="83"/>
      <c r="B83" s="110"/>
      <c r="C83" s="110"/>
      <c r="D83" s="86" t="s">
        <v>389</v>
      </c>
      <c r="E83" s="100">
        <f t="shared" si="30"/>
        <v>466218378.54000002</v>
      </c>
      <c r="F83" s="100">
        <f>466502468.54-284090</f>
        <v>466218378.54000002</v>
      </c>
      <c r="G83" s="100">
        <f>382983978.35-482840</f>
        <v>382501138.35000002</v>
      </c>
      <c r="H83" s="100"/>
      <c r="I83" s="100"/>
      <c r="J83" s="100">
        <f t="shared" si="32"/>
        <v>0</v>
      </c>
      <c r="K83" s="100"/>
      <c r="L83" s="100"/>
      <c r="M83" s="100"/>
      <c r="N83" s="100"/>
      <c r="O83" s="100"/>
      <c r="P83" s="100">
        <f t="shared" si="31"/>
        <v>466218378.54000002</v>
      </c>
      <c r="Q83" s="30"/>
      <c r="R83" s="3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</row>
    <row r="84" spans="1:527" s="24" customFormat="1" ht="47.25" x14ac:dyDescent="0.25">
      <c r="A84" s="83"/>
      <c r="B84" s="110"/>
      <c r="C84" s="110"/>
      <c r="D84" s="86" t="s">
        <v>384</v>
      </c>
      <c r="E84" s="100">
        <f t="shared" si="30"/>
        <v>2079380</v>
      </c>
      <c r="F84" s="100">
        <v>2079380</v>
      </c>
      <c r="G84" s="100"/>
      <c r="H84" s="100"/>
      <c r="I84" s="100"/>
      <c r="J84" s="100">
        <f t="shared" si="32"/>
        <v>0</v>
      </c>
      <c r="K84" s="100"/>
      <c r="L84" s="100"/>
      <c r="M84" s="100"/>
      <c r="N84" s="100"/>
      <c r="O84" s="100"/>
      <c r="P84" s="100">
        <f t="shared" si="31"/>
        <v>2079380</v>
      </c>
      <c r="Q84" s="30"/>
      <c r="R84" s="3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2" customFormat="1" ht="65.25" customHeight="1" x14ac:dyDescent="0.25">
      <c r="A85" s="59" t="s">
        <v>474</v>
      </c>
      <c r="B85" s="59" t="s">
        <v>475</v>
      </c>
      <c r="C85" s="59" t="s">
        <v>55</v>
      </c>
      <c r="D85" s="60" t="s">
        <v>504</v>
      </c>
      <c r="E85" s="98">
        <f t="shared" si="30"/>
        <v>15808500</v>
      </c>
      <c r="F85" s="98">
        <f>15564500+244000</f>
        <v>15808500</v>
      </c>
      <c r="G85" s="98">
        <f>12769100+200000</f>
        <v>12969100</v>
      </c>
      <c r="H85" s="98"/>
      <c r="I85" s="98"/>
      <c r="J85" s="98">
        <f t="shared" si="32"/>
        <v>0</v>
      </c>
      <c r="K85" s="98"/>
      <c r="L85" s="98"/>
      <c r="M85" s="98"/>
      <c r="N85" s="98"/>
      <c r="O85" s="98"/>
      <c r="P85" s="98">
        <f t="shared" si="31"/>
        <v>15808500</v>
      </c>
      <c r="Q85" s="23"/>
      <c r="R85" s="32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</row>
    <row r="86" spans="1:527" s="24" customFormat="1" ht="31.5" x14ac:dyDescent="0.25">
      <c r="A86" s="83"/>
      <c r="B86" s="110"/>
      <c r="C86" s="110"/>
      <c r="D86" s="86" t="s">
        <v>389</v>
      </c>
      <c r="E86" s="100">
        <f t="shared" ref="E86:E92" si="33">F86+I86</f>
        <v>15808500</v>
      </c>
      <c r="F86" s="100">
        <f>15564500+244000</f>
        <v>15808500</v>
      </c>
      <c r="G86" s="100">
        <f>12769100+200000</f>
        <v>12969100</v>
      </c>
      <c r="H86" s="100"/>
      <c r="I86" s="100"/>
      <c r="J86" s="100">
        <f t="shared" ref="J86:J88" si="34">L86+O86</f>
        <v>0</v>
      </c>
      <c r="K86" s="100"/>
      <c r="L86" s="100"/>
      <c r="M86" s="100"/>
      <c r="N86" s="100"/>
      <c r="O86" s="100"/>
      <c r="P86" s="100">
        <f t="shared" ref="P86:P88" si="35">E86+J86</f>
        <v>15808500</v>
      </c>
      <c r="Q86" s="30"/>
      <c r="R86" s="32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2" customFormat="1" ht="66.75" customHeight="1" x14ac:dyDescent="0.25">
      <c r="A87" s="59" t="s">
        <v>599</v>
      </c>
      <c r="B87" s="92">
        <v>1035</v>
      </c>
      <c r="C87" s="59" t="s">
        <v>55</v>
      </c>
      <c r="D87" s="36" t="s">
        <v>600</v>
      </c>
      <c r="E87" s="98">
        <f t="shared" si="30"/>
        <v>421121.46</v>
      </c>
      <c r="F87" s="98">
        <f>381031.46+40090</f>
        <v>421121.46</v>
      </c>
      <c r="G87" s="98">
        <f>312921.65+32840</f>
        <v>345761.65</v>
      </c>
      <c r="H87" s="98"/>
      <c r="I87" s="98"/>
      <c r="J87" s="98">
        <f t="shared" si="32"/>
        <v>0</v>
      </c>
      <c r="K87" s="98"/>
      <c r="L87" s="98"/>
      <c r="M87" s="98"/>
      <c r="N87" s="98"/>
      <c r="O87" s="98"/>
      <c r="P87" s="98">
        <f t="shared" si="31"/>
        <v>421121.46</v>
      </c>
      <c r="Q87" s="23"/>
      <c r="R87" s="32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</row>
    <row r="88" spans="1:527" s="24" customFormat="1" ht="31.5" x14ac:dyDescent="0.25">
      <c r="A88" s="83"/>
      <c r="B88" s="110"/>
      <c r="C88" s="83"/>
      <c r="D88" s="86" t="s">
        <v>389</v>
      </c>
      <c r="E88" s="100">
        <f t="shared" si="33"/>
        <v>421121.46</v>
      </c>
      <c r="F88" s="100">
        <f>381031.46+40090</f>
        <v>421121.46</v>
      </c>
      <c r="G88" s="100">
        <f>312921.65+32840</f>
        <v>345761.65</v>
      </c>
      <c r="H88" s="100"/>
      <c r="I88" s="100"/>
      <c r="J88" s="100">
        <f t="shared" si="34"/>
        <v>0</v>
      </c>
      <c r="K88" s="100"/>
      <c r="L88" s="100"/>
      <c r="M88" s="100"/>
      <c r="N88" s="100"/>
      <c r="O88" s="100"/>
      <c r="P88" s="100">
        <f t="shared" si="35"/>
        <v>421121.46</v>
      </c>
      <c r="Q88" s="30"/>
      <c r="R88" s="3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</row>
    <row r="89" spans="1:527" s="24" customFormat="1" ht="31.5" x14ac:dyDescent="0.25">
      <c r="A89" s="59" t="s">
        <v>529</v>
      </c>
      <c r="B89" s="92">
        <v>1061</v>
      </c>
      <c r="C89" s="59" t="s">
        <v>51</v>
      </c>
      <c r="D89" s="36" t="s">
        <v>503</v>
      </c>
      <c r="E89" s="98">
        <f t="shared" si="33"/>
        <v>1064017.6000000001</v>
      </c>
      <c r="F89" s="98">
        <f>947017.6+117000</f>
        <v>1064017.6000000001</v>
      </c>
      <c r="G89" s="100"/>
      <c r="H89" s="100"/>
      <c r="I89" s="100"/>
      <c r="J89" s="98">
        <f t="shared" si="32"/>
        <v>5993725.1799999997</v>
      </c>
      <c r="K89" s="98">
        <f>6110725.18-117000</f>
        <v>5993725.1799999997</v>
      </c>
      <c r="L89" s="98"/>
      <c r="M89" s="98"/>
      <c r="N89" s="98"/>
      <c r="O89" s="98">
        <f>6110725.18-117000</f>
        <v>5993725.1799999997</v>
      </c>
      <c r="P89" s="98">
        <f t="shared" si="31"/>
        <v>7057742.7799999993</v>
      </c>
      <c r="Q89" s="30"/>
      <c r="R89" s="3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</row>
    <row r="90" spans="1:527" s="24" customFormat="1" ht="46.5" customHeight="1" x14ac:dyDescent="0.25">
      <c r="A90" s="83"/>
      <c r="B90" s="110"/>
      <c r="C90" s="83"/>
      <c r="D90" s="86" t="s">
        <v>543</v>
      </c>
      <c r="E90" s="100">
        <f>F90+I90</f>
        <v>363000</v>
      </c>
      <c r="F90" s="100">
        <f>246000+117000</f>
        <v>363000</v>
      </c>
      <c r="G90" s="100"/>
      <c r="H90" s="100"/>
      <c r="I90" s="100"/>
      <c r="J90" s="100">
        <f>L90+O90</f>
        <v>1637000</v>
      </c>
      <c r="K90" s="100">
        <f>1754000-117000</f>
        <v>1637000</v>
      </c>
      <c r="L90" s="100"/>
      <c r="M90" s="100"/>
      <c r="N90" s="100"/>
      <c r="O90" s="100">
        <f>1754000-117000</f>
        <v>1637000</v>
      </c>
      <c r="P90" s="100">
        <f t="shared" si="31"/>
        <v>2000000</v>
      </c>
      <c r="Q90" s="30"/>
      <c r="R90" s="3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</row>
    <row r="91" spans="1:527" s="24" customFormat="1" ht="31.5" x14ac:dyDescent="0.25">
      <c r="A91" s="83"/>
      <c r="B91" s="110"/>
      <c r="C91" s="83"/>
      <c r="D91" s="86" t="s">
        <v>540</v>
      </c>
      <c r="E91" s="100">
        <f t="shared" ref="E91:E93" si="36">F91+I91</f>
        <v>701017.59999999998</v>
      </c>
      <c r="F91" s="100">
        <v>701017.59999999998</v>
      </c>
      <c r="G91" s="100"/>
      <c r="H91" s="100"/>
      <c r="I91" s="100"/>
      <c r="J91" s="100">
        <f t="shared" ref="J91" si="37">L91+O91</f>
        <v>4356725.18</v>
      </c>
      <c r="K91" s="100">
        <v>4356725.18</v>
      </c>
      <c r="L91" s="100"/>
      <c r="M91" s="100"/>
      <c r="N91" s="100"/>
      <c r="O91" s="100">
        <v>4356725.18</v>
      </c>
      <c r="P91" s="100">
        <f t="shared" si="31"/>
        <v>5057742.7799999993</v>
      </c>
      <c r="Q91" s="30"/>
      <c r="R91" s="3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</row>
    <row r="92" spans="1:527" s="24" customFormat="1" ht="63" x14ac:dyDescent="0.25">
      <c r="A92" s="59" t="s">
        <v>535</v>
      </c>
      <c r="B92" s="92">
        <v>1062</v>
      </c>
      <c r="C92" s="59" t="s">
        <v>55</v>
      </c>
      <c r="D92" s="60" t="s">
        <v>504</v>
      </c>
      <c r="E92" s="98">
        <f t="shared" si="33"/>
        <v>40000</v>
      </c>
      <c r="F92" s="98">
        <v>40000</v>
      </c>
      <c r="G92" s="100"/>
      <c r="H92" s="100"/>
      <c r="I92" s="100"/>
      <c r="J92" s="98">
        <f>L92+O92</f>
        <v>0</v>
      </c>
      <c r="K92" s="100"/>
      <c r="L92" s="100"/>
      <c r="M92" s="100"/>
      <c r="N92" s="100"/>
      <c r="O92" s="100"/>
      <c r="P92" s="98">
        <f t="shared" si="31"/>
        <v>40000</v>
      </c>
      <c r="Q92" s="30"/>
      <c r="R92" s="3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</row>
    <row r="93" spans="1:527" s="24" customFormat="1" ht="31.5" x14ac:dyDescent="0.25">
      <c r="A93" s="83"/>
      <c r="B93" s="110"/>
      <c r="C93" s="83"/>
      <c r="D93" s="86" t="s">
        <v>540</v>
      </c>
      <c r="E93" s="100">
        <f t="shared" si="36"/>
        <v>40000</v>
      </c>
      <c r="F93" s="100">
        <v>40000</v>
      </c>
      <c r="G93" s="100"/>
      <c r="H93" s="100"/>
      <c r="I93" s="100"/>
      <c r="J93" s="100">
        <f>L93+O93</f>
        <v>0</v>
      </c>
      <c r="K93" s="100"/>
      <c r="L93" s="100"/>
      <c r="M93" s="100"/>
      <c r="N93" s="100"/>
      <c r="O93" s="100"/>
      <c r="P93" s="100">
        <f t="shared" si="31"/>
        <v>40000</v>
      </c>
      <c r="Q93" s="30"/>
      <c r="R93" s="3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</row>
    <row r="94" spans="1:527" s="22" customFormat="1" ht="47.25" x14ac:dyDescent="0.25">
      <c r="A94" s="59" t="s">
        <v>476</v>
      </c>
      <c r="B94" s="59" t="s">
        <v>54</v>
      </c>
      <c r="C94" s="59" t="s">
        <v>57</v>
      </c>
      <c r="D94" s="60" t="s">
        <v>365</v>
      </c>
      <c r="E94" s="98">
        <f t="shared" si="30"/>
        <v>36446395</v>
      </c>
      <c r="F94" s="98">
        <f>35044945+407200+25850+900500+67900</f>
        <v>36446395</v>
      </c>
      <c r="G94" s="98">
        <f>25836800+348600</f>
        <v>26185400</v>
      </c>
      <c r="H94" s="98">
        <f>2805445+900500+67900</f>
        <v>3773845</v>
      </c>
      <c r="I94" s="98"/>
      <c r="J94" s="98">
        <f t="shared" si="32"/>
        <v>112500</v>
      </c>
      <c r="K94" s="98">
        <v>112500</v>
      </c>
      <c r="L94" s="98"/>
      <c r="M94" s="98"/>
      <c r="N94" s="98"/>
      <c r="O94" s="98">
        <v>112500</v>
      </c>
      <c r="P94" s="98">
        <f t="shared" si="31"/>
        <v>36558895</v>
      </c>
      <c r="Q94" s="23"/>
      <c r="R94" s="32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2" customFormat="1" ht="31.5" x14ac:dyDescent="0.25">
      <c r="A95" s="59" t="s">
        <v>477</v>
      </c>
      <c r="B95" s="59" t="s">
        <v>478</v>
      </c>
      <c r="C95" s="59" t="s">
        <v>58</v>
      </c>
      <c r="D95" s="36" t="s">
        <v>510</v>
      </c>
      <c r="E95" s="98">
        <f t="shared" si="30"/>
        <v>11570150</v>
      </c>
      <c r="F95" s="98">
        <f>11387250+175200+7700</f>
        <v>11570150</v>
      </c>
      <c r="G95" s="98">
        <v>8331500</v>
      </c>
      <c r="H95" s="98">
        <f>585250+175200+7700</f>
        <v>768150</v>
      </c>
      <c r="I95" s="98"/>
      <c r="J95" s="98">
        <f t="shared" si="32"/>
        <v>0</v>
      </c>
      <c r="K95" s="98">
        <v>0</v>
      </c>
      <c r="L95" s="98"/>
      <c r="M95" s="98"/>
      <c r="N95" s="98"/>
      <c r="O95" s="98">
        <v>0</v>
      </c>
      <c r="P95" s="98">
        <f t="shared" si="31"/>
        <v>11570150</v>
      </c>
      <c r="Q95" s="23"/>
      <c r="R95" s="32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</row>
    <row r="96" spans="1:527" s="22" customFormat="1" ht="18" customHeight="1" x14ac:dyDescent="0.25">
      <c r="A96" s="59" t="s">
        <v>479</v>
      </c>
      <c r="B96" s="59" t="s">
        <v>480</v>
      </c>
      <c r="C96" s="59" t="s">
        <v>58</v>
      </c>
      <c r="D96" s="36" t="s">
        <v>281</v>
      </c>
      <c r="E96" s="98">
        <f t="shared" si="30"/>
        <v>113000</v>
      </c>
      <c r="F96" s="98">
        <v>113000</v>
      </c>
      <c r="G96" s="98"/>
      <c r="H96" s="98"/>
      <c r="I96" s="98"/>
      <c r="J96" s="98">
        <f t="shared" ref="J96" si="38">L96+O96</f>
        <v>0</v>
      </c>
      <c r="K96" s="98"/>
      <c r="L96" s="98"/>
      <c r="M96" s="98"/>
      <c r="N96" s="98"/>
      <c r="O96" s="98"/>
      <c r="P96" s="98">
        <f t="shared" ref="P96" si="39">E96+J96</f>
        <v>113000</v>
      </c>
      <c r="Q96" s="23"/>
      <c r="R96" s="32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</row>
    <row r="97" spans="1:527" s="22" customFormat="1" ht="31.5" x14ac:dyDescent="0.25">
      <c r="A97" s="59" t="s">
        <v>481</v>
      </c>
      <c r="B97" s="59" t="s">
        <v>482</v>
      </c>
      <c r="C97" s="59" t="s">
        <v>58</v>
      </c>
      <c r="D97" s="60" t="s">
        <v>483</v>
      </c>
      <c r="E97" s="98">
        <f t="shared" si="30"/>
        <v>135033</v>
      </c>
      <c r="F97" s="98">
        <f>445933-324800+13900</f>
        <v>135033</v>
      </c>
      <c r="G97" s="98">
        <f>266200-266200</f>
        <v>0</v>
      </c>
      <c r="H97" s="98">
        <f>66733+13900</f>
        <v>80633</v>
      </c>
      <c r="I97" s="98"/>
      <c r="J97" s="98">
        <f t="shared" si="32"/>
        <v>0</v>
      </c>
      <c r="K97" s="98"/>
      <c r="L97" s="98"/>
      <c r="M97" s="98"/>
      <c r="N97" s="98"/>
      <c r="O97" s="98"/>
      <c r="P97" s="98">
        <f t="shared" si="31"/>
        <v>135033</v>
      </c>
      <c r="Q97" s="23"/>
      <c r="R97" s="32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</row>
    <row r="98" spans="1:527" s="22" customFormat="1" ht="45.75" customHeight="1" x14ac:dyDescent="0.25">
      <c r="A98" s="59" t="s">
        <v>484</v>
      </c>
      <c r="B98" s="59" t="s">
        <v>485</v>
      </c>
      <c r="C98" s="59" t="str">
        <f>'дод 7'!B64</f>
        <v>0990</v>
      </c>
      <c r="D98" s="60" t="s">
        <v>505</v>
      </c>
      <c r="E98" s="98">
        <f t="shared" si="30"/>
        <v>1499036</v>
      </c>
      <c r="F98" s="98">
        <v>1499036</v>
      </c>
      <c r="G98" s="98">
        <v>1228720</v>
      </c>
      <c r="H98" s="98"/>
      <c r="I98" s="98"/>
      <c r="J98" s="98">
        <f t="shared" si="32"/>
        <v>0</v>
      </c>
      <c r="K98" s="98"/>
      <c r="L98" s="98"/>
      <c r="M98" s="98"/>
      <c r="N98" s="98"/>
      <c r="O98" s="98"/>
      <c r="P98" s="98">
        <f t="shared" si="31"/>
        <v>1499036</v>
      </c>
      <c r="Q98" s="23"/>
      <c r="R98" s="32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  <c r="TF98" s="23"/>
      <c r="TG98" s="23"/>
    </row>
    <row r="99" spans="1:527" s="24" customFormat="1" ht="45.75" customHeight="1" x14ac:dyDescent="0.25">
      <c r="A99" s="83"/>
      <c r="B99" s="83"/>
      <c r="C99" s="83"/>
      <c r="D99" s="86" t="s">
        <v>384</v>
      </c>
      <c r="E99" s="100">
        <f t="shared" si="30"/>
        <v>1499036</v>
      </c>
      <c r="F99" s="100">
        <v>1499036</v>
      </c>
      <c r="G99" s="100">
        <v>1228720</v>
      </c>
      <c r="H99" s="100"/>
      <c r="I99" s="100"/>
      <c r="J99" s="100">
        <f t="shared" si="32"/>
        <v>0</v>
      </c>
      <c r="K99" s="100"/>
      <c r="L99" s="100"/>
      <c r="M99" s="100"/>
      <c r="N99" s="100"/>
      <c r="O99" s="100"/>
      <c r="P99" s="100">
        <f t="shared" si="31"/>
        <v>1499036</v>
      </c>
      <c r="Q99" s="30"/>
      <c r="R99" s="3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2" customFormat="1" ht="36" customHeight="1" x14ac:dyDescent="0.25">
      <c r="A100" s="59" t="s">
        <v>486</v>
      </c>
      <c r="B100" s="59" t="s">
        <v>487</v>
      </c>
      <c r="C100" s="59" t="str">
        <f>'дод 7'!B65</f>
        <v>0990</v>
      </c>
      <c r="D100" s="60" t="s">
        <v>488</v>
      </c>
      <c r="E100" s="98">
        <f t="shared" si="30"/>
        <v>2552577</v>
      </c>
      <c r="F100" s="98">
        <f>2521377+9000+22200</f>
        <v>2552577</v>
      </c>
      <c r="G100" s="98">
        <f>1880000-3000</f>
        <v>1877000</v>
      </c>
      <c r="H100" s="98">
        <f>92977+22200</f>
        <v>115177</v>
      </c>
      <c r="I100" s="98"/>
      <c r="J100" s="98">
        <f t="shared" si="32"/>
        <v>41000</v>
      </c>
      <c r="K100" s="98">
        <f>50000-9000</f>
        <v>41000</v>
      </c>
      <c r="L100" s="98"/>
      <c r="M100" s="98"/>
      <c r="N100" s="98"/>
      <c r="O100" s="98">
        <f>50000-9000</f>
        <v>41000</v>
      </c>
      <c r="P100" s="98">
        <f t="shared" si="31"/>
        <v>2593577</v>
      </c>
      <c r="Q100" s="23"/>
      <c r="R100" s="3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</row>
    <row r="101" spans="1:527" s="22" customFormat="1" ht="66" customHeight="1" x14ac:dyDescent="0.25">
      <c r="A101" s="59" t="s">
        <v>566</v>
      </c>
      <c r="B101" s="59" t="s">
        <v>567</v>
      </c>
      <c r="C101" s="59" t="s">
        <v>58</v>
      </c>
      <c r="D101" s="60" t="s">
        <v>570</v>
      </c>
      <c r="E101" s="98">
        <f t="shared" si="30"/>
        <v>0</v>
      </c>
      <c r="F101" s="98"/>
      <c r="G101" s="98"/>
      <c r="H101" s="98"/>
      <c r="I101" s="98"/>
      <c r="J101" s="98">
        <f t="shared" si="32"/>
        <v>1522670</v>
      </c>
      <c r="K101" s="98">
        <f>1610670-88000</f>
        <v>1522670</v>
      </c>
      <c r="L101" s="98"/>
      <c r="M101" s="98"/>
      <c r="N101" s="98"/>
      <c r="O101" s="98">
        <f>1610670-88000</f>
        <v>1522670</v>
      </c>
      <c r="P101" s="98">
        <f t="shared" si="31"/>
        <v>1522670</v>
      </c>
      <c r="Q101" s="23"/>
      <c r="R101" s="32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</row>
    <row r="102" spans="1:527" s="22" customFormat="1" ht="63" x14ac:dyDescent="0.25">
      <c r="A102" s="59" t="s">
        <v>555</v>
      </c>
      <c r="B102" s="59" t="s">
        <v>557</v>
      </c>
      <c r="C102" s="59" t="s">
        <v>58</v>
      </c>
      <c r="D102" s="60" t="s">
        <v>617</v>
      </c>
      <c r="E102" s="98">
        <f t="shared" si="30"/>
        <v>287772</v>
      </c>
      <c r="F102" s="98">
        <v>287772</v>
      </c>
      <c r="G102" s="98"/>
      <c r="H102" s="98"/>
      <c r="I102" s="98"/>
      <c r="J102" s="98">
        <f t="shared" si="32"/>
        <v>2859728</v>
      </c>
      <c r="K102" s="98">
        <v>2859728</v>
      </c>
      <c r="L102" s="98"/>
      <c r="M102" s="98"/>
      <c r="N102" s="98"/>
      <c r="O102" s="98">
        <v>2859728</v>
      </c>
      <c r="P102" s="98">
        <f t="shared" si="31"/>
        <v>3147500</v>
      </c>
      <c r="Q102" s="23"/>
      <c r="R102" s="32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</row>
    <row r="103" spans="1:527" s="24" customFormat="1" ht="52.5" customHeight="1" x14ac:dyDescent="0.25">
      <c r="A103" s="83"/>
      <c r="B103" s="83"/>
      <c r="C103" s="83"/>
      <c r="D103" s="86" t="s">
        <v>602</v>
      </c>
      <c r="E103" s="100">
        <f t="shared" si="30"/>
        <v>287772</v>
      </c>
      <c r="F103" s="100">
        <v>287772</v>
      </c>
      <c r="G103" s="100"/>
      <c r="H103" s="100"/>
      <c r="I103" s="100"/>
      <c r="J103" s="100">
        <f t="shared" si="32"/>
        <v>2859728</v>
      </c>
      <c r="K103" s="100">
        <v>2859728</v>
      </c>
      <c r="L103" s="100"/>
      <c r="M103" s="100"/>
      <c r="N103" s="100"/>
      <c r="O103" s="100">
        <v>2859728</v>
      </c>
      <c r="P103" s="100">
        <f t="shared" si="31"/>
        <v>3147500</v>
      </c>
      <c r="Q103" s="30"/>
      <c r="R103" s="32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</row>
    <row r="104" spans="1:527" s="22" customFormat="1" ht="78.75" x14ac:dyDescent="0.25">
      <c r="A104" s="59" t="s">
        <v>568</v>
      </c>
      <c r="B104" s="59" t="s">
        <v>569</v>
      </c>
      <c r="C104" s="59" t="s">
        <v>58</v>
      </c>
      <c r="D104" s="60" t="s">
        <v>595</v>
      </c>
      <c r="E104" s="98">
        <f t="shared" si="30"/>
        <v>2092093.9</v>
      </c>
      <c r="F104" s="98">
        <f>2037825+54276+11295.9-11303</f>
        <v>2092093.9</v>
      </c>
      <c r="G104" s="98"/>
      <c r="H104" s="98"/>
      <c r="I104" s="98"/>
      <c r="J104" s="98">
        <f t="shared" si="32"/>
        <v>364158.1</v>
      </c>
      <c r="K104" s="98">
        <f>330427+88000-54276-11295.9+11303</f>
        <v>364158.1</v>
      </c>
      <c r="L104" s="98"/>
      <c r="M104" s="98"/>
      <c r="N104" s="98"/>
      <c r="O104" s="98">
        <f>330427+88000-54276-11295.9+11303</f>
        <v>364158.1</v>
      </c>
      <c r="P104" s="98">
        <f t="shared" si="31"/>
        <v>2456252</v>
      </c>
      <c r="Q104" s="23"/>
      <c r="R104" s="32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</row>
    <row r="105" spans="1:527" s="22" customFormat="1" ht="15.75" x14ac:dyDescent="0.25">
      <c r="A105" s="59"/>
      <c r="B105" s="59"/>
      <c r="C105" s="59"/>
      <c r="D105" s="86" t="s">
        <v>395</v>
      </c>
      <c r="E105" s="100">
        <f t="shared" si="30"/>
        <v>150000</v>
      </c>
      <c r="F105" s="100">
        <v>150000</v>
      </c>
      <c r="G105" s="98"/>
      <c r="H105" s="98"/>
      <c r="I105" s="98"/>
      <c r="J105" s="100">
        <f t="shared" si="32"/>
        <v>0</v>
      </c>
      <c r="K105" s="98"/>
      <c r="L105" s="98"/>
      <c r="M105" s="98"/>
      <c r="N105" s="98"/>
      <c r="O105" s="98"/>
      <c r="P105" s="100">
        <f t="shared" si="31"/>
        <v>150000</v>
      </c>
      <c r="Q105" s="23"/>
      <c r="R105" s="32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</row>
    <row r="106" spans="1:527" s="22" customFormat="1" ht="78.75" x14ac:dyDescent="0.25">
      <c r="A106" s="59" t="s">
        <v>556</v>
      </c>
      <c r="B106" s="59" t="s">
        <v>558</v>
      </c>
      <c r="C106" s="59" t="s">
        <v>58</v>
      </c>
      <c r="D106" s="60" t="s">
        <v>603</v>
      </c>
      <c r="E106" s="98">
        <f t="shared" si="30"/>
        <v>6262701.0999999996</v>
      </c>
      <c r="F106" s="98">
        <f>6109696+126648+26357.1</f>
        <v>6262701.0999999996</v>
      </c>
      <c r="G106" s="98">
        <v>57829</v>
      </c>
      <c r="H106" s="98"/>
      <c r="I106" s="98"/>
      <c r="J106" s="98">
        <f t="shared" si="32"/>
        <v>644361.9</v>
      </c>
      <c r="K106" s="98">
        <f>797367-126648-26357.1</f>
        <v>644361.9</v>
      </c>
      <c r="L106" s="98"/>
      <c r="M106" s="98"/>
      <c r="N106" s="98"/>
      <c r="O106" s="98">
        <f>797367-126648-26357.1</f>
        <v>644361.9</v>
      </c>
      <c r="P106" s="98">
        <f t="shared" si="31"/>
        <v>6907063</v>
      </c>
      <c r="Q106" s="23"/>
      <c r="R106" s="32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  <c r="TF106" s="23"/>
      <c r="TG106" s="23"/>
    </row>
    <row r="107" spans="1:527" s="24" customFormat="1" ht="79.5" customHeight="1" x14ac:dyDescent="0.25">
      <c r="A107" s="83"/>
      <c r="B107" s="83"/>
      <c r="C107" s="83"/>
      <c r="D107" s="86" t="s">
        <v>559</v>
      </c>
      <c r="E107" s="100">
        <f t="shared" si="30"/>
        <v>6262701.0999999996</v>
      </c>
      <c r="F107" s="100">
        <f>6109696+126648+26357.1</f>
        <v>6262701.0999999996</v>
      </c>
      <c r="G107" s="100">
        <v>57829</v>
      </c>
      <c r="H107" s="100"/>
      <c r="I107" s="100"/>
      <c r="J107" s="100">
        <f t="shared" si="32"/>
        <v>644361.9</v>
      </c>
      <c r="K107" s="100">
        <f>797367-126648-26357.1</f>
        <v>644361.9</v>
      </c>
      <c r="L107" s="100"/>
      <c r="M107" s="100"/>
      <c r="N107" s="100"/>
      <c r="O107" s="100">
        <f>797367-126648-26357.1</f>
        <v>644361.9</v>
      </c>
      <c r="P107" s="100">
        <f t="shared" si="31"/>
        <v>6907063</v>
      </c>
      <c r="Q107" s="30"/>
      <c r="R107" s="32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2" customFormat="1" ht="65.25" customHeight="1" x14ac:dyDescent="0.25">
      <c r="A108" s="59" t="s">
        <v>489</v>
      </c>
      <c r="B108" s="59" t="s">
        <v>490</v>
      </c>
      <c r="C108" s="59" t="s">
        <v>58</v>
      </c>
      <c r="D108" s="93" t="s">
        <v>506</v>
      </c>
      <c r="E108" s="98">
        <f t="shared" si="30"/>
        <v>2417470</v>
      </c>
      <c r="F108" s="98">
        <f>2612700-195230</f>
        <v>2417470</v>
      </c>
      <c r="G108" s="98">
        <f>1459720-160025</f>
        <v>1299695</v>
      </c>
      <c r="H108" s="98"/>
      <c r="I108" s="98"/>
      <c r="J108" s="98">
        <f t="shared" si="32"/>
        <v>72000</v>
      </c>
      <c r="K108" s="98">
        <v>72000</v>
      </c>
      <c r="L108" s="98"/>
      <c r="M108" s="98"/>
      <c r="N108" s="98"/>
      <c r="O108" s="98">
        <v>72000</v>
      </c>
      <c r="P108" s="98">
        <f t="shared" si="31"/>
        <v>2489470</v>
      </c>
      <c r="Q108" s="23"/>
      <c r="R108" s="32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</row>
    <row r="109" spans="1:527" s="24" customFormat="1" ht="63" x14ac:dyDescent="0.25">
      <c r="A109" s="83"/>
      <c r="B109" s="110"/>
      <c r="C109" s="110"/>
      <c r="D109" s="86" t="s">
        <v>383</v>
      </c>
      <c r="E109" s="100">
        <f t="shared" si="30"/>
        <v>2417470</v>
      </c>
      <c r="F109" s="100">
        <f>2612700-195230</f>
        <v>2417470</v>
      </c>
      <c r="G109" s="100">
        <f>1459720-160025</f>
        <v>1299695</v>
      </c>
      <c r="H109" s="100"/>
      <c r="I109" s="100"/>
      <c r="J109" s="100">
        <f t="shared" si="32"/>
        <v>72000</v>
      </c>
      <c r="K109" s="100">
        <v>72000</v>
      </c>
      <c r="L109" s="100"/>
      <c r="M109" s="100"/>
      <c r="N109" s="100"/>
      <c r="O109" s="100">
        <v>72000</v>
      </c>
      <c r="P109" s="100">
        <f t="shared" si="31"/>
        <v>2489470</v>
      </c>
      <c r="Q109" s="30"/>
      <c r="R109" s="3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78.75" x14ac:dyDescent="0.25">
      <c r="A110" s="59" t="s">
        <v>521</v>
      </c>
      <c r="B110" s="92">
        <v>1210</v>
      </c>
      <c r="C110" s="59" t="s">
        <v>58</v>
      </c>
      <c r="D110" s="36" t="s">
        <v>522</v>
      </c>
      <c r="E110" s="98">
        <f t="shared" si="30"/>
        <v>1315285.79</v>
      </c>
      <c r="F110" s="98">
        <f>1174231+141054.79</f>
        <v>1315285.79</v>
      </c>
      <c r="G110" s="98">
        <f>962484+72136</f>
        <v>1034620</v>
      </c>
      <c r="H110" s="100"/>
      <c r="I110" s="100"/>
      <c r="J110" s="98">
        <f t="shared" si="32"/>
        <v>0</v>
      </c>
      <c r="K110" s="100"/>
      <c r="L110" s="100"/>
      <c r="M110" s="100"/>
      <c r="N110" s="100"/>
      <c r="O110" s="100"/>
      <c r="P110" s="98">
        <f t="shared" si="31"/>
        <v>1315285.79</v>
      </c>
      <c r="Q110" s="30"/>
      <c r="R110" s="3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75.75" customHeight="1" x14ac:dyDescent="0.25">
      <c r="A111" s="83"/>
      <c r="B111" s="110"/>
      <c r="C111" s="110"/>
      <c r="D111" s="86" t="s">
        <v>523</v>
      </c>
      <c r="E111" s="100">
        <f t="shared" si="30"/>
        <v>1315285.79</v>
      </c>
      <c r="F111" s="100">
        <f>1174231+141054.79</f>
        <v>1315285.79</v>
      </c>
      <c r="G111" s="100">
        <f>962484+72136</f>
        <v>1034620</v>
      </c>
      <c r="H111" s="100"/>
      <c r="I111" s="100"/>
      <c r="J111" s="100">
        <f t="shared" si="32"/>
        <v>0</v>
      </c>
      <c r="K111" s="100"/>
      <c r="L111" s="100"/>
      <c r="M111" s="100"/>
      <c r="N111" s="100"/>
      <c r="O111" s="100"/>
      <c r="P111" s="100">
        <f t="shared" si="31"/>
        <v>1315285.79</v>
      </c>
      <c r="Q111" s="30"/>
      <c r="R111" s="3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4" customFormat="1" ht="64.5" customHeight="1" x14ac:dyDescent="0.25">
      <c r="A112" s="59" t="s">
        <v>491</v>
      </c>
      <c r="B112" s="92">
        <v>3140</v>
      </c>
      <c r="C112" s="92">
        <v>1040</v>
      </c>
      <c r="D112" s="6" t="s">
        <v>20</v>
      </c>
      <c r="E112" s="98">
        <f t="shared" si="30"/>
        <v>5500000</v>
      </c>
      <c r="F112" s="98">
        <v>5500000</v>
      </c>
      <c r="G112" s="98"/>
      <c r="H112" s="98"/>
      <c r="I112" s="98"/>
      <c r="J112" s="98">
        <f t="shared" si="32"/>
        <v>0</v>
      </c>
      <c r="K112" s="100"/>
      <c r="L112" s="100"/>
      <c r="M112" s="100"/>
      <c r="N112" s="100"/>
      <c r="O112" s="100"/>
      <c r="P112" s="98">
        <f t="shared" si="31"/>
        <v>5500000</v>
      </c>
      <c r="Q112" s="30"/>
      <c r="R112" s="3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</row>
    <row r="113" spans="1:527" s="24" customFormat="1" ht="31.5" x14ac:dyDescent="0.25">
      <c r="A113" s="59" t="s">
        <v>492</v>
      </c>
      <c r="B113" s="92">
        <v>3242</v>
      </c>
      <c r="C113" s="92">
        <v>1090</v>
      </c>
      <c r="D113" s="36" t="s">
        <v>412</v>
      </c>
      <c r="E113" s="98">
        <f t="shared" si="30"/>
        <v>59730</v>
      </c>
      <c r="F113" s="98">
        <f>54300+5430</f>
        <v>59730</v>
      </c>
      <c r="G113" s="98"/>
      <c r="H113" s="98"/>
      <c r="I113" s="98"/>
      <c r="J113" s="98">
        <f t="shared" si="32"/>
        <v>0</v>
      </c>
      <c r="K113" s="100"/>
      <c r="L113" s="100"/>
      <c r="M113" s="100"/>
      <c r="N113" s="100"/>
      <c r="O113" s="100"/>
      <c r="P113" s="98">
        <f t="shared" si="31"/>
        <v>59730</v>
      </c>
      <c r="Q113" s="30"/>
      <c r="R113" s="3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</row>
    <row r="114" spans="1:527" s="24" customFormat="1" ht="47.25" x14ac:dyDescent="0.25">
      <c r="A114" s="59" t="s">
        <v>494</v>
      </c>
      <c r="B114" s="92">
        <v>5031</v>
      </c>
      <c r="C114" s="59" t="s">
        <v>80</v>
      </c>
      <c r="D114" s="3" t="s">
        <v>562</v>
      </c>
      <c r="E114" s="98">
        <f t="shared" si="30"/>
        <v>8855725</v>
      </c>
      <c r="F114" s="98">
        <f>8813255+70500-25700+3100-5430</f>
        <v>8855725</v>
      </c>
      <c r="G114" s="98">
        <v>6510800</v>
      </c>
      <c r="H114" s="98">
        <f>202167+70500+3100</f>
        <v>275767</v>
      </c>
      <c r="I114" s="98"/>
      <c r="J114" s="98">
        <f t="shared" si="32"/>
        <v>0</v>
      </c>
      <c r="K114" s="100"/>
      <c r="L114" s="100"/>
      <c r="M114" s="100"/>
      <c r="N114" s="100"/>
      <c r="O114" s="100"/>
      <c r="P114" s="98">
        <f t="shared" si="31"/>
        <v>8855725</v>
      </c>
      <c r="Q114" s="30"/>
      <c r="R114" s="3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</row>
    <row r="115" spans="1:527" s="24" customFormat="1" ht="23.25" customHeight="1" x14ac:dyDescent="0.25">
      <c r="A115" s="83"/>
      <c r="B115" s="110"/>
      <c r="C115" s="83"/>
      <c r="D115" s="86" t="s">
        <v>395</v>
      </c>
      <c r="E115" s="100">
        <f t="shared" si="30"/>
        <v>134064</v>
      </c>
      <c r="F115" s="100">
        <v>134064</v>
      </c>
      <c r="G115" s="100"/>
      <c r="H115" s="100"/>
      <c r="I115" s="100"/>
      <c r="J115" s="100">
        <f t="shared" si="32"/>
        <v>0</v>
      </c>
      <c r="K115" s="100"/>
      <c r="L115" s="100"/>
      <c r="M115" s="100"/>
      <c r="N115" s="100"/>
      <c r="O115" s="100"/>
      <c r="P115" s="100">
        <f t="shared" si="31"/>
        <v>134064</v>
      </c>
      <c r="Q115" s="30"/>
      <c r="R115" s="3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</row>
    <row r="116" spans="1:527" s="24" customFormat="1" ht="34.5" x14ac:dyDescent="0.25">
      <c r="A116" s="59" t="s">
        <v>495</v>
      </c>
      <c r="B116" s="92">
        <v>7321</v>
      </c>
      <c r="C116" s="59" t="s">
        <v>111</v>
      </c>
      <c r="D116" s="6" t="s">
        <v>609</v>
      </c>
      <c r="E116" s="98">
        <f t="shared" si="30"/>
        <v>0</v>
      </c>
      <c r="F116" s="98"/>
      <c r="G116" s="98"/>
      <c r="H116" s="98"/>
      <c r="I116" s="98"/>
      <c r="J116" s="98">
        <f t="shared" si="32"/>
        <v>24543487.5</v>
      </c>
      <c r="K116" s="98">
        <f>24799566-17200+12502+204100+323280+207900+392634+299500-700000-276038.5-36286-588880-77590</f>
        <v>24543487.5</v>
      </c>
      <c r="L116" s="98"/>
      <c r="M116" s="98"/>
      <c r="N116" s="98"/>
      <c r="O116" s="98">
        <f>24799566-17200+12502+204100+323280+207900+392634+299500-700000-276038.5-36286-588880-77590</f>
        <v>24543487.5</v>
      </c>
      <c r="P116" s="98">
        <f t="shared" si="31"/>
        <v>24543487.5</v>
      </c>
      <c r="Q116" s="30"/>
      <c r="R116" s="3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</row>
    <row r="117" spans="1:527" s="24" customFormat="1" ht="15.75" x14ac:dyDescent="0.25">
      <c r="A117" s="59"/>
      <c r="B117" s="92"/>
      <c r="C117" s="59"/>
      <c r="D117" s="86" t="s">
        <v>395</v>
      </c>
      <c r="E117" s="100">
        <f t="shared" si="30"/>
        <v>0</v>
      </c>
      <c r="F117" s="98"/>
      <c r="G117" s="98"/>
      <c r="H117" s="98"/>
      <c r="I117" s="98"/>
      <c r="J117" s="100">
        <f t="shared" si="32"/>
        <v>250000</v>
      </c>
      <c r="K117" s="100">
        <v>250000</v>
      </c>
      <c r="L117" s="98"/>
      <c r="M117" s="98"/>
      <c r="N117" s="98"/>
      <c r="O117" s="100">
        <v>250000</v>
      </c>
      <c r="P117" s="100">
        <f t="shared" si="31"/>
        <v>250000</v>
      </c>
      <c r="Q117" s="30"/>
      <c r="R117" s="3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</row>
    <row r="118" spans="1:527" s="24" customFormat="1" ht="51" customHeight="1" x14ac:dyDescent="0.25">
      <c r="A118" s="59" t="s">
        <v>552</v>
      </c>
      <c r="B118" s="92">
        <v>7363</v>
      </c>
      <c r="C118" s="59" t="s">
        <v>82</v>
      </c>
      <c r="D118" s="6" t="s">
        <v>398</v>
      </c>
      <c r="E118" s="98">
        <f t="shared" si="30"/>
        <v>0</v>
      </c>
      <c r="F118" s="98"/>
      <c r="G118" s="98"/>
      <c r="H118" s="98"/>
      <c r="I118" s="98"/>
      <c r="J118" s="98">
        <f t="shared" si="32"/>
        <v>20939667</v>
      </c>
      <c r="K118" s="98">
        <f>11792250+6755557+25000+700000+197000+100000+320000+40000-3149560+588880+77590</f>
        <v>17446717</v>
      </c>
      <c r="L118" s="98"/>
      <c r="M118" s="98"/>
      <c r="N118" s="98"/>
      <c r="O118" s="98">
        <f>15285200+6755557+25000+700000+197000+100000+320000+40000-3149560+588880+77590</f>
        <v>20939667</v>
      </c>
      <c r="P118" s="98">
        <f t="shared" si="31"/>
        <v>20939667</v>
      </c>
      <c r="Q118" s="30"/>
      <c r="R118" s="3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</row>
    <row r="119" spans="1:527" s="24" customFormat="1" ht="47.25" x14ac:dyDescent="0.25">
      <c r="A119" s="83"/>
      <c r="B119" s="110"/>
      <c r="C119" s="83"/>
      <c r="D119" s="80" t="s">
        <v>563</v>
      </c>
      <c r="E119" s="100">
        <f t="shared" si="30"/>
        <v>0</v>
      </c>
      <c r="F119" s="100"/>
      <c r="G119" s="100"/>
      <c r="H119" s="100"/>
      <c r="I119" s="100"/>
      <c r="J119" s="100">
        <f t="shared" si="32"/>
        <v>13762433</v>
      </c>
      <c r="K119" s="100">
        <f>6006486+6755557-2492560</f>
        <v>10269483</v>
      </c>
      <c r="L119" s="100"/>
      <c r="M119" s="100"/>
      <c r="N119" s="100"/>
      <c r="O119" s="100">
        <f>9499436+6755557-2492560</f>
        <v>13762433</v>
      </c>
      <c r="P119" s="100">
        <f t="shared" si="31"/>
        <v>13762433</v>
      </c>
      <c r="Q119" s="30"/>
      <c r="R119" s="3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</row>
    <row r="120" spans="1:527" s="24" customFormat="1" ht="15.75" x14ac:dyDescent="0.25">
      <c r="A120" s="59" t="s">
        <v>496</v>
      </c>
      <c r="B120" s="92">
        <v>7640</v>
      </c>
      <c r="C120" s="59" t="s">
        <v>86</v>
      </c>
      <c r="D120" s="3" t="s">
        <v>422</v>
      </c>
      <c r="E120" s="98">
        <f t="shared" si="30"/>
        <v>665150</v>
      </c>
      <c r="F120" s="98">
        <f>691000-25850</f>
        <v>665150</v>
      </c>
      <c r="G120" s="98"/>
      <c r="H120" s="98"/>
      <c r="I120" s="98"/>
      <c r="J120" s="98">
        <f t="shared" si="32"/>
        <v>11580816</v>
      </c>
      <c r="K120" s="98">
        <f>11554696-53880+80000</f>
        <v>11580816</v>
      </c>
      <c r="L120" s="98"/>
      <c r="M120" s="98"/>
      <c r="N120" s="98"/>
      <c r="O120" s="98">
        <f>11554696-53880+80000</f>
        <v>11580816</v>
      </c>
      <c r="P120" s="98">
        <f t="shared" si="31"/>
        <v>12245966</v>
      </c>
      <c r="Q120" s="30"/>
      <c r="R120" s="3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</row>
    <row r="121" spans="1:527" s="24" customFormat="1" ht="47.25" x14ac:dyDescent="0.25">
      <c r="A121" s="59" t="s">
        <v>499</v>
      </c>
      <c r="B121" s="92">
        <v>7700</v>
      </c>
      <c r="C121" s="59" t="s">
        <v>93</v>
      </c>
      <c r="D121" s="3" t="s">
        <v>362</v>
      </c>
      <c r="E121" s="98">
        <f t="shared" si="30"/>
        <v>0</v>
      </c>
      <c r="F121" s="98"/>
      <c r="G121" s="98"/>
      <c r="H121" s="98"/>
      <c r="I121" s="98"/>
      <c r="J121" s="98">
        <f t="shared" si="32"/>
        <v>630000</v>
      </c>
      <c r="K121" s="98"/>
      <c r="L121" s="98"/>
      <c r="M121" s="98"/>
      <c r="N121" s="98"/>
      <c r="O121" s="98">
        <v>630000</v>
      </c>
      <c r="P121" s="98">
        <f t="shared" si="31"/>
        <v>630000</v>
      </c>
      <c r="Q121" s="30"/>
      <c r="R121" s="3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</row>
    <row r="122" spans="1:527" s="24" customFormat="1" ht="37.5" customHeight="1" x14ac:dyDescent="0.25">
      <c r="A122" s="59" t="s">
        <v>497</v>
      </c>
      <c r="B122" s="92">
        <v>8340</v>
      </c>
      <c r="C122" s="59" t="s">
        <v>92</v>
      </c>
      <c r="D122" s="3" t="s">
        <v>10</v>
      </c>
      <c r="E122" s="98">
        <f t="shared" si="30"/>
        <v>0</v>
      </c>
      <c r="F122" s="98"/>
      <c r="G122" s="98"/>
      <c r="H122" s="98"/>
      <c r="I122" s="98"/>
      <c r="J122" s="98">
        <f t="shared" si="32"/>
        <v>625000</v>
      </c>
      <c r="K122" s="98"/>
      <c r="L122" s="98">
        <v>575100</v>
      </c>
      <c r="M122" s="98"/>
      <c r="N122" s="98"/>
      <c r="O122" s="98">
        <v>49900</v>
      </c>
      <c r="P122" s="98">
        <f t="shared" si="31"/>
        <v>625000</v>
      </c>
      <c r="Q122" s="30"/>
      <c r="R122" s="3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  <c r="TF122" s="30"/>
      <c r="TG122" s="30"/>
    </row>
    <row r="123" spans="1:527" s="24" customFormat="1" ht="47.25" x14ac:dyDescent="0.25">
      <c r="A123" s="59" t="s">
        <v>536</v>
      </c>
      <c r="B123" s="92">
        <v>9320</v>
      </c>
      <c r="C123" s="59" t="s">
        <v>45</v>
      </c>
      <c r="D123" s="6" t="s">
        <v>610</v>
      </c>
      <c r="E123" s="98">
        <f t="shared" si="30"/>
        <v>693000</v>
      </c>
      <c r="F123" s="98">
        <v>693000</v>
      </c>
      <c r="G123" s="98"/>
      <c r="H123" s="98"/>
      <c r="I123" s="98"/>
      <c r="J123" s="98">
        <f t="shared" si="32"/>
        <v>3307000</v>
      </c>
      <c r="K123" s="98">
        <v>3307000</v>
      </c>
      <c r="L123" s="98"/>
      <c r="M123" s="98"/>
      <c r="N123" s="98"/>
      <c r="O123" s="98">
        <v>3307000</v>
      </c>
      <c r="P123" s="98">
        <f t="shared" si="31"/>
        <v>4000000</v>
      </c>
      <c r="Q123" s="30"/>
      <c r="R123" s="3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</row>
    <row r="124" spans="1:527" s="24" customFormat="1" ht="31.5" x14ac:dyDescent="0.25">
      <c r="A124" s="83"/>
      <c r="B124" s="110"/>
      <c r="C124" s="83"/>
      <c r="D124" s="86" t="s">
        <v>531</v>
      </c>
      <c r="E124" s="100">
        <f t="shared" si="30"/>
        <v>693000</v>
      </c>
      <c r="F124" s="100">
        <v>693000</v>
      </c>
      <c r="G124" s="100"/>
      <c r="H124" s="100"/>
      <c r="I124" s="100"/>
      <c r="J124" s="100">
        <f t="shared" si="32"/>
        <v>3307000</v>
      </c>
      <c r="K124" s="100">
        <v>3307000</v>
      </c>
      <c r="L124" s="100"/>
      <c r="M124" s="100"/>
      <c r="N124" s="100"/>
      <c r="O124" s="100">
        <v>3307000</v>
      </c>
      <c r="P124" s="100">
        <f t="shared" si="31"/>
        <v>4000000</v>
      </c>
      <c r="Q124" s="30"/>
      <c r="R124" s="3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</row>
    <row r="125" spans="1:527" s="24" customFormat="1" ht="22.5" customHeight="1" x14ac:dyDescent="0.25">
      <c r="A125" s="59" t="s">
        <v>498</v>
      </c>
      <c r="B125" s="92">
        <v>9770</v>
      </c>
      <c r="C125" s="59" t="s">
        <v>45</v>
      </c>
      <c r="D125" s="6" t="s">
        <v>356</v>
      </c>
      <c r="E125" s="98">
        <f t="shared" ref="E125" si="40">F125+I125</f>
        <v>72650000</v>
      </c>
      <c r="F125" s="98">
        <f>67650000+5000000</f>
        <v>72650000</v>
      </c>
      <c r="G125" s="98"/>
      <c r="H125" s="98"/>
      <c r="I125" s="98"/>
      <c r="J125" s="98">
        <f t="shared" ref="J125" si="41">L125+O125</f>
        <v>1256508</v>
      </c>
      <c r="K125" s="98">
        <v>1256508</v>
      </c>
      <c r="L125" s="98"/>
      <c r="M125" s="98"/>
      <c r="N125" s="98"/>
      <c r="O125" s="98">
        <v>1256508</v>
      </c>
      <c r="P125" s="98">
        <f t="shared" ref="P125" si="42">E125+J125</f>
        <v>73906508</v>
      </c>
      <c r="Q125" s="30"/>
      <c r="R125" s="3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</row>
    <row r="126" spans="1:527" s="24" customFormat="1" ht="48.75" customHeight="1" x14ac:dyDescent="0.25">
      <c r="A126" s="59" t="s">
        <v>526</v>
      </c>
      <c r="B126" s="92">
        <v>9800</v>
      </c>
      <c r="C126" s="59" t="s">
        <v>45</v>
      </c>
      <c r="D126" s="6" t="s">
        <v>367</v>
      </c>
      <c r="E126" s="98">
        <f t="shared" si="30"/>
        <v>58930</v>
      </c>
      <c r="F126" s="98">
        <f>49600+9330</f>
        <v>58930</v>
      </c>
      <c r="G126" s="98"/>
      <c r="H126" s="98"/>
      <c r="I126" s="98"/>
      <c r="J126" s="98">
        <f t="shared" si="32"/>
        <v>0</v>
      </c>
      <c r="K126" s="98"/>
      <c r="L126" s="98"/>
      <c r="M126" s="98"/>
      <c r="N126" s="98"/>
      <c r="O126" s="98"/>
      <c r="P126" s="98">
        <f t="shared" si="31"/>
        <v>58930</v>
      </c>
      <c r="Q126" s="30"/>
      <c r="R126" s="3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</row>
    <row r="127" spans="1:527" s="27" customFormat="1" ht="33.75" customHeight="1" x14ac:dyDescent="0.25">
      <c r="A127" s="109" t="s">
        <v>169</v>
      </c>
      <c r="B127" s="111"/>
      <c r="C127" s="111"/>
      <c r="D127" s="106" t="s">
        <v>462</v>
      </c>
      <c r="E127" s="94">
        <f>E128</f>
        <v>100187977.40000001</v>
      </c>
      <c r="F127" s="94">
        <f t="shared" ref="F127:P127" si="43">F128</f>
        <v>100187977.40000001</v>
      </c>
      <c r="G127" s="94">
        <f t="shared" si="43"/>
        <v>4343800</v>
      </c>
      <c r="H127" s="94">
        <f t="shared" si="43"/>
        <v>119268</v>
      </c>
      <c r="I127" s="94">
        <f t="shared" si="43"/>
        <v>0</v>
      </c>
      <c r="J127" s="94">
        <f t="shared" si="43"/>
        <v>156063805.37</v>
      </c>
      <c r="K127" s="94">
        <f t="shared" si="43"/>
        <v>156063805.37</v>
      </c>
      <c r="L127" s="94">
        <f t="shared" si="43"/>
        <v>0</v>
      </c>
      <c r="M127" s="94">
        <f t="shared" si="43"/>
        <v>0</v>
      </c>
      <c r="N127" s="94">
        <f t="shared" si="43"/>
        <v>0</v>
      </c>
      <c r="O127" s="94">
        <f t="shared" si="43"/>
        <v>156063805.37</v>
      </c>
      <c r="P127" s="94">
        <f t="shared" si="43"/>
        <v>256251782.77000001</v>
      </c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</row>
    <row r="128" spans="1:527" s="34" customFormat="1" ht="33" customHeight="1" x14ac:dyDescent="0.25">
      <c r="A128" s="95" t="s">
        <v>170</v>
      </c>
      <c r="B128" s="108"/>
      <c r="C128" s="108"/>
      <c r="D128" s="76" t="s">
        <v>468</v>
      </c>
      <c r="E128" s="97">
        <f>E137+E138+E143+E145+E147+E149+E152+E153+E154+E156+E157+E159+E161+E162+E142</f>
        <v>100187977.40000001</v>
      </c>
      <c r="F128" s="97">
        <f t="shared" ref="F128:P128" si="44">F137+F138+F143+F145+F147+F149+F152+F153+F154+F156+F157+F159+F161+F162+F142</f>
        <v>100187977.40000001</v>
      </c>
      <c r="G128" s="97">
        <f t="shared" si="44"/>
        <v>4343800</v>
      </c>
      <c r="H128" s="97">
        <f t="shared" si="44"/>
        <v>119268</v>
      </c>
      <c r="I128" s="97">
        <f t="shared" si="44"/>
        <v>0</v>
      </c>
      <c r="J128" s="97">
        <f t="shared" si="44"/>
        <v>156063805.37</v>
      </c>
      <c r="K128" s="97">
        <f>K137+K138+K143+K145+K147+K149+K152+K153+K154+K156+K157+K159+K161+K162+K142</f>
        <v>156063805.37</v>
      </c>
      <c r="L128" s="97">
        <f t="shared" si="44"/>
        <v>0</v>
      </c>
      <c r="M128" s="97">
        <f t="shared" si="44"/>
        <v>0</v>
      </c>
      <c r="N128" s="97">
        <f t="shared" si="44"/>
        <v>0</v>
      </c>
      <c r="O128" s="97">
        <f t="shared" si="44"/>
        <v>156063805.37</v>
      </c>
      <c r="P128" s="97">
        <f t="shared" si="44"/>
        <v>256251782.77000001</v>
      </c>
      <c r="Q128" s="33"/>
      <c r="R128" s="32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</row>
    <row r="129" spans="1:527" s="34" customFormat="1" ht="31.5" hidden="1" customHeight="1" x14ac:dyDescent="0.25">
      <c r="A129" s="95"/>
      <c r="B129" s="108"/>
      <c r="C129" s="108"/>
      <c r="D129" s="76" t="s">
        <v>390</v>
      </c>
      <c r="E129" s="97">
        <f>E139+E144+E146</f>
        <v>0</v>
      </c>
      <c r="F129" s="97">
        <f t="shared" ref="F129:P129" si="45">F139+F144+F146</f>
        <v>0</v>
      </c>
      <c r="G129" s="97">
        <f t="shared" si="45"/>
        <v>0</v>
      </c>
      <c r="H129" s="97">
        <f t="shared" si="45"/>
        <v>0</v>
      </c>
      <c r="I129" s="97">
        <f t="shared" si="45"/>
        <v>0</v>
      </c>
      <c r="J129" s="97">
        <f t="shared" si="45"/>
        <v>0</v>
      </c>
      <c r="K129" s="97">
        <f t="shared" si="45"/>
        <v>0</v>
      </c>
      <c r="L129" s="97">
        <f t="shared" si="45"/>
        <v>0</v>
      </c>
      <c r="M129" s="97">
        <f t="shared" si="45"/>
        <v>0</v>
      </c>
      <c r="N129" s="97">
        <f t="shared" si="45"/>
        <v>0</v>
      </c>
      <c r="O129" s="97">
        <f t="shared" si="45"/>
        <v>0</v>
      </c>
      <c r="P129" s="97">
        <f t="shared" si="45"/>
        <v>0</v>
      </c>
      <c r="Q129" s="33"/>
      <c r="R129" s="32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</row>
    <row r="130" spans="1:527" s="34" customFormat="1" ht="63" hidden="1" customHeight="1" x14ac:dyDescent="0.25">
      <c r="A130" s="95"/>
      <c r="B130" s="108"/>
      <c r="C130" s="108"/>
      <c r="D130" s="76" t="s">
        <v>388</v>
      </c>
      <c r="E130" s="97">
        <f>E158</f>
        <v>0</v>
      </c>
      <c r="F130" s="97">
        <f>F158</f>
        <v>0</v>
      </c>
      <c r="G130" s="97">
        <f t="shared" ref="G130:I130" si="46">G158</f>
        <v>0</v>
      </c>
      <c r="H130" s="97">
        <f t="shared" si="46"/>
        <v>0</v>
      </c>
      <c r="I130" s="97">
        <f t="shared" si="46"/>
        <v>0</v>
      </c>
      <c r="J130" s="97">
        <f>J158</f>
        <v>4580860</v>
      </c>
      <c r="K130" s="97">
        <f t="shared" ref="K130:P130" si="47">K158</f>
        <v>4580860</v>
      </c>
      <c r="L130" s="97">
        <f t="shared" si="47"/>
        <v>0</v>
      </c>
      <c r="M130" s="97">
        <f t="shared" si="47"/>
        <v>0</v>
      </c>
      <c r="N130" s="97">
        <f t="shared" si="47"/>
        <v>0</v>
      </c>
      <c r="O130" s="97">
        <f t="shared" si="47"/>
        <v>4580860</v>
      </c>
      <c r="P130" s="97">
        <f t="shared" si="47"/>
        <v>4580860</v>
      </c>
      <c r="Q130" s="33"/>
      <c r="R130" s="32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</row>
    <row r="131" spans="1:527" s="34" customFormat="1" ht="47.25" hidden="1" customHeight="1" x14ac:dyDescent="0.25">
      <c r="A131" s="95"/>
      <c r="B131" s="108"/>
      <c r="C131" s="108"/>
      <c r="D131" s="76" t="s">
        <v>391</v>
      </c>
      <c r="E131" s="97">
        <f>E140+E150</f>
        <v>0</v>
      </c>
      <c r="F131" s="97">
        <f t="shared" ref="F131:P131" si="48">F140+F150</f>
        <v>0</v>
      </c>
      <c r="G131" s="97">
        <f t="shared" si="48"/>
        <v>0</v>
      </c>
      <c r="H131" s="97">
        <f t="shared" si="48"/>
        <v>0</v>
      </c>
      <c r="I131" s="97">
        <f t="shared" si="48"/>
        <v>0</v>
      </c>
      <c r="J131" s="97">
        <f t="shared" si="48"/>
        <v>0</v>
      </c>
      <c r="K131" s="97">
        <f t="shared" si="48"/>
        <v>0</v>
      </c>
      <c r="L131" s="97">
        <f t="shared" si="48"/>
        <v>0</v>
      </c>
      <c r="M131" s="97">
        <f t="shared" si="48"/>
        <v>0</v>
      </c>
      <c r="N131" s="97">
        <f t="shared" si="48"/>
        <v>0</v>
      </c>
      <c r="O131" s="97">
        <f t="shared" si="48"/>
        <v>0</v>
      </c>
      <c r="P131" s="97">
        <f t="shared" si="48"/>
        <v>0</v>
      </c>
      <c r="Q131" s="33"/>
      <c r="R131" s="32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</row>
    <row r="132" spans="1:527" s="34" customFormat="1" ht="63" x14ac:dyDescent="0.25">
      <c r="A132" s="95"/>
      <c r="B132" s="108"/>
      <c r="C132" s="108"/>
      <c r="D132" s="76" t="s">
        <v>392</v>
      </c>
      <c r="E132" s="97">
        <f>E148+E151</f>
        <v>11403700</v>
      </c>
      <c r="F132" s="97">
        <f>F148+F151</f>
        <v>11403700</v>
      </c>
      <c r="G132" s="97">
        <f t="shared" ref="G132:P132" si="49">G148+G151</f>
        <v>0</v>
      </c>
      <c r="H132" s="97">
        <f t="shared" si="49"/>
        <v>0</v>
      </c>
      <c r="I132" s="97">
        <f t="shared" si="49"/>
        <v>0</v>
      </c>
      <c r="J132" s="97">
        <f t="shared" si="49"/>
        <v>0</v>
      </c>
      <c r="K132" s="97">
        <f>K148+K151</f>
        <v>0</v>
      </c>
      <c r="L132" s="97">
        <f t="shared" si="49"/>
        <v>0</v>
      </c>
      <c r="M132" s="97">
        <f t="shared" si="49"/>
        <v>0</v>
      </c>
      <c r="N132" s="97">
        <f t="shared" si="49"/>
        <v>0</v>
      </c>
      <c r="O132" s="97">
        <f t="shared" si="49"/>
        <v>0</v>
      </c>
      <c r="P132" s="97">
        <f t="shared" si="49"/>
        <v>11403700</v>
      </c>
      <c r="Q132" s="33"/>
      <c r="R132" s="32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</row>
    <row r="133" spans="1:527" s="34" customFormat="1" ht="49.5" customHeight="1" x14ac:dyDescent="0.25">
      <c r="A133" s="95"/>
      <c r="B133" s="108"/>
      <c r="C133" s="108"/>
      <c r="D133" s="76" t="s">
        <v>388</v>
      </c>
      <c r="E133" s="97">
        <f>E158</f>
        <v>0</v>
      </c>
      <c r="F133" s="97">
        <f t="shared" ref="F133:P133" si="50">F158</f>
        <v>0</v>
      </c>
      <c r="G133" s="97">
        <f t="shared" si="50"/>
        <v>0</v>
      </c>
      <c r="H133" s="97">
        <f t="shared" si="50"/>
        <v>0</v>
      </c>
      <c r="I133" s="97">
        <f t="shared" si="50"/>
        <v>0</v>
      </c>
      <c r="J133" s="97">
        <f t="shared" si="50"/>
        <v>4580860</v>
      </c>
      <c r="K133" s="97">
        <f t="shared" si="50"/>
        <v>4580860</v>
      </c>
      <c r="L133" s="97">
        <f t="shared" si="50"/>
        <v>0</v>
      </c>
      <c r="M133" s="97">
        <f t="shared" si="50"/>
        <v>0</v>
      </c>
      <c r="N133" s="97">
        <f t="shared" si="50"/>
        <v>0</v>
      </c>
      <c r="O133" s="97">
        <f t="shared" si="50"/>
        <v>4580860</v>
      </c>
      <c r="P133" s="97">
        <f t="shared" si="50"/>
        <v>4580860</v>
      </c>
      <c r="Q133" s="33"/>
      <c r="R133" s="32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</row>
    <row r="134" spans="1:527" s="34" customFormat="1" ht="78.75" x14ac:dyDescent="0.25">
      <c r="A134" s="95"/>
      <c r="B134" s="108"/>
      <c r="C134" s="108"/>
      <c r="D134" s="134" t="s">
        <v>620</v>
      </c>
      <c r="E134" s="97">
        <f>E155</f>
        <v>0</v>
      </c>
      <c r="F134" s="97">
        <f t="shared" ref="F134:P134" si="51">F155</f>
        <v>0</v>
      </c>
      <c r="G134" s="97">
        <f t="shared" si="51"/>
        <v>0</v>
      </c>
      <c r="H134" s="97">
        <f t="shared" si="51"/>
        <v>0</v>
      </c>
      <c r="I134" s="97">
        <f t="shared" si="51"/>
        <v>0</v>
      </c>
      <c r="J134" s="97">
        <f t="shared" si="51"/>
        <v>1530600</v>
      </c>
      <c r="K134" s="97">
        <f t="shared" si="51"/>
        <v>1530600</v>
      </c>
      <c r="L134" s="97">
        <f t="shared" si="51"/>
        <v>0</v>
      </c>
      <c r="M134" s="97">
        <f t="shared" si="51"/>
        <v>0</v>
      </c>
      <c r="N134" s="97">
        <f t="shared" si="51"/>
        <v>0</v>
      </c>
      <c r="O134" s="97">
        <f t="shared" si="51"/>
        <v>1530600</v>
      </c>
      <c r="P134" s="97">
        <f t="shared" si="51"/>
        <v>1530600</v>
      </c>
      <c r="Q134" s="33"/>
      <c r="R134" s="32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  <c r="TF134" s="33"/>
      <c r="TG134" s="33"/>
    </row>
    <row r="135" spans="1:527" s="34" customFormat="1" ht="15.75" x14ac:dyDescent="0.25">
      <c r="A135" s="95"/>
      <c r="B135" s="108"/>
      <c r="C135" s="108"/>
      <c r="D135" s="76" t="s">
        <v>393</v>
      </c>
      <c r="E135" s="97">
        <f>E141</f>
        <v>124646</v>
      </c>
      <c r="F135" s="97">
        <f>F141</f>
        <v>124646</v>
      </c>
      <c r="G135" s="97">
        <f t="shared" ref="G135:O135" si="52">G141</f>
        <v>0</v>
      </c>
      <c r="H135" s="97">
        <f t="shared" si="52"/>
        <v>0</v>
      </c>
      <c r="I135" s="97">
        <f t="shared" si="52"/>
        <v>0</v>
      </c>
      <c r="J135" s="97">
        <f t="shared" si="52"/>
        <v>5750000</v>
      </c>
      <c r="K135" s="97">
        <f t="shared" si="52"/>
        <v>5750000</v>
      </c>
      <c r="L135" s="97">
        <f t="shared" si="52"/>
        <v>0</v>
      </c>
      <c r="M135" s="97">
        <f t="shared" si="52"/>
        <v>0</v>
      </c>
      <c r="N135" s="97">
        <f t="shared" si="52"/>
        <v>0</v>
      </c>
      <c r="O135" s="97">
        <f t="shared" si="52"/>
        <v>5750000</v>
      </c>
      <c r="P135" s="97">
        <f>P141</f>
        <v>5874646</v>
      </c>
      <c r="Q135" s="33"/>
      <c r="R135" s="32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</row>
    <row r="136" spans="1:527" s="34" customFormat="1" ht="15.75" x14ac:dyDescent="0.25">
      <c r="A136" s="95"/>
      <c r="B136" s="108"/>
      <c r="C136" s="108"/>
      <c r="D136" s="82" t="s">
        <v>419</v>
      </c>
      <c r="E136" s="97">
        <f>E160</f>
        <v>0</v>
      </c>
      <c r="F136" s="97">
        <f t="shared" ref="F136:P136" si="53">F160</f>
        <v>0</v>
      </c>
      <c r="G136" s="97">
        <f t="shared" si="53"/>
        <v>0</v>
      </c>
      <c r="H136" s="97">
        <f t="shared" si="53"/>
        <v>0</v>
      </c>
      <c r="I136" s="97">
        <f t="shared" si="53"/>
        <v>0</v>
      </c>
      <c r="J136" s="97">
        <f t="shared" si="53"/>
        <v>4662070.12</v>
      </c>
      <c r="K136" s="97">
        <f t="shared" si="53"/>
        <v>4662070.12</v>
      </c>
      <c r="L136" s="97">
        <f t="shared" si="53"/>
        <v>0</v>
      </c>
      <c r="M136" s="97">
        <f t="shared" si="53"/>
        <v>0</v>
      </c>
      <c r="N136" s="97">
        <f t="shared" si="53"/>
        <v>0</v>
      </c>
      <c r="O136" s="97">
        <f t="shared" si="53"/>
        <v>4662070.12</v>
      </c>
      <c r="P136" s="97">
        <f t="shared" si="53"/>
        <v>4662070.12</v>
      </c>
      <c r="Q136" s="33"/>
      <c r="R136" s="32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  <c r="TF136" s="33"/>
      <c r="TG136" s="33"/>
    </row>
    <row r="137" spans="1:527" s="22" customFormat="1" ht="48" customHeight="1" x14ac:dyDescent="0.25">
      <c r="A137" s="59" t="s">
        <v>171</v>
      </c>
      <c r="B137" s="92" t="str">
        <f>'дод 7'!A19</f>
        <v>0160</v>
      </c>
      <c r="C137" s="92" t="str">
        <f>'дод 7'!B19</f>
        <v>0111</v>
      </c>
      <c r="D137" s="36" t="s">
        <v>493</v>
      </c>
      <c r="E137" s="98">
        <f t="shared" ref="E137:E162" si="54">F137+I137</f>
        <v>2564384</v>
      </c>
      <c r="F137" s="98">
        <v>2564384</v>
      </c>
      <c r="G137" s="98">
        <v>1956200</v>
      </c>
      <c r="H137" s="98">
        <f>35584+8500</f>
        <v>44084</v>
      </c>
      <c r="I137" s="98"/>
      <c r="J137" s="98">
        <f>L137+O137</f>
        <v>600000</v>
      </c>
      <c r="K137" s="98">
        <v>600000</v>
      </c>
      <c r="L137" s="98"/>
      <c r="M137" s="98"/>
      <c r="N137" s="98"/>
      <c r="O137" s="98">
        <v>600000</v>
      </c>
      <c r="P137" s="98">
        <f t="shared" ref="P137:P162" si="55">E137+J137</f>
        <v>3164384</v>
      </c>
      <c r="Q137" s="23"/>
      <c r="R137" s="32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</row>
    <row r="138" spans="1:527" s="22" customFormat="1" ht="33" customHeight="1" x14ac:dyDescent="0.25">
      <c r="A138" s="59" t="s">
        <v>172</v>
      </c>
      <c r="B138" s="92" t="str">
        <f>'дод 7'!A84</f>
        <v>2010</v>
      </c>
      <c r="C138" s="92" t="str">
        <f>'дод 7'!B84</f>
        <v>0731</v>
      </c>
      <c r="D138" s="6" t="s">
        <v>611</v>
      </c>
      <c r="E138" s="98">
        <f t="shared" si="54"/>
        <v>46532713.399999999</v>
      </c>
      <c r="F138" s="98">
        <f>45832353.4+24939+6281+230000+439140</f>
        <v>46532713.399999999</v>
      </c>
      <c r="G138" s="98"/>
      <c r="H138" s="98"/>
      <c r="I138" s="112"/>
      <c r="J138" s="98">
        <f t="shared" ref="J138:J162" si="56">L138+O138</f>
        <v>53545966.82</v>
      </c>
      <c r="K138" s="98">
        <f>45245966.82+1300000+7000000</f>
        <v>53545966.82</v>
      </c>
      <c r="L138" s="98"/>
      <c r="M138" s="98"/>
      <c r="N138" s="98"/>
      <c r="O138" s="98">
        <f>45245966.82+1300000+7000000</f>
        <v>53545966.82</v>
      </c>
      <c r="P138" s="98">
        <f t="shared" si="55"/>
        <v>100078680.22</v>
      </c>
      <c r="Q138" s="23"/>
      <c r="R138" s="32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</row>
    <row r="139" spans="1:527" s="24" customFormat="1" ht="30" hidden="1" customHeight="1" x14ac:dyDescent="0.25">
      <c r="A139" s="83"/>
      <c r="B139" s="110"/>
      <c r="C139" s="110"/>
      <c r="D139" s="86" t="s">
        <v>390</v>
      </c>
      <c r="E139" s="100">
        <f t="shared" si="54"/>
        <v>0</v>
      </c>
      <c r="F139" s="100"/>
      <c r="G139" s="100"/>
      <c r="H139" s="100"/>
      <c r="I139" s="113"/>
      <c r="J139" s="100">
        <f t="shared" si="56"/>
        <v>0</v>
      </c>
      <c r="K139" s="100"/>
      <c r="L139" s="100"/>
      <c r="M139" s="100"/>
      <c r="N139" s="100"/>
      <c r="O139" s="100"/>
      <c r="P139" s="100">
        <f t="shared" si="55"/>
        <v>0</v>
      </c>
      <c r="Q139" s="30"/>
      <c r="R139" s="32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</row>
    <row r="140" spans="1:527" s="24" customFormat="1" ht="47.25" hidden="1" x14ac:dyDescent="0.25">
      <c r="A140" s="83"/>
      <c r="B140" s="110"/>
      <c r="C140" s="110"/>
      <c r="D140" s="86" t="s">
        <v>391</v>
      </c>
      <c r="E140" s="100">
        <f t="shared" si="54"/>
        <v>0</v>
      </c>
      <c r="F140" s="100"/>
      <c r="G140" s="100"/>
      <c r="H140" s="100"/>
      <c r="I140" s="100"/>
      <c r="J140" s="100">
        <f t="shared" si="56"/>
        <v>0</v>
      </c>
      <c r="K140" s="100"/>
      <c r="L140" s="100"/>
      <c r="M140" s="100"/>
      <c r="N140" s="100"/>
      <c r="O140" s="100"/>
      <c r="P140" s="100">
        <f t="shared" si="55"/>
        <v>0</v>
      </c>
      <c r="Q140" s="30"/>
      <c r="R140" s="32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</row>
    <row r="141" spans="1:527" s="24" customFormat="1" ht="15.75" x14ac:dyDescent="0.25">
      <c r="A141" s="83"/>
      <c r="B141" s="110"/>
      <c r="C141" s="110"/>
      <c r="D141" s="86" t="s">
        <v>393</v>
      </c>
      <c r="E141" s="100">
        <f t="shared" si="54"/>
        <v>124646</v>
      </c>
      <c r="F141" s="100">
        <f>93426+24939+6281</f>
        <v>124646</v>
      </c>
      <c r="G141" s="100"/>
      <c r="H141" s="100"/>
      <c r="I141" s="113"/>
      <c r="J141" s="100">
        <f t="shared" si="56"/>
        <v>5750000</v>
      </c>
      <c r="K141" s="100">
        <v>5750000</v>
      </c>
      <c r="L141" s="100"/>
      <c r="M141" s="100"/>
      <c r="N141" s="100"/>
      <c r="O141" s="100">
        <v>5750000</v>
      </c>
      <c r="P141" s="100">
        <f t="shared" si="55"/>
        <v>5874646</v>
      </c>
      <c r="Q141" s="30"/>
      <c r="R141" s="32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  <c r="TF141" s="30"/>
      <c r="TG141" s="30"/>
    </row>
    <row r="142" spans="1:527" s="22" customFormat="1" ht="31.5" x14ac:dyDescent="0.25">
      <c r="A142" s="59" t="s">
        <v>446</v>
      </c>
      <c r="B142" s="92">
        <v>2020</v>
      </c>
      <c r="C142" s="59" t="s">
        <v>447</v>
      </c>
      <c r="D142" s="60" t="str">
        <f>'дод 7'!C88</f>
        <v xml:space="preserve"> Спеціалізована стаціонарна медична допомога населенню</v>
      </c>
      <c r="E142" s="98">
        <f t="shared" si="54"/>
        <v>90000</v>
      </c>
      <c r="F142" s="98">
        <v>90000</v>
      </c>
      <c r="G142" s="112"/>
      <c r="H142" s="112"/>
      <c r="I142" s="112"/>
      <c r="J142" s="98">
        <f t="shared" si="56"/>
        <v>0</v>
      </c>
      <c r="K142" s="98"/>
      <c r="L142" s="98"/>
      <c r="M142" s="98"/>
      <c r="N142" s="98"/>
      <c r="O142" s="98"/>
      <c r="P142" s="98">
        <f t="shared" si="55"/>
        <v>90000</v>
      </c>
      <c r="Q142" s="23"/>
      <c r="R142" s="32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</row>
    <row r="143" spans="1:527" s="22" customFormat="1" ht="36.75" customHeight="1" x14ac:dyDescent="0.25">
      <c r="A143" s="59" t="s">
        <v>177</v>
      </c>
      <c r="B143" s="92" t="str">
        <f>'дод 7'!A89</f>
        <v>2030</v>
      </c>
      <c r="C143" s="92" t="str">
        <f>'дод 7'!B89</f>
        <v>0733</v>
      </c>
      <c r="D143" s="60" t="s">
        <v>463</v>
      </c>
      <c r="E143" s="98">
        <f t="shared" si="54"/>
        <v>4498159</v>
      </c>
      <c r="F143" s="98">
        <v>4498159</v>
      </c>
      <c r="G143" s="114"/>
      <c r="H143" s="114"/>
      <c r="I143" s="112"/>
      <c r="J143" s="98">
        <f t="shared" si="56"/>
        <v>5100000</v>
      </c>
      <c r="K143" s="98">
        <v>5100000</v>
      </c>
      <c r="L143" s="98"/>
      <c r="M143" s="98"/>
      <c r="N143" s="98"/>
      <c r="O143" s="98">
        <v>5100000</v>
      </c>
      <c r="P143" s="98">
        <f t="shared" si="55"/>
        <v>9598159</v>
      </c>
      <c r="Q143" s="23"/>
      <c r="R143" s="32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</row>
    <row r="144" spans="1:527" s="24" customFormat="1" ht="30" hidden="1" customHeight="1" x14ac:dyDescent="0.25">
      <c r="A144" s="83"/>
      <c r="B144" s="110"/>
      <c r="C144" s="110"/>
      <c r="D144" s="86" t="s">
        <v>390</v>
      </c>
      <c r="E144" s="100">
        <f t="shared" si="54"/>
        <v>0</v>
      </c>
      <c r="F144" s="100"/>
      <c r="G144" s="113"/>
      <c r="H144" s="113"/>
      <c r="I144" s="113"/>
      <c r="J144" s="100"/>
      <c r="K144" s="100"/>
      <c r="L144" s="100"/>
      <c r="M144" s="100"/>
      <c r="N144" s="100"/>
      <c r="O144" s="100"/>
      <c r="P144" s="100">
        <f t="shared" si="55"/>
        <v>0</v>
      </c>
      <c r="Q144" s="30"/>
      <c r="R144" s="32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</row>
    <row r="145" spans="1:527" s="22" customFormat="1" ht="24" customHeight="1" x14ac:dyDescent="0.25">
      <c r="A145" s="59" t="s">
        <v>176</v>
      </c>
      <c r="B145" s="92" t="str">
        <f>'дод 7'!A91</f>
        <v>2100</v>
      </c>
      <c r="C145" s="92" t="str">
        <f>'дод 7'!B91</f>
        <v>0722</v>
      </c>
      <c r="D145" s="60" t="str">
        <f>'дод 7'!C91</f>
        <v>Стоматологічна допомога населенню</v>
      </c>
      <c r="E145" s="98">
        <f t="shared" si="54"/>
        <v>7745106</v>
      </c>
      <c r="F145" s="98">
        <v>7745106</v>
      </c>
      <c r="G145" s="114"/>
      <c r="H145" s="114"/>
      <c r="I145" s="112"/>
      <c r="J145" s="98">
        <f t="shared" si="56"/>
        <v>0</v>
      </c>
      <c r="K145" s="98"/>
      <c r="L145" s="98"/>
      <c r="M145" s="98"/>
      <c r="N145" s="98"/>
      <c r="O145" s="98"/>
      <c r="P145" s="98">
        <f t="shared" si="55"/>
        <v>7745106</v>
      </c>
      <c r="Q145" s="23"/>
      <c r="R145" s="32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</row>
    <row r="146" spans="1:527" s="24" customFormat="1" ht="30" hidden="1" customHeight="1" x14ac:dyDescent="0.25">
      <c r="A146" s="83"/>
      <c r="B146" s="110"/>
      <c r="C146" s="110"/>
      <c r="D146" s="86" t="s">
        <v>390</v>
      </c>
      <c r="E146" s="100">
        <f t="shared" si="54"/>
        <v>0</v>
      </c>
      <c r="F146" s="100"/>
      <c r="G146" s="113"/>
      <c r="H146" s="113"/>
      <c r="I146" s="113"/>
      <c r="J146" s="100">
        <f t="shared" si="56"/>
        <v>0</v>
      </c>
      <c r="K146" s="100"/>
      <c r="L146" s="100"/>
      <c r="M146" s="100"/>
      <c r="N146" s="100"/>
      <c r="O146" s="100"/>
      <c r="P146" s="100">
        <f t="shared" si="55"/>
        <v>0</v>
      </c>
      <c r="Q146" s="30"/>
      <c r="R146" s="32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  <c r="SO146" s="30"/>
      <c r="SP146" s="30"/>
      <c r="SQ146" s="30"/>
      <c r="SR146" s="30"/>
      <c r="SS146" s="30"/>
      <c r="ST146" s="30"/>
      <c r="SU146" s="30"/>
      <c r="SV146" s="30"/>
      <c r="SW146" s="30"/>
      <c r="SX146" s="30"/>
      <c r="SY146" s="30"/>
      <c r="SZ146" s="30"/>
      <c r="TA146" s="30"/>
      <c r="TB146" s="30"/>
      <c r="TC146" s="30"/>
      <c r="TD146" s="30"/>
      <c r="TE146" s="30"/>
      <c r="TF146" s="30"/>
      <c r="TG146" s="30"/>
    </row>
    <row r="147" spans="1:527" s="22" customFormat="1" ht="48" customHeight="1" x14ac:dyDescent="0.25">
      <c r="A147" s="59" t="s">
        <v>175</v>
      </c>
      <c r="B147" s="92" t="str">
        <f>'дод 7'!A93</f>
        <v>2111</v>
      </c>
      <c r="C147" s="92" t="str">
        <f>'дод 7'!B93</f>
        <v>0726</v>
      </c>
      <c r="D147" s="60" t="str">
        <f>'дод 7'!C93</f>
        <v>Первинна медична допомога населенню, що надається центрами первинної медичної (медико-санітарної) допомоги</v>
      </c>
      <c r="E147" s="98">
        <f t="shared" si="54"/>
        <v>3732831</v>
      </c>
      <c r="F147" s="98">
        <f>3962831-230000</f>
        <v>3732831</v>
      </c>
      <c r="G147" s="112"/>
      <c r="H147" s="114"/>
      <c r="I147" s="112"/>
      <c r="J147" s="98">
        <f t="shared" si="56"/>
        <v>0</v>
      </c>
      <c r="K147" s="98"/>
      <c r="L147" s="98"/>
      <c r="M147" s="98"/>
      <c r="N147" s="98"/>
      <c r="O147" s="98"/>
      <c r="P147" s="98">
        <f t="shared" si="55"/>
        <v>3732831</v>
      </c>
      <c r="Q147" s="23"/>
      <c r="R147" s="32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  <c r="TF147" s="23"/>
      <c r="TG147" s="23"/>
    </row>
    <row r="148" spans="1:527" s="24" customFormat="1" ht="63" hidden="1" x14ac:dyDescent="0.25">
      <c r="A148" s="83"/>
      <c r="B148" s="110"/>
      <c r="C148" s="110"/>
      <c r="D148" s="84" t="s">
        <v>392</v>
      </c>
      <c r="E148" s="100">
        <f t="shared" si="54"/>
        <v>0</v>
      </c>
      <c r="F148" s="100"/>
      <c r="G148" s="113"/>
      <c r="H148" s="113"/>
      <c r="I148" s="113"/>
      <c r="J148" s="100">
        <f t="shared" si="56"/>
        <v>0</v>
      </c>
      <c r="K148" s="100"/>
      <c r="L148" s="100"/>
      <c r="M148" s="100"/>
      <c r="N148" s="100"/>
      <c r="O148" s="100"/>
      <c r="P148" s="100">
        <f t="shared" si="55"/>
        <v>0</v>
      </c>
      <c r="Q148" s="30"/>
      <c r="R148" s="32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  <c r="TF148" s="30"/>
      <c r="TG148" s="30"/>
    </row>
    <row r="149" spans="1:527" s="22" customFormat="1" ht="31.5" x14ac:dyDescent="0.25">
      <c r="A149" s="59" t="s">
        <v>174</v>
      </c>
      <c r="B149" s="92">
        <f>'дод 7'!A95</f>
        <v>2144</v>
      </c>
      <c r="C149" s="92" t="str">
        <f>'дод 7'!B95</f>
        <v>0763</v>
      </c>
      <c r="D149" s="122" t="str">
        <f>'дод 7'!C95</f>
        <v>Централізовані заходи з лікування хворих на цукровий та нецукровий діабет, у т.ч. за рахунок:</v>
      </c>
      <c r="E149" s="98">
        <f t="shared" si="54"/>
        <v>11403700</v>
      </c>
      <c r="F149" s="98">
        <v>11403700</v>
      </c>
      <c r="G149" s="112"/>
      <c r="H149" s="112"/>
      <c r="I149" s="112"/>
      <c r="J149" s="98">
        <f t="shared" si="56"/>
        <v>0</v>
      </c>
      <c r="K149" s="98"/>
      <c r="L149" s="98"/>
      <c r="M149" s="98"/>
      <c r="N149" s="98"/>
      <c r="O149" s="98"/>
      <c r="P149" s="98">
        <f t="shared" si="55"/>
        <v>11403700</v>
      </c>
      <c r="Q149" s="23"/>
      <c r="R149" s="32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  <c r="TF149" s="23"/>
      <c r="TG149" s="23"/>
    </row>
    <row r="150" spans="1:527" s="24" customFormat="1" ht="47.25" hidden="1" customHeight="1" x14ac:dyDescent="0.25">
      <c r="A150" s="83"/>
      <c r="B150" s="110"/>
      <c r="C150" s="110"/>
      <c r="D150" s="123" t="s">
        <v>391</v>
      </c>
      <c r="E150" s="100">
        <f t="shared" si="54"/>
        <v>0</v>
      </c>
      <c r="F150" s="100"/>
      <c r="G150" s="100"/>
      <c r="H150" s="100"/>
      <c r="I150" s="100"/>
      <c r="J150" s="100">
        <f t="shared" si="56"/>
        <v>0</v>
      </c>
      <c r="K150" s="100"/>
      <c r="L150" s="100"/>
      <c r="M150" s="100"/>
      <c r="N150" s="100"/>
      <c r="O150" s="100"/>
      <c r="P150" s="100">
        <f t="shared" si="55"/>
        <v>0</v>
      </c>
      <c r="Q150" s="30"/>
      <c r="R150" s="32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  <c r="TF150" s="30"/>
      <c r="TG150" s="30"/>
    </row>
    <row r="151" spans="1:527" s="24" customFormat="1" ht="63" x14ac:dyDescent="0.25">
      <c r="A151" s="83"/>
      <c r="B151" s="110"/>
      <c r="C151" s="110"/>
      <c r="D151" s="123" t="s">
        <v>392</v>
      </c>
      <c r="E151" s="100">
        <f t="shared" si="54"/>
        <v>11403700</v>
      </c>
      <c r="F151" s="100">
        <v>11403700</v>
      </c>
      <c r="G151" s="113"/>
      <c r="H151" s="113"/>
      <c r="I151" s="113"/>
      <c r="J151" s="100">
        <f t="shared" si="56"/>
        <v>0</v>
      </c>
      <c r="K151" s="100"/>
      <c r="L151" s="100"/>
      <c r="M151" s="100"/>
      <c r="N151" s="100"/>
      <c r="O151" s="100"/>
      <c r="P151" s="100">
        <f t="shared" si="55"/>
        <v>11403700</v>
      </c>
      <c r="Q151" s="30"/>
      <c r="R151" s="32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  <c r="TF151" s="30"/>
      <c r="TG151" s="30"/>
    </row>
    <row r="152" spans="1:527" s="22" customFormat="1" ht="30" customHeight="1" x14ac:dyDescent="0.25">
      <c r="A152" s="59" t="s">
        <v>325</v>
      </c>
      <c r="B152" s="42" t="str">
        <f>'дод 7'!A98</f>
        <v>2151</v>
      </c>
      <c r="C152" s="42" t="str">
        <f>'дод 7'!B98</f>
        <v>0763</v>
      </c>
      <c r="D152" s="60" t="str">
        <f>'дод 7'!C98</f>
        <v>Забезпечення діяльності інших закладів у сфері охорони здоров’я</v>
      </c>
      <c r="E152" s="98">
        <f t="shared" si="54"/>
        <v>3075784</v>
      </c>
      <c r="F152" s="98">
        <f>3069484+6300</f>
        <v>3075784</v>
      </c>
      <c r="G152" s="114">
        <v>2387600</v>
      </c>
      <c r="H152" s="114">
        <f>68884+6300</f>
        <v>75184</v>
      </c>
      <c r="I152" s="112"/>
      <c r="J152" s="98">
        <f t="shared" si="56"/>
        <v>0</v>
      </c>
      <c r="K152" s="98"/>
      <c r="L152" s="98"/>
      <c r="M152" s="98"/>
      <c r="N152" s="98"/>
      <c r="O152" s="98"/>
      <c r="P152" s="98">
        <f t="shared" si="55"/>
        <v>3075784</v>
      </c>
      <c r="Q152" s="23"/>
      <c r="R152" s="32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</row>
    <row r="153" spans="1:527" s="22" customFormat="1" ht="24.75" customHeight="1" x14ac:dyDescent="0.25">
      <c r="A153" s="59" t="s">
        <v>326</v>
      </c>
      <c r="B153" s="42" t="str">
        <f>'дод 7'!A99</f>
        <v>2152</v>
      </c>
      <c r="C153" s="42" t="str">
        <f>'дод 7'!B99</f>
        <v>0763</v>
      </c>
      <c r="D153" s="36" t="str">
        <f>'дод 7'!C99</f>
        <v>Інші програми та заходи у сфері охорони здоров’я</v>
      </c>
      <c r="E153" s="98">
        <f>F153+I153</f>
        <v>20438800</v>
      </c>
      <c r="F153" s="98">
        <v>20438800</v>
      </c>
      <c r="G153" s="98"/>
      <c r="H153" s="98"/>
      <c r="I153" s="98"/>
      <c r="J153" s="98">
        <f t="shared" si="56"/>
        <v>39891354</v>
      </c>
      <c r="K153" s="98">
        <f>23031354+13000000+3860000</f>
        <v>39891354</v>
      </c>
      <c r="L153" s="98"/>
      <c r="M153" s="98"/>
      <c r="N153" s="98"/>
      <c r="O153" s="98">
        <f>23031354+13000000+3860000</f>
        <v>39891354</v>
      </c>
      <c r="P153" s="98">
        <f t="shared" si="55"/>
        <v>60330154</v>
      </c>
      <c r="Q153" s="23"/>
      <c r="R153" s="32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</row>
    <row r="154" spans="1:527" s="22" customFormat="1" ht="24.75" customHeight="1" x14ac:dyDescent="0.25">
      <c r="A154" s="59" t="s">
        <v>416</v>
      </c>
      <c r="B154" s="42">
        <v>7322</v>
      </c>
      <c r="C154" s="102" t="s">
        <v>111</v>
      </c>
      <c r="D154" s="6" t="s">
        <v>548</v>
      </c>
      <c r="E154" s="98">
        <f>F154+I154</f>
        <v>0</v>
      </c>
      <c r="F154" s="98"/>
      <c r="G154" s="98"/>
      <c r="H154" s="98"/>
      <c r="I154" s="98"/>
      <c r="J154" s="98">
        <f t="shared" si="56"/>
        <v>36766572</v>
      </c>
      <c r="K154" s="98">
        <f>31128372-45000+3893200+259400+1530600</f>
        <v>36766572</v>
      </c>
      <c r="L154" s="98"/>
      <c r="M154" s="98"/>
      <c r="N154" s="98"/>
      <c r="O154" s="98">
        <f>31128372-45000+3893200+259400+1530600</f>
        <v>36766572</v>
      </c>
      <c r="P154" s="98">
        <f t="shared" si="55"/>
        <v>36766572</v>
      </c>
      <c r="Q154" s="23"/>
      <c r="R154" s="32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</row>
    <row r="155" spans="1:527" s="24" customFormat="1" ht="78.75" x14ac:dyDescent="0.25">
      <c r="A155" s="83"/>
      <c r="B155" s="87"/>
      <c r="C155" s="104"/>
      <c r="D155" s="80" t="s">
        <v>620</v>
      </c>
      <c r="E155" s="100">
        <f>F155+I155</f>
        <v>0</v>
      </c>
      <c r="F155" s="100"/>
      <c r="G155" s="100"/>
      <c r="H155" s="100"/>
      <c r="I155" s="100"/>
      <c r="J155" s="100">
        <f t="shared" si="56"/>
        <v>1530600</v>
      </c>
      <c r="K155" s="100">
        <v>1530600</v>
      </c>
      <c r="L155" s="100"/>
      <c r="M155" s="100"/>
      <c r="N155" s="100"/>
      <c r="O155" s="100">
        <v>1530600</v>
      </c>
      <c r="P155" s="100">
        <f t="shared" si="55"/>
        <v>1530600</v>
      </c>
      <c r="Q155" s="30"/>
      <c r="R155" s="33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0"/>
      <c r="JD155" s="30"/>
      <c r="JE155" s="30"/>
      <c r="JF155" s="30"/>
      <c r="JG155" s="30"/>
      <c r="JH155" s="30"/>
      <c r="JI155" s="30"/>
      <c r="JJ155" s="30"/>
      <c r="JK155" s="30"/>
      <c r="JL155" s="30"/>
      <c r="JM155" s="30"/>
      <c r="JN155" s="30"/>
      <c r="JO155" s="30"/>
      <c r="JP155" s="30"/>
      <c r="JQ155" s="30"/>
      <c r="JR155" s="30"/>
      <c r="JS155" s="30"/>
      <c r="JT155" s="30"/>
      <c r="JU155" s="30"/>
      <c r="JV155" s="30"/>
      <c r="JW155" s="30"/>
      <c r="JX155" s="30"/>
      <c r="JY155" s="30"/>
      <c r="JZ155" s="30"/>
      <c r="KA155" s="30"/>
      <c r="KB155" s="30"/>
      <c r="KC155" s="30"/>
      <c r="KD155" s="30"/>
      <c r="KE155" s="30"/>
      <c r="KF155" s="30"/>
      <c r="KG155" s="30"/>
      <c r="KH155" s="30"/>
      <c r="KI155" s="30"/>
      <c r="KJ155" s="30"/>
      <c r="KK155" s="30"/>
      <c r="KL155" s="30"/>
      <c r="KM155" s="30"/>
      <c r="KN155" s="30"/>
      <c r="KO155" s="30"/>
      <c r="KP155" s="30"/>
      <c r="KQ155" s="30"/>
      <c r="KR155" s="30"/>
      <c r="KS155" s="30"/>
      <c r="KT155" s="30"/>
      <c r="KU155" s="30"/>
      <c r="KV155" s="30"/>
      <c r="KW155" s="30"/>
      <c r="KX155" s="30"/>
      <c r="KY155" s="30"/>
      <c r="KZ155" s="30"/>
      <c r="LA155" s="30"/>
      <c r="LB155" s="30"/>
      <c r="LC155" s="30"/>
      <c r="LD155" s="30"/>
      <c r="LE155" s="30"/>
      <c r="LF155" s="30"/>
      <c r="LG155" s="30"/>
      <c r="LH155" s="30"/>
      <c r="LI155" s="30"/>
      <c r="LJ155" s="30"/>
      <c r="LK155" s="30"/>
      <c r="LL155" s="30"/>
      <c r="LM155" s="30"/>
      <c r="LN155" s="30"/>
      <c r="LO155" s="30"/>
      <c r="LP155" s="30"/>
      <c r="LQ155" s="30"/>
      <c r="LR155" s="30"/>
      <c r="LS155" s="30"/>
      <c r="LT155" s="30"/>
      <c r="LU155" s="30"/>
      <c r="LV155" s="30"/>
      <c r="LW155" s="30"/>
      <c r="LX155" s="30"/>
      <c r="LY155" s="30"/>
      <c r="LZ155" s="30"/>
      <c r="MA155" s="30"/>
      <c r="MB155" s="30"/>
      <c r="MC155" s="30"/>
      <c r="MD155" s="30"/>
      <c r="ME155" s="30"/>
      <c r="MF155" s="30"/>
      <c r="MG155" s="30"/>
      <c r="MH155" s="30"/>
      <c r="MI155" s="30"/>
      <c r="MJ155" s="30"/>
      <c r="MK155" s="30"/>
      <c r="ML155" s="30"/>
      <c r="MM155" s="30"/>
      <c r="MN155" s="30"/>
      <c r="MO155" s="30"/>
      <c r="MP155" s="30"/>
      <c r="MQ155" s="30"/>
      <c r="MR155" s="30"/>
      <c r="MS155" s="30"/>
      <c r="MT155" s="30"/>
      <c r="MU155" s="30"/>
      <c r="MV155" s="30"/>
      <c r="MW155" s="30"/>
      <c r="MX155" s="30"/>
      <c r="MY155" s="30"/>
      <c r="MZ155" s="30"/>
      <c r="NA155" s="30"/>
      <c r="NB155" s="30"/>
      <c r="NC155" s="30"/>
      <c r="ND155" s="30"/>
      <c r="NE155" s="30"/>
      <c r="NF155" s="30"/>
      <c r="NG155" s="30"/>
      <c r="NH155" s="30"/>
      <c r="NI155" s="30"/>
      <c r="NJ155" s="30"/>
      <c r="NK155" s="30"/>
      <c r="NL155" s="30"/>
      <c r="NM155" s="30"/>
      <c r="NN155" s="30"/>
      <c r="NO155" s="30"/>
      <c r="NP155" s="30"/>
      <c r="NQ155" s="30"/>
      <c r="NR155" s="30"/>
      <c r="NS155" s="30"/>
      <c r="NT155" s="30"/>
      <c r="NU155" s="30"/>
      <c r="NV155" s="30"/>
      <c r="NW155" s="30"/>
      <c r="NX155" s="30"/>
      <c r="NY155" s="30"/>
      <c r="NZ155" s="30"/>
      <c r="OA155" s="30"/>
      <c r="OB155" s="30"/>
      <c r="OC155" s="30"/>
      <c r="OD155" s="30"/>
      <c r="OE155" s="30"/>
      <c r="OF155" s="30"/>
      <c r="OG155" s="30"/>
      <c r="OH155" s="30"/>
      <c r="OI155" s="30"/>
      <c r="OJ155" s="30"/>
      <c r="OK155" s="30"/>
      <c r="OL155" s="30"/>
      <c r="OM155" s="30"/>
      <c r="ON155" s="30"/>
      <c r="OO155" s="30"/>
      <c r="OP155" s="30"/>
      <c r="OQ155" s="30"/>
      <c r="OR155" s="30"/>
      <c r="OS155" s="30"/>
      <c r="OT155" s="30"/>
      <c r="OU155" s="30"/>
      <c r="OV155" s="30"/>
      <c r="OW155" s="30"/>
      <c r="OX155" s="30"/>
      <c r="OY155" s="30"/>
      <c r="OZ155" s="30"/>
      <c r="PA155" s="30"/>
      <c r="PB155" s="30"/>
      <c r="PC155" s="30"/>
      <c r="PD155" s="30"/>
      <c r="PE155" s="30"/>
      <c r="PF155" s="30"/>
      <c r="PG155" s="30"/>
      <c r="PH155" s="30"/>
      <c r="PI155" s="30"/>
      <c r="PJ155" s="30"/>
      <c r="PK155" s="30"/>
      <c r="PL155" s="30"/>
      <c r="PM155" s="30"/>
      <c r="PN155" s="30"/>
      <c r="PO155" s="30"/>
      <c r="PP155" s="30"/>
      <c r="PQ155" s="30"/>
      <c r="PR155" s="30"/>
      <c r="PS155" s="30"/>
      <c r="PT155" s="30"/>
      <c r="PU155" s="30"/>
      <c r="PV155" s="30"/>
      <c r="PW155" s="30"/>
      <c r="PX155" s="30"/>
      <c r="PY155" s="30"/>
      <c r="PZ155" s="30"/>
      <c r="QA155" s="30"/>
      <c r="QB155" s="30"/>
      <c r="QC155" s="30"/>
      <c r="QD155" s="30"/>
      <c r="QE155" s="30"/>
      <c r="QF155" s="30"/>
      <c r="QG155" s="30"/>
      <c r="QH155" s="30"/>
      <c r="QI155" s="30"/>
      <c r="QJ155" s="30"/>
      <c r="QK155" s="30"/>
      <c r="QL155" s="30"/>
      <c r="QM155" s="30"/>
      <c r="QN155" s="30"/>
      <c r="QO155" s="30"/>
      <c r="QP155" s="30"/>
      <c r="QQ155" s="30"/>
      <c r="QR155" s="30"/>
      <c r="QS155" s="30"/>
      <c r="QT155" s="30"/>
      <c r="QU155" s="30"/>
      <c r="QV155" s="30"/>
      <c r="QW155" s="30"/>
      <c r="QX155" s="30"/>
      <c r="QY155" s="30"/>
      <c r="QZ155" s="30"/>
      <c r="RA155" s="30"/>
      <c r="RB155" s="30"/>
      <c r="RC155" s="30"/>
      <c r="RD155" s="30"/>
      <c r="RE155" s="30"/>
      <c r="RF155" s="30"/>
      <c r="RG155" s="30"/>
      <c r="RH155" s="30"/>
      <c r="RI155" s="30"/>
      <c r="RJ155" s="30"/>
      <c r="RK155" s="30"/>
      <c r="RL155" s="30"/>
      <c r="RM155" s="30"/>
      <c r="RN155" s="30"/>
      <c r="RO155" s="30"/>
      <c r="RP155" s="30"/>
      <c r="RQ155" s="30"/>
      <c r="RR155" s="30"/>
      <c r="RS155" s="30"/>
      <c r="RT155" s="30"/>
      <c r="RU155" s="30"/>
      <c r="RV155" s="30"/>
      <c r="RW155" s="30"/>
      <c r="RX155" s="30"/>
      <c r="RY155" s="30"/>
      <c r="RZ155" s="30"/>
      <c r="SA155" s="30"/>
      <c r="SB155" s="30"/>
      <c r="SC155" s="30"/>
      <c r="SD155" s="30"/>
      <c r="SE155" s="30"/>
      <c r="SF155" s="30"/>
      <c r="SG155" s="30"/>
      <c r="SH155" s="30"/>
      <c r="SI155" s="30"/>
      <c r="SJ155" s="30"/>
      <c r="SK155" s="30"/>
      <c r="SL155" s="30"/>
      <c r="SM155" s="30"/>
      <c r="SN155" s="30"/>
      <c r="SO155" s="30"/>
      <c r="SP155" s="30"/>
      <c r="SQ155" s="30"/>
      <c r="SR155" s="30"/>
      <c r="SS155" s="30"/>
      <c r="ST155" s="30"/>
      <c r="SU155" s="30"/>
      <c r="SV155" s="30"/>
      <c r="SW155" s="30"/>
      <c r="SX155" s="30"/>
      <c r="SY155" s="30"/>
      <c r="SZ155" s="30"/>
      <c r="TA155" s="30"/>
      <c r="TB155" s="30"/>
      <c r="TC155" s="30"/>
      <c r="TD155" s="30"/>
      <c r="TE155" s="30"/>
      <c r="TF155" s="30"/>
      <c r="TG155" s="30"/>
    </row>
    <row r="156" spans="1:527" s="22" customFormat="1" ht="47.25" x14ac:dyDescent="0.25">
      <c r="A156" s="59" t="s">
        <v>373</v>
      </c>
      <c r="B156" s="42">
        <f>'дод 7'!A190</f>
        <v>7361</v>
      </c>
      <c r="C156" s="42" t="str">
        <f>'дод 7'!B190</f>
        <v>0490</v>
      </c>
      <c r="D156" s="36" t="str">
        <f>'дод 7'!C190</f>
        <v>Співфінансування інвестиційних проектів, що реалізуються за рахунок коштів державного фонду регіонального розвитку</v>
      </c>
      <c r="E156" s="98">
        <f t="shared" si="54"/>
        <v>0</v>
      </c>
      <c r="F156" s="98"/>
      <c r="G156" s="98"/>
      <c r="H156" s="98"/>
      <c r="I156" s="98"/>
      <c r="J156" s="98">
        <f t="shared" si="56"/>
        <v>5678000</v>
      </c>
      <c r="K156" s="98">
        <f>4289000+1389000</f>
        <v>5678000</v>
      </c>
      <c r="L156" s="98"/>
      <c r="M156" s="98"/>
      <c r="N156" s="98"/>
      <c r="O156" s="98">
        <f>4289000+1389000</f>
        <v>5678000</v>
      </c>
      <c r="P156" s="98">
        <f t="shared" si="55"/>
        <v>5678000</v>
      </c>
      <c r="Q156" s="23"/>
      <c r="R156" s="32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</row>
    <row r="157" spans="1:527" s="22" customFormat="1" ht="47.25" x14ac:dyDescent="0.25">
      <c r="A157" s="59" t="s">
        <v>423</v>
      </c>
      <c r="B157" s="42">
        <v>7363</v>
      </c>
      <c r="C157" s="102" t="s">
        <v>82</v>
      </c>
      <c r="D157" s="60" t="s">
        <v>398</v>
      </c>
      <c r="E157" s="98">
        <f t="shared" si="54"/>
        <v>0</v>
      </c>
      <c r="F157" s="98"/>
      <c r="G157" s="98"/>
      <c r="H157" s="98"/>
      <c r="I157" s="98"/>
      <c r="J157" s="98">
        <f t="shared" si="56"/>
        <v>4580860</v>
      </c>
      <c r="K157" s="98">
        <f>156000+1695000+96300+1000000+1789560-156000</f>
        <v>4580860</v>
      </c>
      <c r="L157" s="98"/>
      <c r="M157" s="98"/>
      <c r="N157" s="98"/>
      <c r="O157" s="98">
        <f>156000+1695000+96300+1000000+1789560-156000</f>
        <v>4580860</v>
      </c>
      <c r="P157" s="98">
        <f t="shared" si="55"/>
        <v>4580860</v>
      </c>
      <c r="Q157" s="23"/>
      <c r="R157" s="32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</row>
    <row r="158" spans="1:527" s="22" customFormat="1" ht="47.25" x14ac:dyDescent="0.25">
      <c r="A158" s="59"/>
      <c r="B158" s="42"/>
      <c r="C158" s="42"/>
      <c r="D158" s="86" t="s">
        <v>388</v>
      </c>
      <c r="E158" s="100">
        <f t="shared" si="54"/>
        <v>0</v>
      </c>
      <c r="F158" s="100"/>
      <c r="G158" s="100"/>
      <c r="H158" s="100"/>
      <c r="I158" s="100"/>
      <c r="J158" s="100">
        <f t="shared" si="56"/>
        <v>4580860</v>
      </c>
      <c r="K158" s="100">
        <f>156000+1695000+2729860</f>
        <v>4580860</v>
      </c>
      <c r="L158" s="100"/>
      <c r="M158" s="100"/>
      <c r="N158" s="100"/>
      <c r="O158" s="100">
        <f>156000+1695000+2729860</f>
        <v>4580860</v>
      </c>
      <c r="P158" s="100">
        <f t="shared" si="55"/>
        <v>4580860</v>
      </c>
      <c r="Q158" s="23"/>
      <c r="R158" s="32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</row>
    <row r="159" spans="1:527" s="22" customFormat="1" ht="18.75" customHeight="1" x14ac:dyDescent="0.25">
      <c r="A159" s="59" t="s">
        <v>173</v>
      </c>
      <c r="B159" s="92" t="str">
        <f>'дод 7'!A218</f>
        <v>7640</v>
      </c>
      <c r="C159" s="92" t="str">
        <f>'дод 7'!B218</f>
        <v>0470</v>
      </c>
      <c r="D159" s="60" t="s">
        <v>418</v>
      </c>
      <c r="E159" s="98">
        <f t="shared" si="54"/>
        <v>106500</v>
      </c>
      <c r="F159" s="98">
        <f>121500-15000</f>
        <v>106500</v>
      </c>
      <c r="G159" s="98"/>
      <c r="H159" s="98"/>
      <c r="I159" s="98"/>
      <c r="J159" s="98">
        <f t="shared" si="56"/>
        <v>7080821.1199999992</v>
      </c>
      <c r="K159" s="98">
        <f>10527570.12-3446749</f>
        <v>7080821.1199999992</v>
      </c>
      <c r="L159" s="98"/>
      <c r="M159" s="98"/>
      <c r="N159" s="98"/>
      <c r="O159" s="98">
        <f>10527570.12-3446749</f>
        <v>7080821.1199999992</v>
      </c>
      <c r="P159" s="98">
        <f t="shared" si="55"/>
        <v>7187321.1199999992</v>
      </c>
      <c r="Q159" s="23"/>
      <c r="R159" s="32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</row>
    <row r="160" spans="1:527" s="24" customFormat="1" ht="15" customHeight="1" x14ac:dyDescent="0.25">
      <c r="A160" s="83"/>
      <c r="B160" s="110"/>
      <c r="C160" s="110"/>
      <c r="D160" s="84" t="s">
        <v>419</v>
      </c>
      <c r="E160" s="100">
        <f t="shared" si="54"/>
        <v>0</v>
      </c>
      <c r="F160" s="100"/>
      <c r="G160" s="100"/>
      <c r="H160" s="100"/>
      <c r="I160" s="100"/>
      <c r="J160" s="100">
        <f t="shared" si="56"/>
        <v>4662070.12</v>
      </c>
      <c r="K160" s="100">
        <v>4662070.12</v>
      </c>
      <c r="L160" s="100"/>
      <c r="M160" s="100"/>
      <c r="N160" s="100"/>
      <c r="O160" s="100">
        <v>4662070.12</v>
      </c>
      <c r="P160" s="100">
        <f t="shared" si="55"/>
        <v>4662070.12</v>
      </c>
      <c r="Q160" s="30"/>
      <c r="R160" s="32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  <c r="SQ160" s="30"/>
      <c r="SR160" s="30"/>
      <c r="SS160" s="30"/>
      <c r="ST160" s="30"/>
      <c r="SU160" s="30"/>
      <c r="SV160" s="30"/>
      <c r="SW160" s="30"/>
      <c r="SX160" s="30"/>
      <c r="SY160" s="30"/>
      <c r="SZ160" s="30"/>
      <c r="TA160" s="30"/>
      <c r="TB160" s="30"/>
      <c r="TC160" s="30"/>
      <c r="TD160" s="30"/>
      <c r="TE160" s="30"/>
      <c r="TF160" s="30"/>
      <c r="TG160" s="30"/>
    </row>
    <row r="161" spans="1:527" s="22" customFormat="1" ht="45" hidden="1" customHeight="1" x14ac:dyDescent="0.25">
      <c r="A161" s="59" t="s">
        <v>361</v>
      </c>
      <c r="B161" s="92">
        <v>7700</v>
      </c>
      <c r="C161" s="59" t="s">
        <v>93</v>
      </c>
      <c r="D161" s="60" t="s">
        <v>362</v>
      </c>
      <c r="E161" s="98">
        <f t="shared" si="54"/>
        <v>0</v>
      </c>
      <c r="F161" s="98"/>
      <c r="G161" s="98"/>
      <c r="H161" s="98"/>
      <c r="I161" s="98"/>
      <c r="J161" s="98">
        <f t="shared" si="56"/>
        <v>0</v>
      </c>
      <c r="K161" s="98"/>
      <c r="L161" s="98"/>
      <c r="M161" s="98"/>
      <c r="N161" s="98"/>
      <c r="O161" s="98">
        <v>0</v>
      </c>
      <c r="P161" s="98">
        <f t="shared" si="55"/>
        <v>0</v>
      </c>
      <c r="Q161" s="23"/>
      <c r="R161" s="32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</row>
    <row r="162" spans="1:527" s="22" customFormat="1" ht="15.75" x14ac:dyDescent="0.25">
      <c r="A162" s="59" t="s">
        <v>432</v>
      </c>
      <c r="B162" s="92">
        <v>9770</v>
      </c>
      <c r="C162" s="59" t="s">
        <v>45</v>
      </c>
      <c r="D162" s="60" t="s">
        <v>433</v>
      </c>
      <c r="E162" s="98">
        <f t="shared" si="54"/>
        <v>0</v>
      </c>
      <c r="F162" s="98"/>
      <c r="G162" s="98"/>
      <c r="H162" s="98"/>
      <c r="I162" s="98"/>
      <c r="J162" s="98">
        <f t="shared" si="56"/>
        <v>2820231.4299999997</v>
      </c>
      <c r="K162" s="98">
        <f>10000111.6-179880.17-7000000</f>
        <v>2820231.4299999997</v>
      </c>
      <c r="L162" s="98"/>
      <c r="M162" s="98"/>
      <c r="N162" s="98"/>
      <c r="O162" s="98">
        <f>10000111.6-179880.17-7000000</f>
        <v>2820231.4299999997</v>
      </c>
      <c r="P162" s="98">
        <f t="shared" si="55"/>
        <v>2820231.4299999997</v>
      </c>
      <c r="Q162" s="23"/>
      <c r="R162" s="32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</row>
    <row r="163" spans="1:527" s="27" customFormat="1" ht="36" customHeight="1" x14ac:dyDescent="0.25">
      <c r="A163" s="109" t="s">
        <v>178</v>
      </c>
      <c r="B163" s="111"/>
      <c r="C163" s="111"/>
      <c r="D163" s="106" t="s">
        <v>38</v>
      </c>
      <c r="E163" s="94">
        <f>E164</f>
        <v>198630104.35000002</v>
      </c>
      <c r="F163" s="94">
        <f t="shared" ref="F163:J163" si="57">F164</f>
        <v>198630104.35000002</v>
      </c>
      <c r="G163" s="94">
        <f t="shared" si="57"/>
        <v>60863900</v>
      </c>
      <c r="H163" s="94">
        <f t="shared" si="57"/>
        <v>1771829</v>
      </c>
      <c r="I163" s="94">
        <f t="shared" si="57"/>
        <v>0</v>
      </c>
      <c r="J163" s="94">
        <f t="shared" si="57"/>
        <v>2926614.05</v>
      </c>
      <c r="K163" s="94">
        <f t="shared" ref="K163" si="58">K164</f>
        <v>2830414.05</v>
      </c>
      <c r="L163" s="94">
        <f t="shared" ref="L163" si="59">L164</f>
        <v>96200</v>
      </c>
      <c r="M163" s="94">
        <f t="shared" ref="M163" si="60">M164</f>
        <v>75000</v>
      </c>
      <c r="N163" s="94">
        <f t="shared" ref="N163" si="61">N164</f>
        <v>0</v>
      </c>
      <c r="O163" s="94">
        <f t="shared" ref="O163:P163" si="62">O164</f>
        <v>2830414.05</v>
      </c>
      <c r="P163" s="94">
        <f t="shared" si="62"/>
        <v>201556718.40000004</v>
      </c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  <c r="IS163" s="32"/>
      <c r="IT163" s="32"/>
      <c r="IU163" s="32"/>
      <c r="IV163" s="32"/>
      <c r="IW163" s="32"/>
      <c r="IX163" s="32"/>
      <c r="IY163" s="32"/>
      <c r="IZ163" s="32"/>
      <c r="JA163" s="32"/>
      <c r="JB163" s="32"/>
      <c r="JC163" s="32"/>
      <c r="JD163" s="32"/>
      <c r="JE163" s="32"/>
      <c r="JF163" s="32"/>
      <c r="JG163" s="32"/>
      <c r="JH163" s="32"/>
      <c r="JI163" s="32"/>
      <c r="JJ163" s="32"/>
      <c r="JK163" s="32"/>
      <c r="JL163" s="32"/>
      <c r="JM163" s="32"/>
      <c r="JN163" s="32"/>
      <c r="JO163" s="32"/>
      <c r="JP163" s="32"/>
      <c r="JQ163" s="32"/>
      <c r="JR163" s="32"/>
      <c r="JS163" s="32"/>
      <c r="JT163" s="32"/>
      <c r="JU163" s="32"/>
      <c r="JV163" s="32"/>
      <c r="JW163" s="32"/>
      <c r="JX163" s="32"/>
      <c r="JY163" s="32"/>
      <c r="JZ163" s="32"/>
      <c r="KA163" s="32"/>
      <c r="KB163" s="32"/>
      <c r="KC163" s="32"/>
      <c r="KD163" s="32"/>
      <c r="KE163" s="32"/>
      <c r="KF163" s="32"/>
      <c r="KG163" s="32"/>
      <c r="KH163" s="32"/>
      <c r="KI163" s="32"/>
      <c r="KJ163" s="32"/>
      <c r="KK163" s="32"/>
      <c r="KL163" s="32"/>
      <c r="KM163" s="32"/>
      <c r="KN163" s="32"/>
      <c r="KO163" s="32"/>
      <c r="KP163" s="32"/>
      <c r="KQ163" s="32"/>
      <c r="KR163" s="32"/>
      <c r="KS163" s="32"/>
      <c r="KT163" s="32"/>
      <c r="KU163" s="32"/>
      <c r="KV163" s="32"/>
      <c r="KW163" s="32"/>
      <c r="KX163" s="32"/>
      <c r="KY163" s="32"/>
      <c r="KZ163" s="32"/>
      <c r="LA163" s="32"/>
      <c r="LB163" s="32"/>
      <c r="LC163" s="32"/>
      <c r="LD163" s="32"/>
      <c r="LE163" s="32"/>
      <c r="LF163" s="32"/>
      <c r="LG163" s="32"/>
      <c r="LH163" s="32"/>
      <c r="LI163" s="32"/>
      <c r="LJ163" s="32"/>
      <c r="LK163" s="32"/>
      <c r="LL163" s="32"/>
      <c r="LM163" s="32"/>
      <c r="LN163" s="32"/>
      <c r="LO163" s="32"/>
      <c r="LP163" s="32"/>
      <c r="LQ163" s="32"/>
      <c r="LR163" s="32"/>
      <c r="LS163" s="32"/>
      <c r="LT163" s="32"/>
      <c r="LU163" s="32"/>
      <c r="LV163" s="32"/>
      <c r="LW163" s="32"/>
      <c r="LX163" s="32"/>
      <c r="LY163" s="32"/>
      <c r="LZ163" s="32"/>
      <c r="MA163" s="32"/>
      <c r="MB163" s="32"/>
      <c r="MC163" s="32"/>
      <c r="MD163" s="32"/>
      <c r="ME163" s="32"/>
      <c r="MF163" s="32"/>
      <c r="MG163" s="32"/>
      <c r="MH163" s="32"/>
      <c r="MI163" s="32"/>
      <c r="MJ163" s="32"/>
      <c r="MK163" s="32"/>
      <c r="ML163" s="32"/>
      <c r="MM163" s="32"/>
      <c r="MN163" s="32"/>
      <c r="MO163" s="32"/>
      <c r="MP163" s="32"/>
      <c r="MQ163" s="32"/>
      <c r="MR163" s="32"/>
      <c r="MS163" s="32"/>
      <c r="MT163" s="32"/>
      <c r="MU163" s="32"/>
      <c r="MV163" s="32"/>
      <c r="MW163" s="32"/>
      <c r="MX163" s="32"/>
      <c r="MY163" s="32"/>
      <c r="MZ163" s="32"/>
      <c r="NA163" s="32"/>
      <c r="NB163" s="32"/>
      <c r="NC163" s="32"/>
      <c r="ND163" s="32"/>
      <c r="NE163" s="32"/>
      <c r="NF163" s="32"/>
      <c r="NG163" s="32"/>
      <c r="NH163" s="32"/>
      <c r="NI163" s="32"/>
      <c r="NJ163" s="32"/>
      <c r="NK163" s="32"/>
      <c r="NL163" s="32"/>
      <c r="NM163" s="32"/>
      <c r="NN163" s="32"/>
      <c r="NO163" s="32"/>
      <c r="NP163" s="32"/>
      <c r="NQ163" s="32"/>
      <c r="NR163" s="32"/>
      <c r="NS163" s="32"/>
      <c r="NT163" s="32"/>
      <c r="NU163" s="32"/>
      <c r="NV163" s="32"/>
      <c r="NW163" s="32"/>
      <c r="NX163" s="32"/>
      <c r="NY163" s="32"/>
      <c r="NZ163" s="32"/>
      <c r="OA163" s="32"/>
      <c r="OB163" s="32"/>
      <c r="OC163" s="32"/>
      <c r="OD163" s="32"/>
      <c r="OE163" s="32"/>
      <c r="OF163" s="32"/>
      <c r="OG163" s="32"/>
      <c r="OH163" s="32"/>
      <c r="OI163" s="32"/>
      <c r="OJ163" s="32"/>
      <c r="OK163" s="32"/>
      <c r="OL163" s="32"/>
      <c r="OM163" s="32"/>
      <c r="ON163" s="32"/>
      <c r="OO163" s="32"/>
      <c r="OP163" s="32"/>
      <c r="OQ163" s="32"/>
      <c r="OR163" s="32"/>
      <c r="OS163" s="32"/>
      <c r="OT163" s="32"/>
      <c r="OU163" s="32"/>
      <c r="OV163" s="32"/>
      <c r="OW163" s="32"/>
      <c r="OX163" s="32"/>
      <c r="OY163" s="32"/>
      <c r="OZ163" s="32"/>
      <c r="PA163" s="32"/>
      <c r="PB163" s="32"/>
      <c r="PC163" s="32"/>
      <c r="PD163" s="32"/>
      <c r="PE163" s="32"/>
      <c r="PF163" s="32"/>
      <c r="PG163" s="32"/>
      <c r="PH163" s="32"/>
      <c r="PI163" s="32"/>
      <c r="PJ163" s="32"/>
      <c r="PK163" s="32"/>
      <c r="PL163" s="32"/>
      <c r="PM163" s="32"/>
      <c r="PN163" s="32"/>
      <c r="PO163" s="32"/>
      <c r="PP163" s="32"/>
      <c r="PQ163" s="32"/>
      <c r="PR163" s="32"/>
      <c r="PS163" s="32"/>
      <c r="PT163" s="32"/>
      <c r="PU163" s="32"/>
      <c r="PV163" s="32"/>
      <c r="PW163" s="32"/>
      <c r="PX163" s="32"/>
      <c r="PY163" s="32"/>
      <c r="PZ163" s="32"/>
      <c r="QA163" s="32"/>
      <c r="QB163" s="32"/>
      <c r="QC163" s="32"/>
      <c r="QD163" s="32"/>
      <c r="QE163" s="32"/>
      <c r="QF163" s="32"/>
      <c r="QG163" s="32"/>
      <c r="QH163" s="32"/>
      <c r="QI163" s="32"/>
      <c r="QJ163" s="32"/>
      <c r="QK163" s="32"/>
      <c r="QL163" s="32"/>
      <c r="QM163" s="32"/>
      <c r="QN163" s="32"/>
      <c r="QO163" s="32"/>
      <c r="QP163" s="32"/>
      <c r="QQ163" s="32"/>
      <c r="QR163" s="32"/>
      <c r="QS163" s="32"/>
      <c r="QT163" s="32"/>
      <c r="QU163" s="32"/>
      <c r="QV163" s="32"/>
      <c r="QW163" s="32"/>
      <c r="QX163" s="32"/>
      <c r="QY163" s="32"/>
      <c r="QZ163" s="32"/>
      <c r="RA163" s="32"/>
      <c r="RB163" s="32"/>
      <c r="RC163" s="32"/>
      <c r="RD163" s="32"/>
      <c r="RE163" s="32"/>
      <c r="RF163" s="32"/>
      <c r="RG163" s="32"/>
      <c r="RH163" s="32"/>
      <c r="RI163" s="32"/>
      <c r="RJ163" s="32"/>
      <c r="RK163" s="32"/>
      <c r="RL163" s="32"/>
      <c r="RM163" s="32"/>
      <c r="RN163" s="32"/>
      <c r="RO163" s="32"/>
      <c r="RP163" s="32"/>
      <c r="RQ163" s="32"/>
      <c r="RR163" s="32"/>
      <c r="RS163" s="32"/>
      <c r="RT163" s="32"/>
      <c r="RU163" s="32"/>
      <c r="RV163" s="32"/>
      <c r="RW163" s="32"/>
      <c r="RX163" s="32"/>
      <c r="RY163" s="32"/>
      <c r="RZ163" s="32"/>
      <c r="SA163" s="32"/>
      <c r="SB163" s="32"/>
      <c r="SC163" s="32"/>
      <c r="SD163" s="32"/>
      <c r="SE163" s="32"/>
      <c r="SF163" s="32"/>
      <c r="SG163" s="32"/>
      <c r="SH163" s="32"/>
      <c r="SI163" s="32"/>
      <c r="SJ163" s="32"/>
      <c r="SK163" s="32"/>
      <c r="SL163" s="32"/>
      <c r="SM163" s="32"/>
      <c r="SN163" s="32"/>
      <c r="SO163" s="32"/>
      <c r="SP163" s="32"/>
      <c r="SQ163" s="32"/>
      <c r="SR163" s="32"/>
      <c r="SS163" s="32"/>
      <c r="ST163" s="32"/>
      <c r="SU163" s="32"/>
      <c r="SV163" s="32"/>
      <c r="SW163" s="32"/>
      <c r="SX163" s="32"/>
      <c r="SY163" s="32"/>
      <c r="SZ163" s="32"/>
      <c r="TA163" s="32"/>
      <c r="TB163" s="32"/>
      <c r="TC163" s="32"/>
      <c r="TD163" s="32"/>
      <c r="TE163" s="32"/>
      <c r="TF163" s="32"/>
      <c r="TG163" s="32"/>
    </row>
    <row r="164" spans="1:527" s="34" customFormat="1" ht="32.25" customHeight="1" x14ac:dyDescent="0.25">
      <c r="A164" s="95" t="s">
        <v>179</v>
      </c>
      <c r="B164" s="108"/>
      <c r="C164" s="108"/>
      <c r="D164" s="76" t="s">
        <v>394</v>
      </c>
      <c r="E164" s="97">
        <f>E170+E171+E172+E173+E174+E176+E177+E178+E180+E182+E183+E184+E186+E188+E189+E190+E191+E192+E193+E195+E197+E199+E200+E202+E203</f>
        <v>198630104.35000002</v>
      </c>
      <c r="F164" s="97">
        <f t="shared" ref="F164:P164" si="63">F170+F171+F172+F173+F174+F176+F177+F178+F180+F182+F183+F184+F186+F188+F189+F190+F191+F192+F193+F195+F197+F199+F200+F202+F203</f>
        <v>198630104.35000002</v>
      </c>
      <c r="G164" s="97">
        <f t="shared" si="63"/>
        <v>60863900</v>
      </c>
      <c r="H164" s="97">
        <f t="shared" si="63"/>
        <v>1771829</v>
      </c>
      <c r="I164" s="97">
        <f t="shared" si="63"/>
        <v>0</v>
      </c>
      <c r="J164" s="97">
        <f t="shared" si="63"/>
        <v>2926614.05</v>
      </c>
      <c r="K164" s="97">
        <f t="shared" si="63"/>
        <v>2830414.05</v>
      </c>
      <c r="L164" s="97">
        <f t="shared" si="63"/>
        <v>96200</v>
      </c>
      <c r="M164" s="97">
        <f t="shared" si="63"/>
        <v>75000</v>
      </c>
      <c r="N164" s="97">
        <f t="shared" si="63"/>
        <v>0</v>
      </c>
      <c r="O164" s="97">
        <f t="shared" si="63"/>
        <v>2830414.05</v>
      </c>
      <c r="P164" s="97">
        <f t="shared" si="63"/>
        <v>201556718.40000004</v>
      </c>
      <c r="Q164" s="33"/>
      <c r="R164" s="32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</row>
    <row r="165" spans="1:527" s="34" customFormat="1" ht="275.25" hidden="1" customHeight="1" x14ac:dyDescent="0.25">
      <c r="A165" s="95"/>
      <c r="B165" s="108"/>
      <c r="C165" s="108"/>
      <c r="D165" s="76" t="str">
        <f>'дод 7'!C101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5" s="97">
        <f>E194</f>
        <v>0</v>
      </c>
      <c r="F165" s="97">
        <f>L194</f>
        <v>0</v>
      </c>
      <c r="G165" s="97">
        <f t="shared" ref="G165:P165" si="64">G194</f>
        <v>0</v>
      </c>
      <c r="H165" s="97">
        <f t="shared" si="64"/>
        <v>0</v>
      </c>
      <c r="I165" s="97">
        <f t="shared" si="64"/>
        <v>0</v>
      </c>
      <c r="J165" s="97">
        <f t="shared" si="64"/>
        <v>975480.06</v>
      </c>
      <c r="K165" s="97">
        <f t="shared" si="64"/>
        <v>975480.06</v>
      </c>
      <c r="L165" s="97">
        <f t="shared" si="64"/>
        <v>0</v>
      </c>
      <c r="M165" s="97">
        <f t="shared" si="64"/>
        <v>0</v>
      </c>
      <c r="N165" s="97">
        <f t="shared" si="64"/>
        <v>0</v>
      </c>
      <c r="O165" s="97">
        <f t="shared" si="64"/>
        <v>975480.06</v>
      </c>
      <c r="P165" s="97">
        <f t="shared" si="64"/>
        <v>975480.06</v>
      </c>
      <c r="Q165" s="33"/>
      <c r="R165" s="32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</row>
    <row r="166" spans="1:527" s="34" customFormat="1" ht="255" hidden="1" customHeight="1" x14ac:dyDescent="0.25">
      <c r="A166" s="95"/>
      <c r="B166" s="108"/>
      <c r="C166" s="108"/>
      <c r="D166" s="76" t="str">
        <f>'дод 7'!C102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6" s="97">
        <f>E198</f>
        <v>0</v>
      </c>
      <c r="F166" s="97">
        <f t="shared" ref="F166:P166" si="65">F198</f>
        <v>0</v>
      </c>
      <c r="G166" s="97">
        <f t="shared" si="65"/>
        <v>0</v>
      </c>
      <c r="H166" s="97">
        <f t="shared" si="65"/>
        <v>0</v>
      </c>
      <c r="I166" s="97">
        <f t="shared" si="65"/>
        <v>0</v>
      </c>
      <c r="J166" s="97">
        <f t="shared" si="65"/>
        <v>0</v>
      </c>
      <c r="K166" s="97">
        <f t="shared" si="65"/>
        <v>0</v>
      </c>
      <c r="L166" s="97">
        <f t="shared" si="65"/>
        <v>0</v>
      </c>
      <c r="M166" s="97">
        <f t="shared" si="65"/>
        <v>0</v>
      </c>
      <c r="N166" s="97">
        <f t="shared" si="65"/>
        <v>0</v>
      </c>
      <c r="O166" s="97">
        <f t="shared" si="65"/>
        <v>0</v>
      </c>
      <c r="P166" s="97">
        <f t="shared" si="65"/>
        <v>0</v>
      </c>
      <c r="Q166" s="33"/>
      <c r="R166" s="32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</row>
    <row r="167" spans="1:527" s="34" customFormat="1" ht="15.75" x14ac:dyDescent="0.25">
      <c r="A167" s="95"/>
      <c r="B167" s="108"/>
      <c r="C167" s="108"/>
      <c r="D167" s="76" t="s">
        <v>395</v>
      </c>
      <c r="E167" s="97">
        <f>E175+E179+E181+E185+E187+E201</f>
        <v>7402508.2400000002</v>
      </c>
      <c r="F167" s="97">
        <f>F175+F179+F181+F185+F187+F201</f>
        <v>7402508.2400000002</v>
      </c>
      <c r="G167" s="97">
        <f t="shared" ref="G167:P167" si="66">G175+G179+G181+G185+G187+G201</f>
        <v>0</v>
      </c>
      <c r="H167" s="97">
        <f t="shared" si="66"/>
        <v>0</v>
      </c>
      <c r="I167" s="97">
        <f t="shared" si="66"/>
        <v>0</v>
      </c>
      <c r="J167" s="97">
        <f t="shared" si="66"/>
        <v>0</v>
      </c>
      <c r="K167" s="97">
        <f t="shared" si="66"/>
        <v>0</v>
      </c>
      <c r="L167" s="97">
        <f t="shared" si="66"/>
        <v>0</v>
      </c>
      <c r="M167" s="97">
        <f t="shared" si="66"/>
        <v>0</v>
      </c>
      <c r="N167" s="97">
        <f t="shared" si="66"/>
        <v>0</v>
      </c>
      <c r="O167" s="97">
        <f t="shared" si="66"/>
        <v>0</v>
      </c>
      <c r="P167" s="97">
        <f t="shared" si="66"/>
        <v>7402508.2400000002</v>
      </c>
      <c r="Q167" s="33"/>
      <c r="R167" s="32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  <c r="TG167" s="33"/>
    </row>
    <row r="168" spans="1:527" s="34" customFormat="1" ht="309.75" customHeight="1" x14ac:dyDescent="0.25">
      <c r="A168" s="95"/>
      <c r="B168" s="108"/>
      <c r="C168" s="108"/>
      <c r="D168" s="76" t="s">
        <v>579</v>
      </c>
      <c r="E168" s="97">
        <f>E194</f>
        <v>0</v>
      </c>
      <c r="F168" s="97">
        <f t="shared" ref="F168:P168" si="67">F194</f>
        <v>0</v>
      </c>
      <c r="G168" s="97">
        <f t="shared" si="67"/>
        <v>0</v>
      </c>
      <c r="H168" s="97">
        <f t="shared" si="67"/>
        <v>0</v>
      </c>
      <c r="I168" s="97">
        <f t="shared" si="67"/>
        <v>0</v>
      </c>
      <c r="J168" s="97">
        <f t="shared" si="67"/>
        <v>975480.06</v>
      </c>
      <c r="K168" s="97">
        <f t="shared" si="67"/>
        <v>975480.06</v>
      </c>
      <c r="L168" s="97">
        <f t="shared" si="67"/>
        <v>0</v>
      </c>
      <c r="M168" s="97">
        <f t="shared" si="67"/>
        <v>0</v>
      </c>
      <c r="N168" s="97">
        <f t="shared" si="67"/>
        <v>0</v>
      </c>
      <c r="O168" s="97">
        <f t="shared" si="67"/>
        <v>975480.06</v>
      </c>
      <c r="P168" s="97">
        <f t="shared" si="67"/>
        <v>975480.06</v>
      </c>
      <c r="Q168" s="33"/>
      <c r="R168" s="32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  <c r="TF168" s="33"/>
      <c r="TG168" s="33"/>
    </row>
    <row r="169" spans="1:527" s="34" customFormat="1" ht="369.75" customHeight="1" x14ac:dyDescent="0.25">
      <c r="A169" s="95"/>
      <c r="B169" s="108"/>
      <c r="C169" s="108"/>
      <c r="D169" s="76" t="s">
        <v>604</v>
      </c>
      <c r="E169" s="97">
        <f>E196</f>
        <v>0</v>
      </c>
      <c r="F169" s="97">
        <f t="shared" ref="F169:P169" si="68">F196</f>
        <v>0</v>
      </c>
      <c r="G169" s="97">
        <f t="shared" si="68"/>
        <v>0</v>
      </c>
      <c r="H169" s="97">
        <f t="shared" si="68"/>
        <v>0</v>
      </c>
      <c r="I169" s="97">
        <f t="shared" si="68"/>
        <v>0</v>
      </c>
      <c r="J169" s="97">
        <f t="shared" si="68"/>
        <v>1176130.99</v>
      </c>
      <c r="K169" s="97">
        <f t="shared" si="68"/>
        <v>1176130.99</v>
      </c>
      <c r="L169" s="97">
        <f t="shared" si="68"/>
        <v>0</v>
      </c>
      <c r="M169" s="97">
        <f t="shared" si="68"/>
        <v>0</v>
      </c>
      <c r="N169" s="97">
        <f t="shared" si="68"/>
        <v>0</v>
      </c>
      <c r="O169" s="97">
        <f t="shared" si="68"/>
        <v>1176130.99</v>
      </c>
      <c r="P169" s="97">
        <f t="shared" si="68"/>
        <v>1176130.99</v>
      </c>
      <c r="Q169" s="33"/>
      <c r="R169" s="32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  <c r="TF169" s="33"/>
      <c r="TG169" s="33"/>
    </row>
    <row r="170" spans="1:527" s="22" customFormat="1" ht="50.25" customHeight="1" x14ac:dyDescent="0.25">
      <c r="A170" s="59" t="s">
        <v>180</v>
      </c>
      <c r="B170" s="92" t="str">
        <f>'дод 7'!A19</f>
        <v>0160</v>
      </c>
      <c r="C170" s="92" t="str">
        <f>'дод 7'!B19</f>
        <v>0111</v>
      </c>
      <c r="D170" s="36" t="s">
        <v>493</v>
      </c>
      <c r="E170" s="98">
        <f t="shared" ref="E170:E203" si="69">F170+I170</f>
        <v>55760954</v>
      </c>
      <c r="F170" s="98">
        <f>55404100-2500-39500+158460+68000-38700+143094+68000</f>
        <v>55760954</v>
      </c>
      <c r="G170" s="98">
        <f>43270200-41500-31700</f>
        <v>43197000</v>
      </c>
      <c r="H170" s="98">
        <f>762000+158460+68000</f>
        <v>988460</v>
      </c>
      <c r="I170" s="98"/>
      <c r="J170" s="98">
        <f>L170+O170</f>
        <v>0</v>
      </c>
      <c r="K170" s="98">
        <f>68000-68000</f>
        <v>0</v>
      </c>
      <c r="L170" s="98"/>
      <c r="M170" s="98"/>
      <c r="N170" s="98"/>
      <c r="O170" s="98">
        <f>68000-68000</f>
        <v>0</v>
      </c>
      <c r="P170" s="98">
        <f t="shared" ref="P170:P203" si="70">E170+J170</f>
        <v>55760954</v>
      </c>
      <c r="Q170" s="23"/>
      <c r="R170" s="32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</row>
    <row r="171" spans="1:527" s="22" customFormat="1" ht="23.25" customHeight="1" x14ac:dyDescent="0.25">
      <c r="A171" s="59" t="s">
        <v>533</v>
      </c>
      <c r="B171" s="59" t="s">
        <v>45</v>
      </c>
      <c r="C171" s="59" t="s">
        <v>93</v>
      </c>
      <c r="D171" s="36" t="s">
        <v>242</v>
      </c>
      <c r="E171" s="98">
        <f t="shared" si="69"/>
        <v>39500</v>
      </c>
      <c r="F171" s="98">
        <v>39500</v>
      </c>
      <c r="G171" s="98"/>
      <c r="H171" s="98"/>
      <c r="I171" s="98"/>
      <c r="J171" s="98">
        <f>L171+O171</f>
        <v>0</v>
      </c>
      <c r="K171" s="98"/>
      <c r="L171" s="98"/>
      <c r="M171" s="98"/>
      <c r="N171" s="98"/>
      <c r="O171" s="98"/>
      <c r="P171" s="98">
        <f t="shared" si="70"/>
        <v>39500</v>
      </c>
      <c r="Q171" s="23"/>
      <c r="R171" s="32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</row>
    <row r="172" spans="1:527" s="23" customFormat="1" ht="36" customHeight="1" x14ac:dyDescent="0.25">
      <c r="A172" s="59" t="s">
        <v>181</v>
      </c>
      <c r="B172" s="92" t="str">
        <f>'дод 7'!A106</f>
        <v>3031</v>
      </c>
      <c r="C172" s="92" t="str">
        <f>'дод 7'!B106</f>
        <v>1030</v>
      </c>
      <c r="D172" s="60" t="str">
        <f>'дод 7'!C106</f>
        <v>Надання інших пільг окремим категоріям громадян відповідно до законодавства</v>
      </c>
      <c r="E172" s="98">
        <f t="shared" si="69"/>
        <v>806663</v>
      </c>
      <c r="F172" s="98">
        <f>604900+1763+200000</f>
        <v>806663</v>
      </c>
      <c r="G172" s="98"/>
      <c r="H172" s="98"/>
      <c r="I172" s="98"/>
      <c r="J172" s="98">
        <f t="shared" ref="J172:J198" si="71">L172+O172</f>
        <v>0</v>
      </c>
      <c r="K172" s="98"/>
      <c r="L172" s="98"/>
      <c r="M172" s="98"/>
      <c r="N172" s="98"/>
      <c r="O172" s="98"/>
      <c r="P172" s="98">
        <f t="shared" si="70"/>
        <v>806663</v>
      </c>
      <c r="R172" s="32"/>
    </row>
    <row r="173" spans="1:527" s="23" customFormat="1" ht="33" customHeight="1" x14ac:dyDescent="0.25">
      <c r="A173" s="59" t="s">
        <v>182</v>
      </c>
      <c r="B173" s="92" t="str">
        <f>'дод 7'!A107</f>
        <v>3032</v>
      </c>
      <c r="C173" s="92" t="str">
        <f>'дод 7'!B107</f>
        <v>1070</v>
      </c>
      <c r="D173" s="60" t="str">
        <f>'дод 7'!C107</f>
        <v>Надання пільг окремим категоріям громадян з оплати послуг зв'язку</v>
      </c>
      <c r="E173" s="98">
        <f t="shared" si="69"/>
        <v>900230</v>
      </c>
      <c r="F173" s="98">
        <f>1150000-20770-229000</f>
        <v>900230</v>
      </c>
      <c r="G173" s="98"/>
      <c r="H173" s="98"/>
      <c r="I173" s="98"/>
      <c r="J173" s="98">
        <f t="shared" si="71"/>
        <v>0</v>
      </c>
      <c r="K173" s="98"/>
      <c r="L173" s="98"/>
      <c r="M173" s="98"/>
      <c r="N173" s="98"/>
      <c r="O173" s="98"/>
      <c r="P173" s="98">
        <f t="shared" si="70"/>
        <v>900230</v>
      </c>
      <c r="R173" s="32"/>
    </row>
    <row r="174" spans="1:527" s="23" customFormat="1" ht="48.75" customHeight="1" x14ac:dyDescent="0.25">
      <c r="A174" s="59" t="s">
        <v>352</v>
      </c>
      <c r="B174" s="92" t="str">
        <f>'дод 7'!A108</f>
        <v>3033</v>
      </c>
      <c r="C174" s="92" t="str">
        <f>'дод 7'!B108</f>
        <v>1070</v>
      </c>
      <c r="D174" s="60" t="str">
        <f>'дод 7'!C108</f>
        <v>Компенсаційні виплати на пільговий проїзд автомобільним транспортом окремим категоріям громадян, у т.ч. за рахунок:</v>
      </c>
      <c r="E174" s="98">
        <f t="shared" si="69"/>
        <v>21997867.240000002</v>
      </c>
      <c r="F174" s="98">
        <f>3342111.24+19700200+44220+1920+11410+500000+678100-2550000+958608-2048700+1585440-114426-111016</f>
        <v>21997867.240000002</v>
      </c>
      <c r="G174" s="98"/>
      <c r="H174" s="98"/>
      <c r="I174" s="98"/>
      <c r="J174" s="98">
        <f t="shared" si="71"/>
        <v>0</v>
      </c>
      <c r="K174" s="98"/>
      <c r="L174" s="98"/>
      <c r="M174" s="98"/>
      <c r="N174" s="98"/>
      <c r="O174" s="98"/>
      <c r="P174" s="98">
        <f t="shared" si="70"/>
        <v>21997867.240000002</v>
      </c>
      <c r="R174" s="32"/>
    </row>
    <row r="175" spans="1:527" s="30" customFormat="1" ht="20.25" customHeight="1" x14ac:dyDescent="0.25">
      <c r="A175" s="83"/>
      <c r="B175" s="110"/>
      <c r="C175" s="110"/>
      <c r="D175" s="84" t="s">
        <v>393</v>
      </c>
      <c r="E175" s="100">
        <f t="shared" si="69"/>
        <v>5943709.2400000002</v>
      </c>
      <c r="F175" s="100">
        <f>3342111.24+44220+1920+11410+958608+1585440</f>
        <v>5943709.2400000002</v>
      </c>
      <c r="G175" s="100"/>
      <c r="H175" s="100"/>
      <c r="I175" s="100"/>
      <c r="J175" s="100">
        <f t="shared" si="71"/>
        <v>0</v>
      </c>
      <c r="K175" s="100"/>
      <c r="L175" s="100"/>
      <c r="M175" s="100"/>
      <c r="N175" s="100"/>
      <c r="O175" s="100"/>
      <c r="P175" s="100">
        <f t="shared" si="70"/>
        <v>5943709.2400000002</v>
      </c>
      <c r="R175" s="32"/>
    </row>
    <row r="176" spans="1:527" s="23" customFormat="1" ht="47.25" x14ac:dyDescent="0.25">
      <c r="A176" s="59" t="s">
        <v>324</v>
      </c>
      <c r="B176" s="92" t="str">
        <f>'дод 7'!A110</f>
        <v>3035</v>
      </c>
      <c r="C176" s="92" t="str">
        <f>'дод 7'!B110</f>
        <v>1070</v>
      </c>
      <c r="D176" s="60" t="str">
        <f>'дод 7'!C110</f>
        <v>Компенсаційні виплати за пільговий проїзд окремих категорій громадян на залізничному транспорті</v>
      </c>
      <c r="E176" s="98">
        <f t="shared" si="69"/>
        <v>2000000</v>
      </c>
      <c r="F176" s="98">
        <f>1500000+500000</f>
        <v>2000000</v>
      </c>
      <c r="G176" s="98"/>
      <c r="H176" s="98"/>
      <c r="I176" s="98"/>
      <c r="J176" s="98">
        <f t="shared" si="71"/>
        <v>0</v>
      </c>
      <c r="K176" s="98"/>
      <c r="L176" s="98"/>
      <c r="M176" s="98"/>
      <c r="N176" s="98"/>
      <c r="O176" s="98"/>
      <c r="P176" s="98">
        <f t="shared" si="70"/>
        <v>2000000</v>
      </c>
      <c r="R176" s="32"/>
    </row>
    <row r="177" spans="1:527" s="23" customFormat="1" ht="36" customHeight="1" x14ac:dyDescent="0.25">
      <c r="A177" s="59" t="s">
        <v>183</v>
      </c>
      <c r="B177" s="92" t="str">
        <f>'дод 7'!A111</f>
        <v>3036</v>
      </c>
      <c r="C177" s="92" t="str">
        <f>'дод 7'!B111</f>
        <v>1070</v>
      </c>
      <c r="D177" s="60" t="str">
        <f>'дод 7'!C111</f>
        <v>Компенсаційні виплати на пільговий проїзд електротранспортом окремим категоріям громадян</v>
      </c>
      <c r="E177" s="98">
        <f t="shared" si="69"/>
        <v>35575500</v>
      </c>
      <c r="F177" s="98">
        <f>37333000+3760700-5950000+431800</f>
        <v>35575500</v>
      </c>
      <c r="G177" s="98"/>
      <c r="H177" s="98"/>
      <c r="I177" s="98"/>
      <c r="J177" s="98">
        <f t="shared" si="71"/>
        <v>0</v>
      </c>
      <c r="K177" s="98"/>
      <c r="L177" s="98"/>
      <c r="M177" s="98"/>
      <c r="N177" s="98"/>
      <c r="O177" s="98"/>
      <c r="P177" s="98">
        <f t="shared" si="70"/>
        <v>35575500</v>
      </c>
      <c r="R177" s="32"/>
    </row>
    <row r="178" spans="1:527" s="22" customFormat="1" ht="47.25" x14ac:dyDescent="0.25">
      <c r="A178" s="59" t="s">
        <v>350</v>
      </c>
      <c r="B178" s="92" t="str">
        <f>'дод 7'!A112</f>
        <v>3050</v>
      </c>
      <c r="C178" s="92" t="str">
        <f>'дод 7'!B112</f>
        <v>1070</v>
      </c>
      <c r="D178" s="60" t="str">
        <f>'дод 7'!C112</f>
        <v>Пільгове медичне обслуговування осіб, які постраждали внаслідок Чорнобильської катастрофи, у т.ч. за рахунок:</v>
      </c>
      <c r="E178" s="98">
        <f t="shared" si="69"/>
        <v>667500</v>
      </c>
      <c r="F178" s="98">
        <v>667500</v>
      </c>
      <c r="G178" s="98"/>
      <c r="H178" s="98"/>
      <c r="I178" s="98"/>
      <c r="J178" s="98">
        <f t="shared" si="71"/>
        <v>0</v>
      </c>
      <c r="K178" s="98"/>
      <c r="L178" s="98"/>
      <c r="M178" s="98"/>
      <c r="N178" s="98"/>
      <c r="O178" s="98"/>
      <c r="P178" s="98">
        <f t="shared" si="70"/>
        <v>667500</v>
      </c>
      <c r="Q178" s="23"/>
      <c r="R178" s="32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</row>
    <row r="179" spans="1:527" s="24" customFormat="1" ht="15.75" x14ac:dyDescent="0.25">
      <c r="A179" s="83"/>
      <c r="B179" s="110"/>
      <c r="C179" s="110"/>
      <c r="D179" s="84" t="s">
        <v>393</v>
      </c>
      <c r="E179" s="100">
        <f t="shared" si="69"/>
        <v>667500</v>
      </c>
      <c r="F179" s="100">
        <v>667500</v>
      </c>
      <c r="G179" s="100"/>
      <c r="H179" s="100"/>
      <c r="I179" s="100"/>
      <c r="J179" s="100">
        <f t="shared" si="71"/>
        <v>0</v>
      </c>
      <c r="K179" s="100"/>
      <c r="L179" s="100"/>
      <c r="M179" s="100"/>
      <c r="N179" s="100"/>
      <c r="O179" s="100"/>
      <c r="P179" s="100">
        <f t="shared" si="70"/>
        <v>667500</v>
      </c>
      <c r="Q179" s="30"/>
      <c r="R179" s="32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  <c r="TG179" s="30"/>
    </row>
    <row r="180" spans="1:527" s="22" customFormat="1" ht="47.25" x14ac:dyDescent="0.25">
      <c r="A180" s="59" t="s">
        <v>351</v>
      </c>
      <c r="B180" s="92" t="str">
        <f>'дод 7'!A114</f>
        <v>3090</v>
      </c>
      <c r="C180" s="92" t="str">
        <f>'дод 7'!B114</f>
        <v>1030</v>
      </c>
      <c r="D180" s="60" t="str">
        <f>'дод 7'!C114</f>
        <v>Видатки на поховання учасників бойових дій та осіб з інвалідністю внаслідок війни, у т.ч. за рахунок:</v>
      </c>
      <c r="E180" s="98">
        <f t="shared" si="69"/>
        <v>245000</v>
      </c>
      <c r="F180" s="98">
        <v>245000</v>
      </c>
      <c r="G180" s="98"/>
      <c r="H180" s="98"/>
      <c r="I180" s="98"/>
      <c r="J180" s="98">
        <f t="shared" si="71"/>
        <v>0</v>
      </c>
      <c r="K180" s="98"/>
      <c r="L180" s="98"/>
      <c r="M180" s="98"/>
      <c r="N180" s="98"/>
      <c r="O180" s="98"/>
      <c r="P180" s="98">
        <f t="shared" si="70"/>
        <v>245000</v>
      </c>
      <c r="Q180" s="23"/>
      <c r="R180" s="32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</row>
    <row r="181" spans="1:527" s="24" customFormat="1" ht="15.75" x14ac:dyDescent="0.25">
      <c r="A181" s="83"/>
      <c r="B181" s="110"/>
      <c r="C181" s="110"/>
      <c r="D181" s="84" t="s">
        <v>393</v>
      </c>
      <c r="E181" s="100">
        <f t="shared" si="69"/>
        <v>245000</v>
      </c>
      <c r="F181" s="100">
        <v>245000</v>
      </c>
      <c r="G181" s="100"/>
      <c r="H181" s="100"/>
      <c r="I181" s="100"/>
      <c r="J181" s="100">
        <f t="shared" si="71"/>
        <v>0</v>
      </c>
      <c r="K181" s="100"/>
      <c r="L181" s="100"/>
      <c r="M181" s="100"/>
      <c r="N181" s="100"/>
      <c r="O181" s="100"/>
      <c r="P181" s="100">
        <f t="shared" si="70"/>
        <v>245000</v>
      </c>
      <c r="Q181" s="30"/>
      <c r="R181" s="32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  <c r="TF181" s="30"/>
      <c r="TG181" s="30"/>
    </row>
    <row r="182" spans="1:527" s="22" customFormat="1" ht="64.5" customHeight="1" x14ac:dyDescent="0.25">
      <c r="A182" s="59" t="s">
        <v>184</v>
      </c>
      <c r="B182" s="92" t="str">
        <f>'дод 7'!A116</f>
        <v>3104</v>
      </c>
      <c r="C182" s="92" t="str">
        <f>'дод 7'!B116</f>
        <v>1020</v>
      </c>
      <c r="D182" s="60" t="str">
        <f>'дод 7'!C116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2" s="98">
        <f t="shared" si="69"/>
        <v>18402127.48</v>
      </c>
      <c r="F182" s="98">
        <f>17394450+20000+20000-20000+65000+42515+19000+796052.48+8000+44900+12210</f>
        <v>18402127.48</v>
      </c>
      <c r="G182" s="98">
        <f>13551350+476164.66</f>
        <v>14027514.66</v>
      </c>
      <c r="H182" s="98">
        <f>208050+26750+42515+74659.4+44900+13040</f>
        <v>409914.4</v>
      </c>
      <c r="I182" s="98"/>
      <c r="J182" s="98">
        <f t="shared" si="71"/>
        <v>96200</v>
      </c>
      <c r="K182" s="98"/>
      <c r="L182" s="98">
        <v>96200</v>
      </c>
      <c r="M182" s="98">
        <v>75000</v>
      </c>
      <c r="N182" s="98"/>
      <c r="O182" s="98"/>
      <c r="P182" s="98">
        <f t="shared" si="70"/>
        <v>18498327.48</v>
      </c>
      <c r="Q182" s="23"/>
      <c r="R182" s="32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</row>
    <row r="183" spans="1:527" s="22" customFormat="1" ht="81.75" customHeight="1" x14ac:dyDescent="0.25">
      <c r="A183" s="59" t="s">
        <v>185</v>
      </c>
      <c r="B183" s="92" t="str">
        <f>'дод 7'!A122</f>
        <v>3160</v>
      </c>
      <c r="C183" s="92">
        <f>'дод 7'!B122</f>
        <v>1010</v>
      </c>
      <c r="D183" s="60" t="str">
        <f>'дод 7'!C122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3" s="98">
        <f t="shared" si="69"/>
        <v>4071000</v>
      </c>
      <c r="F183" s="98">
        <f>2500000+500000+956000+115000</f>
        <v>4071000</v>
      </c>
      <c r="G183" s="98"/>
      <c r="H183" s="98"/>
      <c r="I183" s="98"/>
      <c r="J183" s="98">
        <f t="shared" si="71"/>
        <v>0</v>
      </c>
      <c r="K183" s="98"/>
      <c r="L183" s="98"/>
      <c r="M183" s="98"/>
      <c r="N183" s="98"/>
      <c r="O183" s="98"/>
      <c r="P183" s="98">
        <f t="shared" si="70"/>
        <v>4071000</v>
      </c>
      <c r="Q183" s="23"/>
      <c r="R183" s="32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</row>
    <row r="184" spans="1:527" s="22" customFormat="1" ht="63" x14ac:dyDescent="0.25">
      <c r="A184" s="59" t="s">
        <v>353</v>
      </c>
      <c r="B184" s="92" t="str">
        <f>'дод 7'!A123</f>
        <v>3171</v>
      </c>
      <c r="C184" s="92">
        <f>'дод 7'!B123</f>
        <v>1010</v>
      </c>
      <c r="D184" s="60" t="str">
        <f>'дод 7'!C123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4" s="98">
        <f t="shared" si="69"/>
        <v>198209</v>
      </c>
      <c r="F184" s="98">
        <v>198209</v>
      </c>
      <c r="G184" s="98"/>
      <c r="H184" s="98"/>
      <c r="I184" s="98"/>
      <c r="J184" s="98">
        <f t="shared" si="71"/>
        <v>0</v>
      </c>
      <c r="K184" s="98"/>
      <c r="L184" s="98"/>
      <c r="M184" s="98"/>
      <c r="N184" s="98"/>
      <c r="O184" s="98"/>
      <c r="P184" s="98">
        <f t="shared" si="70"/>
        <v>198209</v>
      </c>
      <c r="Q184" s="23"/>
      <c r="R184" s="32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</row>
    <row r="185" spans="1:527" s="24" customFormat="1" ht="18" customHeight="1" x14ac:dyDescent="0.25">
      <c r="A185" s="83"/>
      <c r="B185" s="110"/>
      <c r="C185" s="110"/>
      <c r="D185" s="84" t="s">
        <v>393</v>
      </c>
      <c r="E185" s="100">
        <f t="shared" si="69"/>
        <v>198209</v>
      </c>
      <c r="F185" s="100">
        <v>198209</v>
      </c>
      <c r="G185" s="100"/>
      <c r="H185" s="100"/>
      <c r="I185" s="100"/>
      <c r="J185" s="100">
        <f t="shared" si="71"/>
        <v>0</v>
      </c>
      <c r="K185" s="100"/>
      <c r="L185" s="100"/>
      <c r="M185" s="100"/>
      <c r="N185" s="100"/>
      <c r="O185" s="100"/>
      <c r="P185" s="100">
        <f t="shared" si="70"/>
        <v>198209</v>
      </c>
      <c r="Q185" s="30"/>
      <c r="R185" s="32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  <c r="SO185" s="30"/>
      <c r="SP185" s="30"/>
      <c r="SQ185" s="30"/>
      <c r="SR185" s="30"/>
      <c r="SS185" s="30"/>
      <c r="ST185" s="30"/>
      <c r="SU185" s="30"/>
      <c r="SV185" s="30"/>
      <c r="SW185" s="30"/>
      <c r="SX185" s="30"/>
      <c r="SY185" s="30"/>
      <c r="SZ185" s="30"/>
      <c r="TA185" s="30"/>
      <c r="TB185" s="30"/>
      <c r="TC185" s="30"/>
      <c r="TD185" s="30"/>
      <c r="TE185" s="30"/>
      <c r="TF185" s="30"/>
      <c r="TG185" s="30"/>
    </row>
    <row r="186" spans="1:527" s="22" customFormat="1" ht="31.5" x14ac:dyDescent="0.25">
      <c r="A186" s="59" t="s">
        <v>354</v>
      </c>
      <c r="B186" s="92" t="str">
        <f>'дод 7'!A125</f>
        <v>3172</v>
      </c>
      <c r="C186" s="92">
        <f>'дод 7'!B125</f>
        <v>1010</v>
      </c>
      <c r="D186" s="60" t="s">
        <v>406</v>
      </c>
      <c r="E186" s="98">
        <f t="shared" si="69"/>
        <v>90</v>
      </c>
      <c r="F186" s="98">
        <v>90</v>
      </c>
      <c r="G186" s="98"/>
      <c r="H186" s="98"/>
      <c r="I186" s="98"/>
      <c r="J186" s="98">
        <f t="shared" si="71"/>
        <v>0</v>
      </c>
      <c r="K186" s="98"/>
      <c r="L186" s="98"/>
      <c r="M186" s="98"/>
      <c r="N186" s="98"/>
      <c r="O186" s="98"/>
      <c r="P186" s="98">
        <f t="shared" si="70"/>
        <v>90</v>
      </c>
      <c r="Q186" s="23"/>
      <c r="R186" s="32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  <c r="TF186" s="23"/>
      <c r="TG186" s="23"/>
    </row>
    <row r="187" spans="1:527" s="24" customFormat="1" ht="15.75" x14ac:dyDescent="0.25">
      <c r="A187" s="83"/>
      <c r="B187" s="110"/>
      <c r="C187" s="110"/>
      <c r="D187" s="84" t="s">
        <v>393</v>
      </c>
      <c r="E187" s="100">
        <f t="shared" si="69"/>
        <v>90</v>
      </c>
      <c r="F187" s="100">
        <v>90</v>
      </c>
      <c r="G187" s="100"/>
      <c r="H187" s="100"/>
      <c r="I187" s="100"/>
      <c r="J187" s="100">
        <f t="shared" si="71"/>
        <v>0</v>
      </c>
      <c r="K187" s="100"/>
      <c r="L187" s="100"/>
      <c r="M187" s="100"/>
      <c r="N187" s="100"/>
      <c r="O187" s="100"/>
      <c r="P187" s="100">
        <f t="shared" si="70"/>
        <v>90</v>
      </c>
      <c r="Q187" s="30"/>
      <c r="R187" s="32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/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30"/>
      <c r="MW187" s="30"/>
      <c r="MX187" s="30"/>
      <c r="MY187" s="30"/>
      <c r="MZ187" s="30"/>
      <c r="NA187" s="30"/>
      <c r="NB187" s="30"/>
      <c r="NC187" s="30"/>
      <c r="ND187" s="30"/>
      <c r="NE187" s="30"/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30"/>
      <c r="NY187" s="30"/>
      <c r="NZ187" s="30"/>
      <c r="OA187" s="30"/>
      <c r="OB187" s="30"/>
      <c r="OC187" s="30"/>
      <c r="OD187" s="30"/>
      <c r="OE187" s="30"/>
      <c r="OF187" s="30"/>
      <c r="OG187" s="30"/>
      <c r="OH187" s="30"/>
      <c r="OI187" s="30"/>
      <c r="OJ187" s="30"/>
      <c r="OK187" s="30"/>
      <c r="OL187" s="30"/>
      <c r="OM187" s="30"/>
      <c r="ON187" s="30"/>
      <c r="OO187" s="30"/>
      <c r="OP187" s="30"/>
      <c r="OQ187" s="30"/>
      <c r="OR187" s="30"/>
      <c r="OS187" s="30"/>
      <c r="OT187" s="30"/>
      <c r="OU187" s="30"/>
      <c r="OV187" s="30"/>
      <c r="OW187" s="30"/>
      <c r="OX187" s="30"/>
      <c r="OY187" s="30"/>
      <c r="OZ187" s="30"/>
      <c r="PA187" s="30"/>
      <c r="PB187" s="30"/>
      <c r="PC187" s="30"/>
      <c r="PD187" s="30"/>
      <c r="PE187" s="30"/>
      <c r="PF187" s="30"/>
      <c r="PG187" s="30"/>
      <c r="PH187" s="30"/>
      <c r="PI187" s="30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0"/>
      <c r="SM187" s="30"/>
      <c r="SN187" s="30"/>
      <c r="SO187" s="30"/>
      <c r="SP187" s="30"/>
      <c r="SQ187" s="30"/>
      <c r="SR187" s="30"/>
      <c r="SS187" s="30"/>
      <c r="ST187" s="30"/>
      <c r="SU187" s="30"/>
      <c r="SV187" s="30"/>
      <c r="SW187" s="30"/>
      <c r="SX187" s="30"/>
      <c r="SY187" s="30"/>
      <c r="SZ187" s="30"/>
      <c r="TA187" s="30"/>
      <c r="TB187" s="30"/>
      <c r="TC187" s="30"/>
      <c r="TD187" s="30"/>
      <c r="TE187" s="30"/>
      <c r="TF187" s="30"/>
      <c r="TG187" s="30"/>
    </row>
    <row r="188" spans="1:527" s="22" customFormat="1" ht="78.75" x14ac:dyDescent="0.25">
      <c r="A188" s="59" t="s">
        <v>186</v>
      </c>
      <c r="B188" s="92" t="str">
        <f>'дод 7'!A127</f>
        <v>3180</v>
      </c>
      <c r="C188" s="92" t="str">
        <f>'дод 7'!B127</f>
        <v>1060</v>
      </c>
      <c r="D188" s="60" t="str">
        <f>'дод 7'!C127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88" s="98">
        <f t="shared" si="69"/>
        <v>2505011</v>
      </c>
      <c r="F188" s="98">
        <f>2213520+239291+52200</f>
        <v>2505011</v>
      </c>
      <c r="G188" s="98"/>
      <c r="H188" s="98"/>
      <c r="I188" s="98"/>
      <c r="J188" s="98">
        <f t="shared" si="71"/>
        <v>0</v>
      </c>
      <c r="K188" s="98"/>
      <c r="L188" s="98"/>
      <c r="M188" s="98"/>
      <c r="N188" s="98"/>
      <c r="O188" s="98"/>
      <c r="P188" s="98">
        <f t="shared" si="70"/>
        <v>2505011</v>
      </c>
      <c r="Q188" s="23"/>
      <c r="R188" s="32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</row>
    <row r="189" spans="1:527" s="22" customFormat="1" ht="31.5" customHeight="1" x14ac:dyDescent="0.25">
      <c r="A189" s="59" t="s">
        <v>308</v>
      </c>
      <c r="B189" s="92" t="str">
        <f>'дод 7'!A128</f>
        <v>3191</v>
      </c>
      <c r="C189" s="92" t="str">
        <f>'дод 7'!B128</f>
        <v>1030</v>
      </c>
      <c r="D189" s="60" t="str">
        <f>'дод 7'!C128</f>
        <v>Інші видатки на соціальний захист ветеранів війни та праці</v>
      </c>
      <c r="E189" s="98">
        <f t="shared" si="69"/>
        <v>1890666</v>
      </c>
      <c r="F189" s="98">
        <f>2089960-47000-90801-61493</f>
        <v>1890666</v>
      </c>
      <c r="G189" s="98"/>
      <c r="H189" s="98"/>
      <c r="I189" s="98"/>
      <c r="J189" s="98">
        <f t="shared" si="71"/>
        <v>0</v>
      </c>
      <c r="K189" s="98"/>
      <c r="L189" s="98"/>
      <c r="M189" s="98"/>
      <c r="N189" s="98"/>
      <c r="O189" s="98"/>
      <c r="P189" s="98">
        <f t="shared" si="70"/>
        <v>1890666</v>
      </c>
      <c r="Q189" s="23"/>
      <c r="R189" s="32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2" customFormat="1" ht="47.25" x14ac:dyDescent="0.25">
      <c r="A190" s="59" t="s">
        <v>309</v>
      </c>
      <c r="B190" s="92" t="str">
        <f>'дод 7'!A129</f>
        <v>3192</v>
      </c>
      <c r="C190" s="92" t="str">
        <f>'дод 7'!B129</f>
        <v>1030</v>
      </c>
      <c r="D190" s="60" t="s">
        <v>501</v>
      </c>
      <c r="E190" s="98">
        <f t="shared" si="69"/>
        <v>2250688</v>
      </c>
      <c r="F190" s="98">
        <v>2250688</v>
      </c>
      <c r="G190" s="98"/>
      <c r="H190" s="98"/>
      <c r="I190" s="98"/>
      <c r="J190" s="98">
        <f t="shared" si="71"/>
        <v>0</v>
      </c>
      <c r="K190" s="98"/>
      <c r="L190" s="98"/>
      <c r="M190" s="98"/>
      <c r="N190" s="98"/>
      <c r="O190" s="98"/>
      <c r="P190" s="98">
        <f t="shared" si="70"/>
        <v>2250688</v>
      </c>
      <c r="Q190" s="23"/>
      <c r="R190" s="32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</row>
    <row r="191" spans="1:527" s="22" customFormat="1" ht="34.5" customHeight="1" x14ac:dyDescent="0.25">
      <c r="A191" s="59" t="s">
        <v>187</v>
      </c>
      <c r="B191" s="92" t="str">
        <f>'дод 7'!A130</f>
        <v>3200</v>
      </c>
      <c r="C191" s="92" t="str">
        <f>'дод 7'!B130</f>
        <v>1090</v>
      </c>
      <c r="D191" s="60" t="str">
        <f>'дод 7'!C130</f>
        <v>Забезпечення обробки інформації з нарахування та виплати допомог і компенсацій</v>
      </c>
      <c r="E191" s="98">
        <f t="shared" si="69"/>
        <v>92000</v>
      </c>
      <c r="F191" s="98">
        <v>92000</v>
      </c>
      <c r="G191" s="98"/>
      <c r="H191" s="98"/>
      <c r="I191" s="98"/>
      <c r="J191" s="98">
        <f t="shared" si="71"/>
        <v>0</v>
      </c>
      <c r="K191" s="98"/>
      <c r="L191" s="98"/>
      <c r="M191" s="98"/>
      <c r="N191" s="98"/>
      <c r="O191" s="98"/>
      <c r="P191" s="98">
        <f t="shared" si="70"/>
        <v>92000</v>
      </c>
      <c r="Q191" s="23"/>
      <c r="R191" s="32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</row>
    <row r="192" spans="1:527" s="22" customFormat="1" ht="19.5" customHeight="1" x14ac:dyDescent="0.25">
      <c r="A192" s="102" t="s">
        <v>310</v>
      </c>
      <c r="B192" s="42" t="str">
        <f>'дод 7'!A131</f>
        <v>3210</v>
      </c>
      <c r="C192" s="42" t="str">
        <f>'дод 7'!B131</f>
        <v>1050</v>
      </c>
      <c r="D192" s="36" t="str">
        <f>'дод 7'!C131</f>
        <v>Організація та проведення громадських робіт</v>
      </c>
      <c r="E192" s="98">
        <f t="shared" si="69"/>
        <v>50000</v>
      </c>
      <c r="F192" s="98">
        <v>50000</v>
      </c>
      <c r="G192" s="98">
        <v>40900</v>
      </c>
      <c r="H192" s="98"/>
      <c r="I192" s="98"/>
      <c r="J192" s="98">
        <f t="shared" si="71"/>
        <v>0</v>
      </c>
      <c r="K192" s="98"/>
      <c r="L192" s="98"/>
      <c r="M192" s="98"/>
      <c r="N192" s="98"/>
      <c r="O192" s="98"/>
      <c r="P192" s="98">
        <f t="shared" si="70"/>
        <v>50000</v>
      </c>
      <c r="Q192" s="23"/>
      <c r="R192" s="32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</row>
    <row r="193" spans="1:527" s="22" customFormat="1" ht="261" customHeight="1" x14ac:dyDescent="0.25">
      <c r="A193" s="102" t="s">
        <v>441</v>
      </c>
      <c r="B193" s="42">
        <v>3221</v>
      </c>
      <c r="C193" s="102" t="s">
        <v>53</v>
      </c>
      <c r="D193" s="36" t="s">
        <v>581</v>
      </c>
      <c r="E193" s="98">
        <f t="shared" si="69"/>
        <v>0</v>
      </c>
      <c r="F193" s="115"/>
      <c r="G193" s="98"/>
      <c r="H193" s="98"/>
      <c r="I193" s="98"/>
      <c r="J193" s="98">
        <f t="shared" si="71"/>
        <v>975480.06</v>
      </c>
      <c r="K193" s="98">
        <v>975480.06</v>
      </c>
      <c r="L193" s="98"/>
      <c r="M193" s="98"/>
      <c r="N193" s="98"/>
      <c r="O193" s="98">
        <v>975480.06</v>
      </c>
      <c r="P193" s="98">
        <f t="shared" si="70"/>
        <v>975480.06</v>
      </c>
      <c r="Q193" s="23"/>
      <c r="R193" s="32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</row>
    <row r="194" spans="1:527" s="24" customFormat="1" ht="306.75" customHeight="1" x14ac:dyDescent="0.25">
      <c r="A194" s="104"/>
      <c r="B194" s="87"/>
      <c r="C194" s="104"/>
      <c r="D194" s="86" t="s">
        <v>579</v>
      </c>
      <c r="E194" s="98">
        <f t="shared" si="69"/>
        <v>0</v>
      </c>
      <c r="F194" s="135"/>
      <c r="G194" s="100"/>
      <c r="H194" s="100"/>
      <c r="I194" s="100"/>
      <c r="J194" s="98">
        <f t="shared" si="71"/>
        <v>975480.06</v>
      </c>
      <c r="K194" s="100">
        <v>975480.06</v>
      </c>
      <c r="L194" s="100"/>
      <c r="M194" s="100"/>
      <c r="N194" s="100"/>
      <c r="O194" s="100">
        <v>975480.06</v>
      </c>
      <c r="P194" s="100">
        <f t="shared" si="70"/>
        <v>975480.06</v>
      </c>
      <c r="Q194" s="30"/>
      <c r="R194" s="32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0"/>
      <c r="JD194" s="30"/>
      <c r="JE194" s="30"/>
      <c r="JF194" s="30"/>
      <c r="JG194" s="30"/>
      <c r="JH194" s="30"/>
      <c r="JI194" s="30"/>
      <c r="JJ194" s="30"/>
      <c r="JK194" s="30"/>
      <c r="JL194" s="30"/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30"/>
      <c r="KG194" s="30"/>
      <c r="KH194" s="30"/>
      <c r="KI194" s="30"/>
      <c r="KJ194" s="30"/>
      <c r="KK194" s="30"/>
      <c r="KL194" s="30"/>
      <c r="KM194" s="30"/>
      <c r="KN194" s="30"/>
      <c r="KO194" s="30"/>
      <c r="KP194" s="30"/>
      <c r="KQ194" s="30"/>
      <c r="KR194" s="30"/>
      <c r="KS194" s="30"/>
      <c r="KT194" s="30"/>
      <c r="KU194" s="30"/>
      <c r="KV194" s="30"/>
      <c r="KW194" s="30"/>
      <c r="KX194" s="30"/>
      <c r="KY194" s="30"/>
      <c r="KZ194" s="30"/>
      <c r="LA194" s="30"/>
      <c r="LB194" s="30"/>
      <c r="LC194" s="30"/>
      <c r="LD194" s="30"/>
      <c r="LE194" s="30"/>
      <c r="LF194" s="30"/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  <c r="LU194" s="30"/>
      <c r="LV194" s="30"/>
      <c r="LW194" s="30"/>
      <c r="LX194" s="30"/>
      <c r="LY194" s="30"/>
      <c r="LZ194" s="30"/>
      <c r="MA194" s="30"/>
      <c r="MB194" s="30"/>
      <c r="MC194" s="30"/>
      <c r="MD194" s="30"/>
      <c r="ME194" s="30"/>
      <c r="MF194" s="30"/>
      <c r="MG194" s="30"/>
      <c r="MH194" s="30"/>
      <c r="MI194" s="30"/>
      <c r="MJ194" s="30"/>
      <c r="MK194" s="30"/>
      <c r="ML194" s="30"/>
      <c r="MM194" s="30"/>
      <c r="MN194" s="30"/>
      <c r="MO194" s="30"/>
      <c r="MP194" s="30"/>
      <c r="MQ194" s="30"/>
      <c r="MR194" s="30"/>
      <c r="MS194" s="30"/>
      <c r="MT194" s="30"/>
      <c r="MU194" s="30"/>
      <c r="MV194" s="30"/>
      <c r="MW194" s="30"/>
      <c r="MX194" s="30"/>
      <c r="MY194" s="30"/>
      <c r="MZ194" s="30"/>
      <c r="NA194" s="30"/>
      <c r="NB194" s="30"/>
      <c r="NC194" s="30"/>
      <c r="ND194" s="30"/>
      <c r="NE194" s="30"/>
      <c r="NF194" s="30"/>
      <c r="NG194" s="30"/>
      <c r="NH194" s="30"/>
      <c r="NI194" s="30"/>
      <c r="NJ194" s="30"/>
      <c r="NK194" s="30"/>
      <c r="NL194" s="30"/>
      <c r="NM194" s="30"/>
      <c r="NN194" s="30"/>
      <c r="NO194" s="30"/>
      <c r="NP194" s="30"/>
      <c r="NQ194" s="30"/>
      <c r="NR194" s="30"/>
      <c r="NS194" s="30"/>
      <c r="NT194" s="30"/>
      <c r="NU194" s="30"/>
      <c r="NV194" s="30"/>
      <c r="NW194" s="30"/>
      <c r="NX194" s="30"/>
      <c r="NY194" s="30"/>
      <c r="NZ194" s="30"/>
      <c r="OA194" s="30"/>
      <c r="OB194" s="30"/>
      <c r="OC194" s="30"/>
      <c r="OD194" s="30"/>
      <c r="OE194" s="30"/>
      <c r="OF194" s="30"/>
      <c r="OG194" s="30"/>
      <c r="OH194" s="30"/>
      <c r="OI194" s="30"/>
      <c r="OJ194" s="30"/>
      <c r="OK194" s="30"/>
      <c r="OL194" s="30"/>
      <c r="OM194" s="30"/>
      <c r="ON194" s="30"/>
      <c r="OO194" s="30"/>
      <c r="OP194" s="30"/>
      <c r="OQ194" s="30"/>
      <c r="OR194" s="30"/>
      <c r="OS194" s="30"/>
      <c r="OT194" s="30"/>
      <c r="OU194" s="30"/>
      <c r="OV194" s="30"/>
      <c r="OW194" s="30"/>
      <c r="OX194" s="30"/>
      <c r="OY194" s="30"/>
      <c r="OZ194" s="30"/>
      <c r="PA194" s="30"/>
      <c r="PB194" s="30"/>
      <c r="PC194" s="30"/>
      <c r="PD194" s="30"/>
      <c r="PE194" s="30"/>
      <c r="PF194" s="30"/>
      <c r="PG194" s="30"/>
      <c r="PH194" s="30"/>
      <c r="PI194" s="30"/>
      <c r="PJ194" s="30"/>
      <c r="PK194" s="30"/>
      <c r="PL194" s="30"/>
      <c r="PM194" s="30"/>
      <c r="PN194" s="30"/>
      <c r="PO194" s="30"/>
      <c r="PP194" s="30"/>
      <c r="PQ194" s="30"/>
      <c r="PR194" s="30"/>
      <c r="PS194" s="30"/>
      <c r="PT194" s="30"/>
      <c r="PU194" s="30"/>
      <c r="PV194" s="30"/>
      <c r="PW194" s="30"/>
      <c r="PX194" s="30"/>
      <c r="PY194" s="30"/>
      <c r="PZ194" s="30"/>
      <c r="QA194" s="30"/>
      <c r="QB194" s="30"/>
      <c r="QC194" s="30"/>
      <c r="QD194" s="30"/>
      <c r="QE194" s="30"/>
      <c r="QF194" s="30"/>
      <c r="QG194" s="30"/>
      <c r="QH194" s="30"/>
      <c r="QI194" s="30"/>
      <c r="QJ194" s="30"/>
      <c r="QK194" s="30"/>
      <c r="QL194" s="30"/>
      <c r="QM194" s="30"/>
      <c r="QN194" s="30"/>
      <c r="QO194" s="30"/>
      <c r="QP194" s="30"/>
      <c r="QQ194" s="30"/>
      <c r="QR194" s="30"/>
      <c r="QS194" s="30"/>
      <c r="QT194" s="30"/>
      <c r="QU194" s="30"/>
      <c r="QV194" s="30"/>
      <c r="QW194" s="30"/>
      <c r="QX194" s="30"/>
      <c r="QY194" s="30"/>
      <c r="QZ194" s="30"/>
      <c r="RA194" s="30"/>
      <c r="RB194" s="30"/>
      <c r="RC194" s="30"/>
      <c r="RD194" s="30"/>
      <c r="RE194" s="30"/>
      <c r="RF194" s="30"/>
      <c r="RG194" s="30"/>
      <c r="RH194" s="30"/>
      <c r="RI194" s="30"/>
      <c r="RJ194" s="30"/>
      <c r="RK194" s="30"/>
      <c r="RL194" s="30"/>
      <c r="RM194" s="30"/>
      <c r="RN194" s="30"/>
      <c r="RO194" s="30"/>
      <c r="RP194" s="30"/>
      <c r="RQ194" s="30"/>
      <c r="RR194" s="30"/>
      <c r="RS194" s="30"/>
      <c r="RT194" s="30"/>
      <c r="RU194" s="30"/>
      <c r="RV194" s="30"/>
      <c r="RW194" s="30"/>
      <c r="RX194" s="30"/>
      <c r="RY194" s="30"/>
      <c r="RZ194" s="30"/>
      <c r="SA194" s="30"/>
      <c r="SB194" s="30"/>
      <c r="SC194" s="30"/>
      <c r="SD194" s="30"/>
      <c r="SE194" s="30"/>
      <c r="SF194" s="30"/>
      <c r="SG194" s="30"/>
      <c r="SH194" s="30"/>
      <c r="SI194" s="30"/>
      <c r="SJ194" s="30"/>
      <c r="SK194" s="30"/>
      <c r="SL194" s="30"/>
      <c r="SM194" s="30"/>
      <c r="SN194" s="30"/>
      <c r="SO194" s="30"/>
      <c r="SP194" s="30"/>
      <c r="SQ194" s="30"/>
      <c r="SR194" s="30"/>
      <c r="SS194" s="30"/>
      <c r="ST194" s="30"/>
      <c r="SU194" s="30"/>
      <c r="SV194" s="30"/>
      <c r="SW194" s="30"/>
      <c r="SX194" s="30"/>
      <c r="SY194" s="30"/>
      <c r="SZ194" s="30"/>
      <c r="TA194" s="30"/>
      <c r="TB194" s="30"/>
      <c r="TC194" s="30"/>
      <c r="TD194" s="30"/>
      <c r="TE194" s="30"/>
      <c r="TF194" s="30"/>
      <c r="TG194" s="30"/>
    </row>
    <row r="195" spans="1:527" s="22" customFormat="1" ht="324.75" customHeight="1" x14ac:dyDescent="0.25">
      <c r="A195" s="102" t="s">
        <v>561</v>
      </c>
      <c r="B195" s="42">
        <v>3222</v>
      </c>
      <c r="C195" s="102" t="s">
        <v>53</v>
      </c>
      <c r="D195" s="36" t="s">
        <v>618</v>
      </c>
      <c r="E195" s="98">
        <f t="shared" ref="E195:E196" si="72">F195+I195</f>
        <v>0</v>
      </c>
      <c r="F195" s="136"/>
      <c r="G195" s="98"/>
      <c r="H195" s="98"/>
      <c r="I195" s="98"/>
      <c r="J195" s="98">
        <f t="shared" ref="J195:J196" si="73">L195+O195</f>
        <v>1176130.99</v>
      </c>
      <c r="K195" s="98">
        <v>1176130.99</v>
      </c>
      <c r="L195" s="98"/>
      <c r="M195" s="98"/>
      <c r="N195" s="98"/>
      <c r="O195" s="98">
        <v>1176130.99</v>
      </c>
      <c r="P195" s="98">
        <f t="shared" si="70"/>
        <v>1176130.99</v>
      </c>
      <c r="Q195" s="23"/>
      <c r="R195" s="32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</row>
    <row r="196" spans="1:527" s="24" customFormat="1" ht="350.25" customHeight="1" x14ac:dyDescent="0.25">
      <c r="A196" s="104"/>
      <c r="B196" s="87"/>
      <c r="C196" s="104"/>
      <c r="D196" s="86" t="s">
        <v>604</v>
      </c>
      <c r="E196" s="100">
        <f t="shared" si="72"/>
        <v>0</v>
      </c>
      <c r="F196" s="135"/>
      <c r="G196" s="100"/>
      <c r="H196" s="100"/>
      <c r="I196" s="100"/>
      <c r="J196" s="100">
        <f t="shared" si="73"/>
        <v>1176130.99</v>
      </c>
      <c r="K196" s="100">
        <v>1176130.99</v>
      </c>
      <c r="L196" s="100"/>
      <c r="M196" s="100"/>
      <c r="N196" s="100"/>
      <c r="O196" s="100">
        <v>1176130.99</v>
      </c>
      <c r="P196" s="100">
        <f t="shared" si="70"/>
        <v>1176130.99</v>
      </c>
      <c r="Q196" s="30"/>
      <c r="R196" s="32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/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30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30"/>
      <c r="NY196" s="30"/>
      <c r="NZ196" s="30"/>
      <c r="OA196" s="30"/>
      <c r="OB196" s="30"/>
      <c r="OC196" s="30"/>
      <c r="OD196" s="30"/>
      <c r="OE196" s="30"/>
      <c r="OF196" s="30"/>
      <c r="OG196" s="30"/>
      <c r="OH196" s="30"/>
      <c r="OI196" s="30"/>
      <c r="OJ196" s="30"/>
      <c r="OK196" s="30"/>
      <c r="OL196" s="30"/>
      <c r="OM196" s="30"/>
      <c r="ON196" s="30"/>
      <c r="OO196" s="30"/>
      <c r="OP196" s="30"/>
      <c r="OQ196" s="30"/>
      <c r="OR196" s="30"/>
      <c r="OS196" s="30"/>
      <c r="OT196" s="30"/>
      <c r="OU196" s="30"/>
      <c r="OV196" s="30"/>
      <c r="OW196" s="30"/>
      <c r="OX196" s="30"/>
      <c r="OY196" s="30"/>
      <c r="OZ196" s="30"/>
      <c r="PA196" s="30"/>
      <c r="PB196" s="30"/>
      <c r="PC196" s="30"/>
      <c r="PD196" s="30"/>
      <c r="PE196" s="30"/>
      <c r="PF196" s="30"/>
      <c r="PG196" s="30"/>
      <c r="PH196" s="30"/>
      <c r="PI196" s="30"/>
      <c r="PJ196" s="30"/>
      <c r="PK196" s="30"/>
      <c r="PL196" s="30"/>
      <c r="PM196" s="30"/>
      <c r="PN196" s="30"/>
      <c r="PO196" s="30"/>
      <c r="PP196" s="30"/>
      <c r="PQ196" s="30"/>
      <c r="PR196" s="30"/>
      <c r="PS196" s="30"/>
      <c r="PT196" s="30"/>
      <c r="PU196" s="30"/>
      <c r="PV196" s="30"/>
      <c r="PW196" s="30"/>
      <c r="PX196" s="30"/>
      <c r="PY196" s="30"/>
      <c r="PZ196" s="30"/>
      <c r="QA196" s="30"/>
      <c r="QB196" s="30"/>
      <c r="QC196" s="30"/>
      <c r="QD196" s="30"/>
      <c r="QE196" s="30"/>
      <c r="QF196" s="30"/>
      <c r="QG196" s="30"/>
      <c r="QH196" s="30"/>
      <c r="QI196" s="30"/>
      <c r="QJ196" s="30"/>
      <c r="QK196" s="30"/>
      <c r="QL196" s="30"/>
      <c r="QM196" s="30"/>
      <c r="QN196" s="30"/>
      <c r="QO196" s="30"/>
      <c r="QP196" s="30"/>
      <c r="QQ196" s="30"/>
      <c r="QR196" s="30"/>
      <c r="QS196" s="30"/>
      <c r="QT196" s="30"/>
      <c r="QU196" s="30"/>
      <c r="QV196" s="30"/>
      <c r="QW196" s="30"/>
      <c r="QX196" s="30"/>
      <c r="QY196" s="30"/>
      <c r="QZ196" s="30"/>
      <c r="RA196" s="30"/>
      <c r="RB196" s="30"/>
      <c r="RC196" s="30"/>
      <c r="RD196" s="30"/>
      <c r="RE196" s="30"/>
      <c r="RF196" s="30"/>
      <c r="RG196" s="30"/>
      <c r="RH196" s="30"/>
      <c r="RI196" s="30"/>
      <c r="RJ196" s="30"/>
      <c r="RK196" s="30"/>
      <c r="RL196" s="30"/>
      <c r="RM196" s="30"/>
      <c r="RN196" s="30"/>
      <c r="RO196" s="30"/>
      <c r="RP196" s="30"/>
      <c r="RQ196" s="30"/>
      <c r="RR196" s="30"/>
      <c r="RS196" s="30"/>
      <c r="RT196" s="30"/>
      <c r="RU196" s="30"/>
      <c r="RV196" s="30"/>
      <c r="RW196" s="30"/>
      <c r="RX196" s="30"/>
      <c r="RY196" s="30"/>
      <c r="RZ196" s="30"/>
      <c r="SA196" s="30"/>
      <c r="SB196" s="30"/>
      <c r="SC196" s="30"/>
      <c r="SD196" s="30"/>
      <c r="SE196" s="30"/>
      <c r="SF196" s="30"/>
      <c r="SG196" s="30"/>
      <c r="SH196" s="30"/>
      <c r="SI196" s="30"/>
      <c r="SJ196" s="30"/>
      <c r="SK196" s="30"/>
      <c r="SL196" s="30"/>
      <c r="SM196" s="30"/>
      <c r="SN196" s="30"/>
      <c r="SO196" s="30"/>
      <c r="SP196" s="30"/>
      <c r="SQ196" s="30"/>
      <c r="SR196" s="30"/>
      <c r="SS196" s="30"/>
      <c r="ST196" s="30"/>
      <c r="SU196" s="30"/>
      <c r="SV196" s="30"/>
      <c r="SW196" s="30"/>
      <c r="SX196" s="30"/>
      <c r="SY196" s="30"/>
      <c r="SZ196" s="30"/>
      <c r="TA196" s="30"/>
      <c r="TB196" s="30"/>
      <c r="TC196" s="30"/>
      <c r="TD196" s="30"/>
      <c r="TE196" s="30"/>
      <c r="TF196" s="30"/>
      <c r="TG196" s="30"/>
    </row>
    <row r="197" spans="1:527" s="22" customFormat="1" ht="220.5" hidden="1" x14ac:dyDescent="0.25">
      <c r="A197" s="102" t="s">
        <v>440</v>
      </c>
      <c r="B197" s="42">
        <v>3223</v>
      </c>
      <c r="C197" s="102" t="s">
        <v>53</v>
      </c>
      <c r="D197" s="36" t="str">
        <f>'дод 7'!C136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97" s="98">
        <f t="shared" si="69"/>
        <v>0</v>
      </c>
      <c r="F197" s="98"/>
      <c r="G197" s="98"/>
      <c r="H197" s="98"/>
      <c r="I197" s="98"/>
      <c r="J197" s="98">
        <f t="shared" si="71"/>
        <v>0</v>
      </c>
      <c r="K197" s="98"/>
      <c r="L197" s="98"/>
      <c r="M197" s="98"/>
      <c r="N197" s="98"/>
      <c r="O197" s="98"/>
      <c r="P197" s="98">
        <f t="shared" si="70"/>
        <v>0</v>
      </c>
      <c r="Q197" s="23"/>
      <c r="R197" s="32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</row>
    <row r="198" spans="1:527" s="24" customFormat="1" ht="267.75" hidden="1" x14ac:dyDescent="0.25">
      <c r="A198" s="104"/>
      <c r="B198" s="87"/>
      <c r="C198" s="104"/>
      <c r="D198" s="86" t="str">
        <f>'дод 7'!C137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98" s="100">
        <f t="shared" si="69"/>
        <v>0</v>
      </c>
      <c r="F198" s="100"/>
      <c r="G198" s="100"/>
      <c r="H198" s="100"/>
      <c r="I198" s="100"/>
      <c r="J198" s="100">
        <f t="shared" si="71"/>
        <v>0</v>
      </c>
      <c r="K198" s="100"/>
      <c r="L198" s="100"/>
      <c r="M198" s="100"/>
      <c r="N198" s="100"/>
      <c r="O198" s="100"/>
      <c r="P198" s="100">
        <f t="shared" si="70"/>
        <v>0</v>
      </c>
      <c r="Q198" s="30"/>
      <c r="R198" s="32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  <c r="TF198" s="30"/>
      <c r="TG198" s="30"/>
    </row>
    <row r="199" spans="1:527" s="22" customFormat="1" ht="31.5" customHeight="1" x14ac:dyDescent="0.25">
      <c r="A199" s="59" t="s">
        <v>307</v>
      </c>
      <c r="B199" s="92" t="str">
        <f>'дод 7'!A138</f>
        <v>3241</v>
      </c>
      <c r="C199" s="92" t="str">
        <f>'дод 7'!B138</f>
        <v>1090</v>
      </c>
      <c r="D199" s="60" t="str">
        <f>'дод 7'!C138</f>
        <v>Забезпечення діяльності інших закладів у сфері соціального захисту і соціального забезпечення</v>
      </c>
      <c r="E199" s="98">
        <f t="shared" si="69"/>
        <v>6171670.0800000001</v>
      </c>
      <c r="F199" s="98">
        <f>6615708.56+38000+199000+75614-795852.48+39200</f>
        <v>6171670.0800000001</v>
      </c>
      <c r="G199" s="98">
        <f>4074650-476164.66</f>
        <v>3598485.34</v>
      </c>
      <c r="H199" s="98">
        <f>333300+75614-74659.4+39200</f>
        <v>373454.6</v>
      </c>
      <c r="I199" s="98"/>
      <c r="J199" s="98">
        <f t="shared" ref="J199:J203" si="74">L199+O199</f>
        <v>160800</v>
      </c>
      <c r="K199" s="98">
        <f>360000-199000-200</f>
        <v>160800</v>
      </c>
      <c r="L199" s="98"/>
      <c r="M199" s="98"/>
      <c r="N199" s="98"/>
      <c r="O199" s="98">
        <f>360000-199000-200</f>
        <v>160800</v>
      </c>
      <c r="P199" s="98">
        <f t="shared" si="70"/>
        <v>6332470.0800000001</v>
      </c>
      <c r="Q199" s="23"/>
      <c r="R199" s="32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</row>
    <row r="200" spans="1:527" s="22" customFormat="1" ht="33" customHeight="1" x14ac:dyDescent="0.25">
      <c r="A200" s="59" t="s">
        <v>355</v>
      </c>
      <c r="B200" s="92" t="str">
        <f>'дод 7'!A139</f>
        <v>3242</v>
      </c>
      <c r="C200" s="92" t="str">
        <f>'дод 7'!B139</f>
        <v>1090</v>
      </c>
      <c r="D200" s="60" t="s">
        <v>515</v>
      </c>
      <c r="E200" s="98">
        <f t="shared" si="69"/>
        <v>39774644.549999997</v>
      </c>
      <c r="F200" s="98">
        <f>34325670+76000+12000+250000+1652252.55+881000+791200+57000+20770+189500+106000+5000+5000+10000+25000+47000+1000+45000+69500+38800+125610-12000+90000+148000+100000+78747+27500+350000+8719+96115+43245+111016</f>
        <v>39774644.549999997</v>
      </c>
      <c r="G200" s="98"/>
      <c r="H200" s="98"/>
      <c r="I200" s="98"/>
      <c r="J200" s="98">
        <f t="shared" si="74"/>
        <v>57000</v>
      </c>
      <c r="K200" s="98">
        <f>45000+12000</f>
        <v>57000</v>
      </c>
      <c r="L200" s="98"/>
      <c r="M200" s="98"/>
      <c r="N200" s="98"/>
      <c r="O200" s="98">
        <f>45000+12000</f>
        <v>57000</v>
      </c>
      <c r="P200" s="98">
        <f t="shared" si="70"/>
        <v>39831644.549999997</v>
      </c>
      <c r="Q200" s="23"/>
      <c r="R200" s="32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4" customFormat="1" ht="15" customHeight="1" x14ac:dyDescent="0.25">
      <c r="A201" s="83"/>
      <c r="B201" s="110"/>
      <c r="C201" s="110"/>
      <c r="D201" s="84" t="s">
        <v>393</v>
      </c>
      <c r="E201" s="100">
        <f t="shared" si="69"/>
        <v>348000</v>
      </c>
      <c r="F201" s="100">
        <f>336000+12000</f>
        <v>348000</v>
      </c>
      <c r="G201" s="100"/>
      <c r="H201" s="100"/>
      <c r="I201" s="100"/>
      <c r="J201" s="100">
        <f t="shared" si="74"/>
        <v>0</v>
      </c>
      <c r="K201" s="100"/>
      <c r="L201" s="100"/>
      <c r="M201" s="100"/>
      <c r="N201" s="100"/>
      <c r="O201" s="100"/>
      <c r="P201" s="100">
        <f t="shared" si="70"/>
        <v>348000</v>
      </c>
      <c r="Q201" s="30"/>
      <c r="R201" s="32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/>
      <c r="MG201" s="30"/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30"/>
      <c r="MW201" s="30"/>
      <c r="MX201" s="30"/>
      <c r="MY201" s="30"/>
      <c r="MZ201" s="30"/>
      <c r="NA201" s="30"/>
      <c r="NB201" s="30"/>
      <c r="NC201" s="30"/>
      <c r="ND201" s="30"/>
      <c r="NE201" s="30"/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30"/>
      <c r="NY201" s="30"/>
      <c r="NZ201" s="30"/>
      <c r="OA201" s="30"/>
      <c r="OB201" s="30"/>
      <c r="OC201" s="30"/>
      <c r="OD201" s="30"/>
      <c r="OE201" s="30"/>
      <c r="OF201" s="30"/>
      <c r="OG201" s="30"/>
      <c r="OH201" s="30"/>
      <c r="OI201" s="30"/>
      <c r="OJ201" s="30"/>
      <c r="OK201" s="30"/>
      <c r="OL201" s="30"/>
      <c r="OM201" s="30"/>
      <c r="ON201" s="30"/>
      <c r="OO201" s="30"/>
      <c r="OP201" s="30"/>
      <c r="OQ201" s="30"/>
      <c r="OR201" s="30"/>
      <c r="OS201" s="30"/>
      <c r="OT201" s="30"/>
      <c r="OU201" s="30"/>
      <c r="OV201" s="30"/>
      <c r="OW201" s="30"/>
      <c r="OX201" s="30"/>
      <c r="OY201" s="30"/>
      <c r="OZ201" s="30"/>
      <c r="PA201" s="30"/>
      <c r="PB201" s="30"/>
      <c r="PC201" s="30"/>
      <c r="PD201" s="30"/>
      <c r="PE201" s="30"/>
      <c r="PF201" s="30"/>
      <c r="PG201" s="30"/>
      <c r="PH201" s="30"/>
      <c r="PI201" s="30"/>
      <c r="PJ201" s="30"/>
      <c r="PK201" s="30"/>
      <c r="PL201" s="30"/>
      <c r="PM201" s="30"/>
      <c r="PN201" s="30"/>
      <c r="PO201" s="30"/>
      <c r="PP201" s="30"/>
      <c r="PQ201" s="30"/>
      <c r="PR201" s="30"/>
      <c r="PS201" s="30"/>
      <c r="PT201" s="30"/>
      <c r="PU201" s="30"/>
      <c r="PV201" s="30"/>
      <c r="PW201" s="30"/>
      <c r="PX201" s="30"/>
      <c r="PY201" s="30"/>
      <c r="PZ201" s="30"/>
      <c r="QA201" s="30"/>
      <c r="QB201" s="30"/>
      <c r="QC201" s="30"/>
      <c r="QD201" s="30"/>
      <c r="QE201" s="30"/>
      <c r="QF201" s="30"/>
      <c r="QG201" s="30"/>
      <c r="QH201" s="30"/>
      <c r="QI201" s="30"/>
      <c r="QJ201" s="30"/>
      <c r="QK201" s="30"/>
      <c r="QL201" s="30"/>
      <c r="QM201" s="30"/>
      <c r="QN201" s="30"/>
      <c r="QO201" s="30"/>
      <c r="QP201" s="30"/>
      <c r="QQ201" s="30"/>
      <c r="QR201" s="30"/>
      <c r="QS201" s="30"/>
      <c r="QT201" s="30"/>
      <c r="QU201" s="30"/>
      <c r="QV201" s="30"/>
      <c r="QW201" s="30"/>
      <c r="QX201" s="30"/>
      <c r="QY201" s="30"/>
      <c r="QZ201" s="30"/>
      <c r="RA201" s="30"/>
      <c r="RB201" s="30"/>
      <c r="RC201" s="30"/>
      <c r="RD201" s="30"/>
      <c r="RE201" s="30"/>
      <c r="RF201" s="30"/>
      <c r="RG201" s="30"/>
      <c r="RH201" s="30"/>
      <c r="RI201" s="30"/>
      <c r="RJ201" s="30"/>
      <c r="RK201" s="30"/>
      <c r="RL201" s="30"/>
      <c r="RM201" s="30"/>
      <c r="RN201" s="30"/>
      <c r="RO201" s="30"/>
      <c r="RP201" s="30"/>
      <c r="RQ201" s="30"/>
      <c r="RR201" s="30"/>
      <c r="RS201" s="30"/>
      <c r="RT201" s="30"/>
      <c r="RU201" s="30"/>
      <c r="RV201" s="30"/>
      <c r="RW201" s="30"/>
      <c r="RX201" s="30"/>
      <c r="RY201" s="30"/>
      <c r="RZ201" s="30"/>
      <c r="SA201" s="30"/>
      <c r="SB201" s="30"/>
      <c r="SC201" s="30"/>
      <c r="SD201" s="30"/>
      <c r="SE201" s="30"/>
      <c r="SF201" s="30"/>
      <c r="SG201" s="30"/>
      <c r="SH201" s="30"/>
      <c r="SI201" s="30"/>
      <c r="SJ201" s="30"/>
      <c r="SK201" s="30"/>
      <c r="SL201" s="30"/>
      <c r="SM201" s="30"/>
      <c r="SN201" s="30"/>
      <c r="SO201" s="30"/>
      <c r="SP201" s="30"/>
      <c r="SQ201" s="30"/>
      <c r="SR201" s="30"/>
      <c r="SS201" s="30"/>
      <c r="ST201" s="30"/>
      <c r="SU201" s="30"/>
      <c r="SV201" s="30"/>
      <c r="SW201" s="30"/>
      <c r="SX201" s="30"/>
      <c r="SY201" s="30"/>
      <c r="SZ201" s="30"/>
      <c r="TA201" s="30"/>
      <c r="TB201" s="30"/>
      <c r="TC201" s="30"/>
      <c r="TD201" s="30"/>
      <c r="TE201" s="30"/>
      <c r="TF201" s="30"/>
      <c r="TG201" s="30"/>
    </row>
    <row r="202" spans="1:527" s="22" customFormat="1" ht="18.75" x14ac:dyDescent="0.25">
      <c r="A202" s="59" t="s">
        <v>417</v>
      </c>
      <c r="B202" s="92">
        <v>7323</v>
      </c>
      <c r="C202" s="59" t="s">
        <v>111</v>
      </c>
      <c r="D202" s="128" t="s">
        <v>549</v>
      </c>
      <c r="E202" s="98">
        <f t="shared" si="69"/>
        <v>0</v>
      </c>
      <c r="F202" s="98"/>
      <c r="G202" s="98"/>
      <c r="H202" s="98"/>
      <c r="I202" s="98"/>
      <c r="J202" s="98">
        <f t="shared" si="74"/>
        <v>461003</v>
      </c>
      <c r="K202" s="98">
        <f>400000+73213-12210</f>
        <v>461003</v>
      </c>
      <c r="L202" s="98"/>
      <c r="M202" s="98"/>
      <c r="N202" s="98"/>
      <c r="O202" s="98">
        <f>400000+73213-12210</f>
        <v>461003</v>
      </c>
      <c r="P202" s="98">
        <f t="shared" si="70"/>
        <v>461003</v>
      </c>
      <c r="Q202" s="23"/>
      <c r="R202" s="32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</row>
    <row r="203" spans="1:527" s="22" customFormat="1" ht="22.5" customHeight="1" x14ac:dyDescent="0.25">
      <c r="A203" s="59" t="s">
        <v>265</v>
      </c>
      <c r="B203" s="92" t="str">
        <f>'дод 7'!A256</f>
        <v>9770</v>
      </c>
      <c r="C203" s="92" t="str">
        <f>'дод 7'!B256</f>
        <v>0180</v>
      </c>
      <c r="D203" s="60" t="str">
        <f>'дод 7'!C256</f>
        <v>Інші субвенції з місцевого бюджету</v>
      </c>
      <c r="E203" s="98">
        <f t="shared" si="69"/>
        <v>5230784</v>
      </c>
      <c r="F203" s="98">
        <f>2500000+1145344+1585440</f>
        <v>5230784</v>
      </c>
      <c r="G203" s="98"/>
      <c r="H203" s="98"/>
      <c r="I203" s="98"/>
      <c r="J203" s="98">
        <f t="shared" si="74"/>
        <v>0</v>
      </c>
      <c r="K203" s="98"/>
      <c r="L203" s="98"/>
      <c r="M203" s="98"/>
      <c r="N203" s="98"/>
      <c r="O203" s="98"/>
      <c r="P203" s="98">
        <f t="shared" si="70"/>
        <v>5230784</v>
      </c>
      <c r="Q203" s="23"/>
      <c r="R203" s="32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  <c r="TF203" s="23"/>
      <c r="TG203" s="23"/>
    </row>
    <row r="204" spans="1:527" s="27" customFormat="1" ht="31.5" x14ac:dyDescent="0.25">
      <c r="A204" s="105" t="s">
        <v>188</v>
      </c>
      <c r="B204" s="39"/>
      <c r="C204" s="39"/>
      <c r="D204" s="106" t="s">
        <v>363</v>
      </c>
      <c r="E204" s="94">
        <f>E205</f>
        <v>5902461</v>
      </c>
      <c r="F204" s="94">
        <f t="shared" ref="F204:J204" si="75">F205</f>
        <v>5902461</v>
      </c>
      <c r="G204" s="94">
        <f t="shared" si="75"/>
        <v>4512300</v>
      </c>
      <c r="H204" s="94">
        <f t="shared" si="75"/>
        <v>68181</v>
      </c>
      <c r="I204" s="94">
        <f t="shared" si="75"/>
        <v>0</v>
      </c>
      <c r="J204" s="94">
        <f t="shared" si="75"/>
        <v>8509988</v>
      </c>
      <c r="K204" s="94">
        <f t="shared" ref="K204" si="76">K205</f>
        <v>8509988</v>
      </c>
      <c r="L204" s="94">
        <f t="shared" ref="L204" si="77">L205</f>
        <v>0</v>
      </c>
      <c r="M204" s="94">
        <f t="shared" ref="M204" si="78">M205</f>
        <v>0</v>
      </c>
      <c r="N204" s="94">
        <f t="shared" ref="N204" si="79">N205</f>
        <v>0</v>
      </c>
      <c r="O204" s="94">
        <f t="shared" ref="O204:P204" si="80">O205</f>
        <v>8509988</v>
      </c>
      <c r="P204" s="94">
        <f t="shared" si="80"/>
        <v>14412449</v>
      </c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2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32"/>
      <c r="HO204" s="32"/>
      <c r="HP204" s="32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2"/>
      <c r="IE204" s="32"/>
      <c r="IF204" s="32"/>
      <c r="IG204" s="32"/>
      <c r="IH204" s="32"/>
      <c r="II204" s="32"/>
      <c r="IJ204" s="32"/>
      <c r="IK204" s="32"/>
      <c r="IL204" s="32"/>
      <c r="IM204" s="32"/>
      <c r="IN204" s="32"/>
      <c r="IO204" s="32"/>
      <c r="IP204" s="32"/>
      <c r="IQ204" s="32"/>
      <c r="IR204" s="32"/>
      <c r="IS204" s="32"/>
      <c r="IT204" s="32"/>
      <c r="IU204" s="32"/>
      <c r="IV204" s="32"/>
      <c r="IW204" s="32"/>
      <c r="IX204" s="32"/>
      <c r="IY204" s="32"/>
      <c r="IZ204" s="32"/>
      <c r="JA204" s="32"/>
      <c r="JB204" s="32"/>
      <c r="JC204" s="32"/>
      <c r="JD204" s="32"/>
      <c r="JE204" s="32"/>
      <c r="JF204" s="32"/>
      <c r="JG204" s="32"/>
      <c r="JH204" s="32"/>
      <c r="JI204" s="32"/>
      <c r="JJ204" s="32"/>
      <c r="JK204" s="32"/>
      <c r="JL204" s="32"/>
      <c r="JM204" s="32"/>
      <c r="JN204" s="32"/>
      <c r="JO204" s="32"/>
      <c r="JP204" s="32"/>
      <c r="JQ204" s="32"/>
      <c r="JR204" s="32"/>
      <c r="JS204" s="32"/>
      <c r="JT204" s="32"/>
      <c r="JU204" s="32"/>
      <c r="JV204" s="32"/>
      <c r="JW204" s="32"/>
      <c r="JX204" s="32"/>
      <c r="JY204" s="32"/>
      <c r="JZ204" s="32"/>
      <c r="KA204" s="32"/>
      <c r="KB204" s="32"/>
      <c r="KC204" s="32"/>
      <c r="KD204" s="32"/>
      <c r="KE204" s="32"/>
      <c r="KF204" s="32"/>
      <c r="KG204" s="32"/>
      <c r="KH204" s="32"/>
      <c r="KI204" s="32"/>
      <c r="KJ204" s="32"/>
      <c r="KK204" s="32"/>
      <c r="KL204" s="32"/>
      <c r="KM204" s="32"/>
      <c r="KN204" s="32"/>
      <c r="KO204" s="32"/>
      <c r="KP204" s="32"/>
      <c r="KQ204" s="32"/>
      <c r="KR204" s="32"/>
      <c r="KS204" s="32"/>
      <c r="KT204" s="32"/>
      <c r="KU204" s="32"/>
      <c r="KV204" s="32"/>
      <c r="KW204" s="32"/>
      <c r="KX204" s="32"/>
      <c r="KY204" s="32"/>
      <c r="KZ204" s="32"/>
      <c r="LA204" s="32"/>
      <c r="LB204" s="32"/>
      <c r="LC204" s="32"/>
      <c r="LD204" s="32"/>
      <c r="LE204" s="32"/>
      <c r="LF204" s="32"/>
      <c r="LG204" s="32"/>
      <c r="LH204" s="32"/>
      <c r="LI204" s="32"/>
      <c r="LJ204" s="32"/>
      <c r="LK204" s="32"/>
      <c r="LL204" s="32"/>
      <c r="LM204" s="32"/>
      <c r="LN204" s="32"/>
      <c r="LO204" s="32"/>
      <c r="LP204" s="32"/>
      <c r="LQ204" s="32"/>
      <c r="LR204" s="32"/>
      <c r="LS204" s="32"/>
      <c r="LT204" s="32"/>
      <c r="LU204" s="32"/>
      <c r="LV204" s="32"/>
      <c r="LW204" s="32"/>
      <c r="LX204" s="32"/>
      <c r="LY204" s="32"/>
      <c r="LZ204" s="32"/>
      <c r="MA204" s="32"/>
      <c r="MB204" s="32"/>
      <c r="MC204" s="32"/>
      <c r="MD204" s="32"/>
      <c r="ME204" s="32"/>
      <c r="MF204" s="32"/>
      <c r="MG204" s="32"/>
      <c r="MH204" s="32"/>
      <c r="MI204" s="32"/>
      <c r="MJ204" s="32"/>
      <c r="MK204" s="32"/>
      <c r="ML204" s="32"/>
      <c r="MM204" s="32"/>
      <c r="MN204" s="32"/>
      <c r="MO204" s="32"/>
      <c r="MP204" s="32"/>
      <c r="MQ204" s="32"/>
      <c r="MR204" s="32"/>
      <c r="MS204" s="32"/>
      <c r="MT204" s="32"/>
      <c r="MU204" s="32"/>
      <c r="MV204" s="32"/>
      <c r="MW204" s="32"/>
      <c r="MX204" s="32"/>
      <c r="MY204" s="32"/>
      <c r="MZ204" s="32"/>
      <c r="NA204" s="32"/>
      <c r="NB204" s="32"/>
      <c r="NC204" s="32"/>
      <c r="ND204" s="32"/>
      <c r="NE204" s="32"/>
      <c r="NF204" s="32"/>
      <c r="NG204" s="32"/>
      <c r="NH204" s="32"/>
      <c r="NI204" s="32"/>
      <c r="NJ204" s="32"/>
      <c r="NK204" s="32"/>
      <c r="NL204" s="32"/>
      <c r="NM204" s="32"/>
      <c r="NN204" s="32"/>
      <c r="NO204" s="32"/>
      <c r="NP204" s="32"/>
      <c r="NQ204" s="32"/>
      <c r="NR204" s="32"/>
      <c r="NS204" s="32"/>
      <c r="NT204" s="32"/>
      <c r="NU204" s="32"/>
      <c r="NV204" s="32"/>
      <c r="NW204" s="32"/>
      <c r="NX204" s="32"/>
      <c r="NY204" s="32"/>
      <c r="NZ204" s="32"/>
      <c r="OA204" s="32"/>
      <c r="OB204" s="32"/>
      <c r="OC204" s="32"/>
      <c r="OD204" s="32"/>
      <c r="OE204" s="32"/>
      <c r="OF204" s="32"/>
      <c r="OG204" s="32"/>
      <c r="OH204" s="32"/>
      <c r="OI204" s="32"/>
      <c r="OJ204" s="32"/>
      <c r="OK204" s="32"/>
      <c r="OL204" s="32"/>
      <c r="OM204" s="32"/>
      <c r="ON204" s="32"/>
      <c r="OO204" s="32"/>
      <c r="OP204" s="32"/>
      <c r="OQ204" s="32"/>
      <c r="OR204" s="32"/>
      <c r="OS204" s="32"/>
      <c r="OT204" s="32"/>
      <c r="OU204" s="32"/>
      <c r="OV204" s="32"/>
      <c r="OW204" s="32"/>
      <c r="OX204" s="32"/>
      <c r="OY204" s="32"/>
      <c r="OZ204" s="32"/>
      <c r="PA204" s="32"/>
      <c r="PB204" s="32"/>
      <c r="PC204" s="32"/>
      <c r="PD204" s="32"/>
      <c r="PE204" s="32"/>
      <c r="PF204" s="32"/>
      <c r="PG204" s="32"/>
      <c r="PH204" s="32"/>
      <c r="PI204" s="32"/>
      <c r="PJ204" s="32"/>
      <c r="PK204" s="32"/>
      <c r="PL204" s="32"/>
      <c r="PM204" s="32"/>
      <c r="PN204" s="32"/>
      <c r="PO204" s="32"/>
      <c r="PP204" s="32"/>
      <c r="PQ204" s="32"/>
      <c r="PR204" s="32"/>
      <c r="PS204" s="32"/>
      <c r="PT204" s="32"/>
      <c r="PU204" s="32"/>
      <c r="PV204" s="32"/>
      <c r="PW204" s="32"/>
      <c r="PX204" s="32"/>
      <c r="PY204" s="32"/>
      <c r="PZ204" s="32"/>
      <c r="QA204" s="32"/>
      <c r="QB204" s="32"/>
      <c r="QC204" s="32"/>
      <c r="QD204" s="32"/>
      <c r="QE204" s="32"/>
      <c r="QF204" s="32"/>
      <c r="QG204" s="32"/>
      <c r="QH204" s="32"/>
      <c r="QI204" s="32"/>
      <c r="QJ204" s="32"/>
      <c r="QK204" s="32"/>
      <c r="QL204" s="32"/>
      <c r="QM204" s="32"/>
      <c r="QN204" s="32"/>
      <c r="QO204" s="32"/>
      <c r="QP204" s="32"/>
      <c r="QQ204" s="32"/>
      <c r="QR204" s="32"/>
      <c r="QS204" s="32"/>
      <c r="QT204" s="32"/>
      <c r="QU204" s="32"/>
      <c r="QV204" s="32"/>
      <c r="QW204" s="32"/>
      <c r="QX204" s="32"/>
      <c r="QY204" s="32"/>
      <c r="QZ204" s="32"/>
      <c r="RA204" s="32"/>
      <c r="RB204" s="32"/>
      <c r="RC204" s="32"/>
      <c r="RD204" s="32"/>
      <c r="RE204" s="32"/>
      <c r="RF204" s="32"/>
      <c r="RG204" s="32"/>
      <c r="RH204" s="32"/>
      <c r="RI204" s="32"/>
      <c r="RJ204" s="32"/>
      <c r="RK204" s="32"/>
      <c r="RL204" s="32"/>
      <c r="RM204" s="32"/>
      <c r="RN204" s="32"/>
      <c r="RO204" s="32"/>
      <c r="RP204" s="32"/>
      <c r="RQ204" s="32"/>
      <c r="RR204" s="32"/>
      <c r="RS204" s="32"/>
      <c r="RT204" s="32"/>
      <c r="RU204" s="32"/>
      <c r="RV204" s="32"/>
      <c r="RW204" s="32"/>
      <c r="RX204" s="32"/>
      <c r="RY204" s="32"/>
      <c r="RZ204" s="32"/>
      <c r="SA204" s="32"/>
      <c r="SB204" s="32"/>
      <c r="SC204" s="32"/>
      <c r="SD204" s="32"/>
      <c r="SE204" s="32"/>
      <c r="SF204" s="32"/>
      <c r="SG204" s="32"/>
      <c r="SH204" s="32"/>
      <c r="SI204" s="32"/>
      <c r="SJ204" s="32"/>
      <c r="SK204" s="32"/>
      <c r="SL204" s="32"/>
      <c r="SM204" s="32"/>
      <c r="SN204" s="32"/>
      <c r="SO204" s="32"/>
      <c r="SP204" s="32"/>
      <c r="SQ204" s="32"/>
      <c r="SR204" s="32"/>
      <c r="SS204" s="32"/>
      <c r="ST204" s="32"/>
      <c r="SU204" s="32"/>
      <c r="SV204" s="32"/>
      <c r="SW204" s="32"/>
      <c r="SX204" s="32"/>
      <c r="SY204" s="32"/>
      <c r="SZ204" s="32"/>
      <c r="TA204" s="32"/>
      <c r="TB204" s="32"/>
      <c r="TC204" s="32"/>
      <c r="TD204" s="32"/>
      <c r="TE204" s="32"/>
      <c r="TF204" s="32"/>
      <c r="TG204" s="32"/>
    </row>
    <row r="205" spans="1:527" s="34" customFormat="1" ht="31.5" x14ac:dyDescent="0.25">
      <c r="A205" s="107" t="s">
        <v>189</v>
      </c>
      <c r="B205" s="73"/>
      <c r="C205" s="73"/>
      <c r="D205" s="76" t="s">
        <v>363</v>
      </c>
      <c r="E205" s="97">
        <f>E207+E208+E209+E210</f>
        <v>5902461</v>
      </c>
      <c r="F205" s="97">
        <f t="shared" ref="F205:P205" si="81">F207+F208+F209+F210</f>
        <v>5902461</v>
      </c>
      <c r="G205" s="97">
        <f t="shared" si="81"/>
        <v>4512300</v>
      </c>
      <c r="H205" s="97">
        <f t="shared" si="81"/>
        <v>68181</v>
      </c>
      <c r="I205" s="97">
        <f t="shared" si="81"/>
        <v>0</v>
      </c>
      <c r="J205" s="97">
        <f t="shared" si="81"/>
        <v>8509988</v>
      </c>
      <c r="K205" s="97">
        <f>K207+K208+K209+K210</f>
        <v>8509988</v>
      </c>
      <c r="L205" s="97">
        <f t="shared" si="81"/>
        <v>0</v>
      </c>
      <c r="M205" s="97">
        <f t="shared" si="81"/>
        <v>0</v>
      </c>
      <c r="N205" s="97">
        <f t="shared" si="81"/>
        <v>0</v>
      </c>
      <c r="O205" s="97">
        <f t="shared" si="81"/>
        <v>8509988</v>
      </c>
      <c r="P205" s="97">
        <f t="shared" si="81"/>
        <v>14412449</v>
      </c>
      <c r="Q205" s="33"/>
      <c r="R205" s="32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33"/>
      <c r="NA205" s="33"/>
      <c r="NB205" s="33"/>
      <c r="NC205" s="33"/>
      <c r="ND205" s="33"/>
      <c r="NE205" s="33"/>
      <c r="NF205" s="33"/>
      <c r="NG205" s="33"/>
      <c r="NH205" s="33"/>
      <c r="NI205" s="33"/>
      <c r="NJ205" s="33"/>
      <c r="NK205" s="33"/>
      <c r="NL205" s="33"/>
      <c r="NM205" s="33"/>
      <c r="NN205" s="33"/>
      <c r="NO205" s="33"/>
      <c r="NP205" s="33"/>
      <c r="NQ205" s="33"/>
      <c r="NR205" s="33"/>
      <c r="NS205" s="33"/>
      <c r="NT205" s="33"/>
      <c r="NU205" s="33"/>
      <c r="NV205" s="33"/>
      <c r="NW205" s="33"/>
      <c r="NX205" s="33"/>
      <c r="NY205" s="33"/>
      <c r="NZ205" s="33"/>
      <c r="OA205" s="33"/>
      <c r="OB205" s="33"/>
      <c r="OC205" s="33"/>
      <c r="OD205" s="33"/>
      <c r="OE205" s="33"/>
      <c r="OF205" s="33"/>
      <c r="OG205" s="33"/>
      <c r="OH205" s="33"/>
      <c r="OI205" s="33"/>
      <c r="OJ205" s="33"/>
      <c r="OK205" s="33"/>
      <c r="OL205" s="33"/>
      <c r="OM205" s="33"/>
      <c r="ON205" s="33"/>
      <c r="OO205" s="33"/>
      <c r="OP205" s="33"/>
      <c r="OQ205" s="33"/>
      <c r="OR205" s="33"/>
      <c r="OS205" s="33"/>
      <c r="OT205" s="33"/>
      <c r="OU205" s="33"/>
      <c r="OV205" s="33"/>
      <c r="OW205" s="33"/>
      <c r="OX205" s="33"/>
      <c r="OY205" s="33"/>
      <c r="OZ205" s="33"/>
      <c r="PA205" s="33"/>
      <c r="PB205" s="33"/>
      <c r="PC205" s="33"/>
      <c r="PD205" s="33"/>
      <c r="PE205" s="33"/>
      <c r="PF205" s="33"/>
      <c r="PG205" s="33"/>
      <c r="PH205" s="33"/>
      <c r="PI205" s="33"/>
      <c r="PJ205" s="33"/>
      <c r="PK205" s="33"/>
      <c r="PL205" s="33"/>
      <c r="PM205" s="33"/>
      <c r="PN205" s="33"/>
      <c r="PO205" s="33"/>
      <c r="PP205" s="33"/>
      <c r="PQ205" s="33"/>
      <c r="PR205" s="33"/>
      <c r="PS205" s="33"/>
      <c r="PT205" s="33"/>
      <c r="PU205" s="33"/>
      <c r="PV205" s="33"/>
      <c r="PW205" s="33"/>
      <c r="PX205" s="33"/>
      <c r="PY205" s="33"/>
      <c r="PZ205" s="33"/>
      <c r="QA205" s="33"/>
      <c r="QB205" s="33"/>
      <c r="QC205" s="33"/>
      <c r="QD205" s="33"/>
      <c r="QE205" s="33"/>
      <c r="QF205" s="33"/>
      <c r="QG205" s="33"/>
      <c r="QH205" s="33"/>
      <c r="QI205" s="33"/>
      <c r="QJ205" s="33"/>
      <c r="QK205" s="33"/>
      <c r="QL205" s="33"/>
      <c r="QM205" s="33"/>
      <c r="QN205" s="33"/>
      <c r="QO205" s="33"/>
      <c r="QP205" s="33"/>
      <c r="QQ205" s="33"/>
      <c r="QR205" s="33"/>
      <c r="QS205" s="33"/>
      <c r="QT205" s="33"/>
      <c r="QU205" s="33"/>
      <c r="QV205" s="33"/>
      <c r="QW205" s="33"/>
      <c r="QX205" s="33"/>
      <c r="QY205" s="33"/>
      <c r="QZ205" s="33"/>
      <c r="RA205" s="33"/>
      <c r="RB205" s="33"/>
      <c r="RC205" s="33"/>
      <c r="RD205" s="33"/>
      <c r="RE205" s="33"/>
      <c r="RF205" s="33"/>
      <c r="RG205" s="33"/>
      <c r="RH205" s="33"/>
      <c r="RI205" s="33"/>
      <c r="RJ205" s="33"/>
      <c r="RK205" s="33"/>
      <c r="RL205" s="33"/>
      <c r="RM205" s="33"/>
      <c r="RN205" s="33"/>
      <c r="RO205" s="33"/>
      <c r="RP205" s="33"/>
      <c r="RQ205" s="33"/>
      <c r="RR205" s="33"/>
      <c r="RS205" s="33"/>
      <c r="RT205" s="33"/>
      <c r="RU205" s="33"/>
      <c r="RV205" s="33"/>
      <c r="RW205" s="33"/>
      <c r="RX205" s="33"/>
      <c r="RY205" s="33"/>
      <c r="RZ205" s="33"/>
      <c r="SA205" s="33"/>
      <c r="SB205" s="33"/>
      <c r="SC205" s="33"/>
      <c r="SD205" s="33"/>
      <c r="SE205" s="33"/>
      <c r="SF205" s="33"/>
      <c r="SG205" s="33"/>
      <c r="SH205" s="33"/>
      <c r="SI205" s="33"/>
      <c r="SJ205" s="33"/>
      <c r="SK205" s="33"/>
      <c r="SL205" s="33"/>
      <c r="SM205" s="33"/>
      <c r="SN205" s="33"/>
      <c r="SO205" s="33"/>
      <c r="SP205" s="33"/>
      <c r="SQ205" s="33"/>
      <c r="SR205" s="33"/>
      <c r="SS205" s="33"/>
      <c r="ST205" s="33"/>
      <c r="SU205" s="33"/>
      <c r="SV205" s="33"/>
      <c r="SW205" s="33"/>
      <c r="SX205" s="33"/>
      <c r="SY205" s="33"/>
      <c r="SZ205" s="33"/>
      <c r="TA205" s="33"/>
      <c r="TB205" s="33"/>
      <c r="TC205" s="33"/>
      <c r="TD205" s="33"/>
      <c r="TE205" s="33"/>
      <c r="TF205" s="33"/>
      <c r="TG205" s="33"/>
    </row>
    <row r="206" spans="1:527" s="34" customFormat="1" ht="141.75" x14ac:dyDescent="0.25">
      <c r="A206" s="107"/>
      <c r="B206" s="73"/>
      <c r="C206" s="73"/>
      <c r="D206" s="144" t="s">
        <v>619</v>
      </c>
      <c r="E206" s="97">
        <f>E211</f>
        <v>0</v>
      </c>
      <c r="F206" s="97">
        <f t="shared" ref="F206:P206" si="82">F211</f>
        <v>0</v>
      </c>
      <c r="G206" s="97">
        <f t="shared" si="82"/>
        <v>0</v>
      </c>
      <c r="H206" s="97">
        <f t="shared" si="82"/>
        <v>0</v>
      </c>
      <c r="I206" s="97">
        <f t="shared" si="82"/>
        <v>0</v>
      </c>
      <c r="J206" s="97">
        <f t="shared" si="82"/>
        <v>6778277.5</v>
      </c>
      <c r="K206" s="97">
        <f t="shared" si="82"/>
        <v>6778277.5</v>
      </c>
      <c r="L206" s="97">
        <f t="shared" si="82"/>
        <v>0</v>
      </c>
      <c r="M206" s="97">
        <f t="shared" si="82"/>
        <v>0</v>
      </c>
      <c r="N206" s="97">
        <f t="shared" si="82"/>
        <v>0</v>
      </c>
      <c r="O206" s="97">
        <f t="shared" si="82"/>
        <v>6778277.5</v>
      </c>
      <c r="P206" s="97">
        <f t="shared" si="82"/>
        <v>6778277.5</v>
      </c>
      <c r="Q206" s="33"/>
      <c r="R206" s="32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</row>
    <row r="207" spans="1:527" s="22" customFormat="1" ht="47.25" x14ac:dyDescent="0.25">
      <c r="A207" s="59" t="s">
        <v>190</v>
      </c>
      <c r="B207" s="92" t="str">
        <f>'дод 7'!A19</f>
        <v>0160</v>
      </c>
      <c r="C207" s="92" t="str">
        <f>'дод 7'!B19</f>
        <v>0111</v>
      </c>
      <c r="D207" s="36" t="s">
        <v>493</v>
      </c>
      <c r="E207" s="98">
        <f>F207+I207</f>
        <v>5718281</v>
      </c>
      <c r="F207" s="98">
        <f>5689700+12000+4281+12300</f>
        <v>5718281</v>
      </c>
      <c r="G207" s="98">
        <f>4491300+21000</f>
        <v>4512300</v>
      </c>
      <c r="H207" s="98">
        <f>51600+4281+12300</f>
        <v>68181</v>
      </c>
      <c r="I207" s="98"/>
      <c r="J207" s="98">
        <f>L207+O207</f>
        <v>0</v>
      </c>
      <c r="K207" s="98">
        <f>12000-12000</f>
        <v>0</v>
      </c>
      <c r="L207" s="98"/>
      <c r="M207" s="98"/>
      <c r="N207" s="98"/>
      <c r="O207" s="98">
        <f>12000-12000</f>
        <v>0</v>
      </c>
      <c r="P207" s="98">
        <f>E207+J207</f>
        <v>5718281</v>
      </c>
      <c r="Q207" s="23"/>
      <c r="R207" s="32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</row>
    <row r="208" spans="1:527" s="22" customFormat="1" ht="63" x14ac:dyDescent="0.25">
      <c r="A208" s="59" t="s">
        <v>334</v>
      </c>
      <c r="B208" s="92">
        <v>3111</v>
      </c>
      <c r="C208" s="92">
        <v>1040</v>
      </c>
      <c r="D208" s="36" t="str">
        <f>'дод 7'!C117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08" s="98">
        <f>F208+I208</f>
        <v>91140</v>
      </c>
      <c r="F208" s="98">
        <f>50000+21140+20000</f>
        <v>91140</v>
      </c>
      <c r="G208" s="98"/>
      <c r="H208" s="98"/>
      <c r="I208" s="98"/>
      <c r="J208" s="98">
        <f t="shared" ref="J208:J211" si="83">L208+O208</f>
        <v>0</v>
      </c>
      <c r="K208" s="98">
        <f>21140-21140</f>
        <v>0</v>
      </c>
      <c r="L208" s="98"/>
      <c r="M208" s="98"/>
      <c r="N208" s="98"/>
      <c r="O208" s="98">
        <f>21140-21140</f>
        <v>0</v>
      </c>
      <c r="P208" s="98">
        <f>E208+J208</f>
        <v>91140</v>
      </c>
      <c r="Q208" s="23"/>
      <c r="R208" s="32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</row>
    <row r="209" spans="1:527" s="22" customFormat="1" ht="31.5" customHeight="1" x14ac:dyDescent="0.25">
      <c r="A209" s="59" t="s">
        <v>191</v>
      </c>
      <c r="B209" s="92" t="str">
        <f>'дод 7'!A118</f>
        <v>3112</v>
      </c>
      <c r="C209" s="92" t="str">
        <f>'дод 7'!B118</f>
        <v>1040</v>
      </c>
      <c r="D209" s="60" t="str">
        <f>'дод 7'!C118</f>
        <v>Заходи державної політики з питань дітей та їх соціального захисту</v>
      </c>
      <c r="E209" s="98">
        <f>F209+I209</f>
        <v>93040</v>
      </c>
      <c r="F209" s="98">
        <f>96240-3200</f>
        <v>93040</v>
      </c>
      <c r="G209" s="98"/>
      <c r="H209" s="98"/>
      <c r="I209" s="98"/>
      <c r="J209" s="98">
        <f t="shared" si="83"/>
        <v>0</v>
      </c>
      <c r="K209" s="98"/>
      <c r="L209" s="98"/>
      <c r="M209" s="98"/>
      <c r="N209" s="98"/>
      <c r="O209" s="98"/>
      <c r="P209" s="98">
        <f>E209+J209</f>
        <v>93040</v>
      </c>
      <c r="Q209" s="23"/>
      <c r="R209" s="32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</row>
    <row r="210" spans="1:527" s="22" customFormat="1" ht="94.5" x14ac:dyDescent="0.25">
      <c r="A210" s="59" t="s">
        <v>437</v>
      </c>
      <c r="B210" s="92">
        <v>6083</v>
      </c>
      <c r="C210" s="59" t="s">
        <v>68</v>
      </c>
      <c r="D210" s="11" t="s">
        <v>438</v>
      </c>
      <c r="E210" s="98">
        <f>F210+I210</f>
        <v>0</v>
      </c>
      <c r="F210" s="98"/>
      <c r="G210" s="98"/>
      <c r="H210" s="98"/>
      <c r="I210" s="98"/>
      <c r="J210" s="98">
        <f t="shared" si="83"/>
        <v>8509988</v>
      </c>
      <c r="K210" s="98">
        <f>30000+3200+11386782-2402628+1305344-2205876.5+393166.5</f>
        <v>8509988</v>
      </c>
      <c r="L210" s="98"/>
      <c r="M210" s="98"/>
      <c r="N210" s="98"/>
      <c r="O210" s="98">
        <f>30000+3200+11386782-2402628+1305344-2205876.5+393166.5</f>
        <v>8509988</v>
      </c>
      <c r="P210" s="98">
        <f>E210+J210</f>
        <v>8509988</v>
      </c>
      <c r="Q210" s="23"/>
      <c r="R210" s="32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</row>
    <row r="211" spans="1:527" s="24" customFormat="1" ht="138.75" customHeight="1" x14ac:dyDescent="0.25">
      <c r="A211" s="83"/>
      <c r="B211" s="110"/>
      <c r="C211" s="83"/>
      <c r="D211" s="89" t="s">
        <v>619</v>
      </c>
      <c r="E211" s="98">
        <f>F211+I211</f>
        <v>0</v>
      </c>
      <c r="F211" s="100"/>
      <c r="G211" s="100"/>
      <c r="H211" s="100"/>
      <c r="I211" s="100"/>
      <c r="J211" s="98">
        <f t="shared" si="83"/>
        <v>6778277.5</v>
      </c>
      <c r="K211" s="100">
        <f>11386782-2402628-2205876.5</f>
        <v>6778277.5</v>
      </c>
      <c r="L211" s="100"/>
      <c r="M211" s="100"/>
      <c r="N211" s="100"/>
      <c r="O211" s="100">
        <f>11386782-2402628-2205876.5</f>
        <v>6778277.5</v>
      </c>
      <c r="P211" s="98">
        <f>E211+J211</f>
        <v>6778277.5</v>
      </c>
      <c r="Q211" s="30"/>
      <c r="R211" s="32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  <c r="IW211" s="30"/>
      <c r="IX211" s="30"/>
      <c r="IY211" s="30"/>
      <c r="IZ211" s="30"/>
      <c r="JA211" s="30"/>
      <c r="JB211" s="30"/>
      <c r="JC211" s="30"/>
      <c r="JD211" s="30"/>
      <c r="JE211" s="30"/>
      <c r="JF211" s="30"/>
      <c r="JG211" s="30"/>
      <c r="JH211" s="30"/>
      <c r="JI211" s="30"/>
      <c r="JJ211" s="30"/>
      <c r="JK211" s="30"/>
      <c r="JL211" s="30"/>
      <c r="JM211" s="30"/>
      <c r="JN211" s="30"/>
      <c r="JO211" s="30"/>
      <c r="JP211" s="30"/>
      <c r="JQ211" s="30"/>
      <c r="JR211" s="30"/>
      <c r="JS211" s="30"/>
      <c r="JT211" s="30"/>
      <c r="JU211" s="30"/>
      <c r="JV211" s="30"/>
      <c r="JW211" s="30"/>
      <c r="JX211" s="30"/>
      <c r="JY211" s="30"/>
      <c r="JZ211" s="30"/>
      <c r="KA211" s="30"/>
      <c r="KB211" s="30"/>
      <c r="KC211" s="30"/>
      <c r="KD211" s="30"/>
      <c r="KE211" s="30"/>
      <c r="KF211" s="30"/>
      <c r="KG211" s="30"/>
      <c r="KH211" s="30"/>
      <c r="KI211" s="30"/>
      <c r="KJ211" s="30"/>
      <c r="KK211" s="30"/>
      <c r="KL211" s="30"/>
      <c r="KM211" s="30"/>
      <c r="KN211" s="30"/>
      <c r="KO211" s="30"/>
      <c r="KP211" s="30"/>
      <c r="KQ211" s="30"/>
      <c r="KR211" s="30"/>
      <c r="KS211" s="30"/>
      <c r="KT211" s="30"/>
      <c r="KU211" s="30"/>
      <c r="KV211" s="30"/>
      <c r="KW211" s="30"/>
      <c r="KX211" s="30"/>
      <c r="KY211" s="30"/>
      <c r="KZ211" s="30"/>
      <c r="LA211" s="30"/>
      <c r="LB211" s="30"/>
      <c r="LC211" s="30"/>
      <c r="LD211" s="30"/>
      <c r="LE211" s="30"/>
      <c r="LF211" s="30"/>
      <c r="LG211" s="30"/>
      <c r="LH211" s="30"/>
      <c r="LI211" s="30"/>
      <c r="LJ211" s="30"/>
      <c r="LK211" s="30"/>
      <c r="LL211" s="30"/>
      <c r="LM211" s="30"/>
      <c r="LN211" s="30"/>
      <c r="LO211" s="30"/>
      <c r="LP211" s="30"/>
      <c r="LQ211" s="30"/>
      <c r="LR211" s="30"/>
      <c r="LS211" s="30"/>
      <c r="LT211" s="30"/>
      <c r="LU211" s="30"/>
      <c r="LV211" s="30"/>
      <c r="LW211" s="30"/>
      <c r="LX211" s="30"/>
      <c r="LY211" s="30"/>
      <c r="LZ211" s="30"/>
      <c r="MA211" s="30"/>
      <c r="MB211" s="30"/>
      <c r="MC211" s="30"/>
      <c r="MD211" s="30"/>
      <c r="ME211" s="30"/>
      <c r="MF211" s="30"/>
      <c r="MG211" s="30"/>
      <c r="MH211" s="30"/>
      <c r="MI211" s="30"/>
      <c r="MJ211" s="30"/>
      <c r="MK211" s="30"/>
      <c r="ML211" s="30"/>
      <c r="MM211" s="30"/>
      <c r="MN211" s="30"/>
      <c r="MO211" s="30"/>
      <c r="MP211" s="30"/>
      <c r="MQ211" s="30"/>
      <c r="MR211" s="30"/>
      <c r="MS211" s="30"/>
      <c r="MT211" s="30"/>
      <c r="MU211" s="30"/>
      <c r="MV211" s="30"/>
      <c r="MW211" s="30"/>
      <c r="MX211" s="30"/>
      <c r="MY211" s="30"/>
      <c r="MZ211" s="30"/>
      <c r="NA211" s="30"/>
      <c r="NB211" s="30"/>
      <c r="NC211" s="30"/>
      <c r="ND211" s="30"/>
      <c r="NE211" s="30"/>
      <c r="NF211" s="30"/>
      <c r="NG211" s="30"/>
      <c r="NH211" s="30"/>
      <c r="NI211" s="30"/>
      <c r="NJ211" s="30"/>
      <c r="NK211" s="30"/>
      <c r="NL211" s="30"/>
      <c r="NM211" s="30"/>
      <c r="NN211" s="30"/>
      <c r="NO211" s="30"/>
      <c r="NP211" s="30"/>
      <c r="NQ211" s="30"/>
      <c r="NR211" s="30"/>
      <c r="NS211" s="30"/>
      <c r="NT211" s="30"/>
      <c r="NU211" s="30"/>
      <c r="NV211" s="30"/>
      <c r="NW211" s="30"/>
      <c r="NX211" s="30"/>
      <c r="NY211" s="30"/>
      <c r="NZ211" s="30"/>
      <c r="OA211" s="30"/>
      <c r="OB211" s="30"/>
      <c r="OC211" s="30"/>
      <c r="OD211" s="30"/>
      <c r="OE211" s="30"/>
      <c r="OF211" s="30"/>
      <c r="OG211" s="30"/>
      <c r="OH211" s="30"/>
      <c r="OI211" s="30"/>
      <c r="OJ211" s="30"/>
      <c r="OK211" s="30"/>
      <c r="OL211" s="30"/>
      <c r="OM211" s="30"/>
      <c r="ON211" s="30"/>
      <c r="OO211" s="30"/>
      <c r="OP211" s="30"/>
      <c r="OQ211" s="30"/>
      <c r="OR211" s="30"/>
      <c r="OS211" s="30"/>
      <c r="OT211" s="30"/>
      <c r="OU211" s="30"/>
      <c r="OV211" s="30"/>
      <c r="OW211" s="30"/>
      <c r="OX211" s="30"/>
      <c r="OY211" s="30"/>
      <c r="OZ211" s="30"/>
      <c r="PA211" s="30"/>
      <c r="PB211" s="30"/>
      <c r="PC211" s="30"/>
      <c r="PD211" s="30"/>
      <c r="PE211" s="30"/>
      <c r="PF211" s="30"/>
      <c r="PG211" s="30"/>
      <c r="PH211" s="30"/>
      <c r="PI211" s="30"/>
      <c r="PJ211" s="30"/>
      <c r="PK211" s="30"/>
      <c r="PL211" s="30"/>
      <c r="PM211" s="30"/>
      <c r="PN211" s="30"/>
      <c r="PO211" s="30"/>
      <c r="PP211" s="30"/>
      <c r="PQ211" s="30"/>
      <c r="PR211" s="30"/>
      <c r="PS211" s="30"/>
      <c r="PT211" s="30"/>
      <c r="PU211" s="30"/>
      <c r="PV211" s="30"/>
      <c r="PW211" s="30"/>
      <c r="PX211" s="30"/>
      <c r="PY211" s="30"/>
      <c r="PZ211" s="30"/>
      <c r="QA211" s="30"/>
      <c r="QB211" s="30"/>
      <c r="QC211" s="30"/>
      <c r="QD211" s="30"/>
      <c r="QE211" s="30"/>
      <c r="QF211" s="30"/>
      <c r="QG211" s="30"/>
      <c r="QH211" s="30"/>
      <c r="QI211" s="30"/>
      <c r="QJ211" s="30"/>
      <c r="QK211" s="30"/>
      <c r="QL211" s="30"/>
      <c r="QM211" s="30"/>
      <c r="QN211" s="30"/>
      <c r="QO211" s="30"/>
      <c r="QP211" s="30"/>
      <c r="QQ211" s="30"/>
      <c r="QR211" s="30"/>
      <c r="QS211" s="30"/>
      <c r="QT211" s="30"/>
      <c r="QU211" s="30"/>
      <c r="QV211" s="30"/>
      <c r="QW211" s="30"/>
      <c r="QX211" s="30"/>
      <c r="QY211" s="30"/>
      <c r="QZ211" s="30"/>
      <c r="RA211" s="30"/>
      <c r="RB211" s="30"/>
      <c r="RC211" s="30"/>
      <c r="RD211" s="30"/>
      <c r="RE211" s="30"/>
      <c r="RF211" s="30"/>
      <c r="RG211" s="30"/>
      <c r="RH211" s="30"/>
      <c r="RI211" s="30"/>
      <c r="RJ211" s="30"/>
      <c r="RK211" s="30"/>
      <c r="RL211" s="30"/>
      <c r="RM211" s="30"/>
      <c r="RN211" s="30"/>
      <c r="RO211" s="30"/>
      <c r="RP211" s="30"/>
      <c r="RQ211" s="30"/>
      <c r="RR211" s="30"/>
      <c r="RS211" s="30"/>
      <c r="RT211" s="30"/>
      <c r="RU211" s="30"/>
      <c r="RV211" s="30"/>
      <c r="RW211" s="30"/>
      <c r="RX211" s="30"/>
      <c r="RY211" s="30"/>
      <c r="RZ211" s="30"/>
      <c r="SA211" s="30"/>
      <c r="SB211" s="30"/>
      <c r="SC211" s="30"/>
      <c r="SD211" s="30"/>
      <c r="SE211" s="30"/>
      <c r="SF211" s="30"/>
      <c r="SG211" s="30"/>
      <c r="SH211" s="30"/>
      <c r="SI211" s="30"/>
      <c r="SJ211" s="30"/>
      <c r="SK211" s="30"/>
      <c r="SL211" s="30"/>
      <c r="SM211" s="30"/>
      <c r="SN211" s="30"/>
      <c r="SO211" s="30"/>
      <c r="SP211" s="30"/>
      <c r="SQ211" s="30"/>
      <c r="SR211" s="30"/>
      <c r="SS211" s="30"/>
      <c r="ST211" s="30"/>
      <c r="SU211" s="30"/>
      <c r="SV211" s="30"/>
      <c r="SW211" s="30"/>
      <c r="SX211" s="30"/>
      <c r="SY211" s="30"/>
      <c r="SZ211" s="30"/>
      <c r="TA211" s="30"/>
      <c r="TB211" s="30"/>
      <c r="TC211" s="30"/>
      <c r="TD211" s="30"/>
      <c r="TE211" s="30"/>
      <c r="TF211" s="30"/>
      <c r="TG211" s="30"/>
    </row>
    <row r="212" spans="1:527" s="27" customFormat="1" ht="22.5" customHeight="1" x14ac:dyDescent="0.25">
      <c r="A212" s="109" t="s">
        <v>26</v>
      </c>
      <c r="B212" s="111"/>
      <c r="C212" s="111"/>
      <c r="D212" s="106" t="s">
        <v>335</v>
      </c>
      <c r="E212" s="94">
        <f>E213</f>
        <v>82887057</v>
      </c>
      <c r="F212" s="94">
        <f t="shared" ref="F212:J212" si="84">F213</f>
        <v>82887057</v>
      </c>
      <c r="G212" s="94">
        <f t="shared" si="84"/>
        <v>62264330</v>
      </c>
      <c r="H212" s="94">
        <f t="shared" si="84"/>
        <v>2956627</v>
      </c>
      <c r="I212" s="94">
        <f t="shared" si="84"/>
        <v>0</v>
      </c>
      <c r="J212" s="94">
        <f t="shared" si="84"/>
        <v>5080600</v>
      </c>
      <c r="K212" s="94">
        <f t="shared" ref="K212" si="85">K213</f>
        <v>2320500</v>
      </c>
      <c r="L212" s="94">
        <f t="shared" ref="L212" si="86">L213</f>
        <v>2756970</v>
      </c>
      <c r="M212" s="94">
        <f t="shared" ref="M212" si="87">M213</f>
        <v>2239004</v>
      </c>
      <c r="N212" s="94">
        <f t="shared" ref="N212" si="88">N213</f>
        <v>3300</v>
      </c>
      <c r="O212" s="94">
        <f t="shared" ref="O212:P212" si="89">O213</f>
        <v>2323630</v>
      </c>
      <c r="P212" s="94">
        <f t="shared" si="89"/>
        <v>87967657</v>
      </c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2"/>
      <c r="GE212" s="32"/>
      <c r="GF212" s="32"/>
      <c r="GG212" s="32"/>
      <c r="GH212" s="32"/>
      <c r="GI212" s="32"/>
      <c r="GJ212" s="32"/>
      <c r="GK212" s="32"/>
      <c r="GL212" s="32"/>
      <c r="GM212" s="32"/>
      <c r="GN212" s="32"/>
      <c r="GO212" s="32"/>
      <c r="GP212" s="32"/>
      <c r="GQ212" s="32"/>
      <c r="GR212" s="32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  <c r="IC212" s="32"/>
      <c r="ID212" s="32"/>
      <c r="IE212" s="32"/>
      <c r="IF212" s="32"/>
      <c r="IG212" s="32"/>
      <c r="IH212" s="32"/>
      <c r="II212" s="32"/>
      <c r="IJ212" s="32"/>
      <c r="IK212" s="32"/>
      <c r="IL212" s="32"/>
      <c r="IM212" s="32"/>
      <c r="IN212" s="32"/>
      <c r="IO212" s="32"/>
      <c r="IP212" s="32"/>
      <c r="IQ212" s="32"/>
      <c r="IR212" s="32"/>
      <c r="IS212" s="32"/>
      <c r="IT212" s="32"/>
      <c r="IU212" s="32"/>
      <c r="IV212" s="32"/>
      <c r="IW212" s="32"/>
      <c r="IX212" s="32"/>
      <c r="IY212" s="32"/>
      <c r="IZ212" s="32"/>
      <c r="JA212" s="32"/>
      <c r="JB212" s="32"/>
      <c r="JC212" s="32"/>
      <c r="JD212" s="32"/>
      <c r="JE212" s="32"/>
      <c r="JF212" s="32"/>
      <c r="JG212" s="32"/>
      <c r="JH212" s="32"/>
      <c r="JI212" s="32"/>
      <c r="JJ212" s="32"/>
      <c r="JK212" s="32"/>
      <c r="JL212" s="32"/>
      <c r="JM212" s="32"/>
      <c r="JN212" s="32"/>
      <c r="JO212" s="32"/>
      <c r="JP212" s="32"/>
      <c r="JQ212" s="32"/>
      <c r="JR212" s="32"/>
      <c r="JS212" s="32"/>
      <c r="JT212" s="32"/>
      <c r="JU212" s="32"/>
      <c r="JV212" s="32"/>
      <c r="JW212" s="32"/>
      <c r="JX212" s="32"/>
      <c r="JY212" s="32"/>
      <c r="JZ212" s="32"/>
      <c r="KA212" s="32"/>
      <c r="KB212" s="32"/>
      <c r="KC212" s="32"/>
      <c r="KD212" s="32"/>
      <c r="KE212" s="32"/>
      <c r="KF212" s="32"/>
      <c r="KG212" s="32"/>
      <c r="KH212" s="32"/>
      <c r="KI212" s="32"/>
      <c r="KJ212" s="32"/>
      <c r="KK212" s="32"/>
      <c r="KL212" s="32"/>
      <c r="KM212" s="32"/>
      <c r="KN212" s="32"/>
      <c r="KO212" s="32"/>
      <c r="KP212" s="32"/>
      <c r="KQ212" s="32"/>
      <c r="KR212" s="32"/>
      <c r="KS212" s="32"/>
      <c r="KT212" s="32"/>
      <c r="KU212" s="32"/>
      <c r="KV212" s="32"/>
      <c r="KW212" s="32"/>
      <c r="KX212" s="32"/>
      <c r="KY212" s="32"/>
      <c r="KZ212" s="32"/>
      <c r="LA212" s="32"/>
      <c r="LB212" s="32"/>
      <c r="LC212" s="32"/>
      <c r="LD212" s="32"/>
      <c r="LE212" s="32"/>
      <c r="LF212" s="32"/>
      <c r="LG212" s="32"/>
      <c r="LH212" s="32"/>
      <c r="LI212" s="32"/>
      <c r="LJ212" s="32"/>
      <c r="LK212" s="32"/>
      <c r="LL212" s="32"/>
      <c r="LM212" s="32"/>
      <c r="LN212" s="32"/>
      <c r="LO212" s="32"/>
      <c r="LP212" s="32"/>
      <c r="LQ212" s="32"/>
      <c r="LR212" s="32"/>
      <c r="LS212" s="32"/>
      <c r="LT212" s="32"/>
      <c r="LU212" s="32"/>
      <c r="LV212" s="32"/>
      <c r="LW212" s="32"/>
      <c r="LX212" s="32"/>
      <c r="LY212" s="32"/>
      <c r="LZ212" s="32"/>
      <c r="MA212" s="32"/>
      <c r="MB212" s="32"/>
      <c r="MC212" s="32"/>
      <c r="MD212" s="32"/>
      <c r="ME212" s="32"/>
      <c r="MF212" s="32"/>
      <c r="MG212" s="32"/>
      <c r="MH212" s="32"/>
      <c r="MI212" s="32"/>
      <c r="MJ212" s="32"/>
      <c r="MK212" s="32"/>
      <c r="ML212" s="32"/>
      <c r="MM212" s="32"/>
      <c r="MN212" s="32"/>
      <c r="MO212" s="32"/>
      <c r="MP212" s="32"/>
      <c r="MQ212" s="32"/>
      <c r="MR212" s="32"/>
      <c r="MS212" s="32"/>
      <c r="MT212" s="32"/>
      <c r="MU212" s="32"/>
      <c r="MV212" s="32"/>
      <c r="MW212" s="32"/>
      <c r="MX212" s="32"/>
      <c r="MY212" s="32"/>
      <c r="MZ212" s="32"/>
      <c r="NA212" s="32"/>
      <c r="NB212" s="32"/>
      <c r="NC212" s="32"/>
      <c r="ND212" s="32"/>
      <c r="NE212" s="32"/>
      <c r="NF212" s="32"/>
      <c r="NG212" s="32"/>
      <c r="NH212" s="32"/>
      <c r="NI212" s="32"/>
      <c r="NJ212" s="32"/>
      <c r="NK212" s="32"/>
      <c r="NL212" s="32"/>
      <c r="NM212" s="32"/>
      <c r="NN212" s="32"/>
      <c r="NO212" s="32"/>
      <c r="NP212" s="32"/>
      <c r="NQ212" s="32"/>
      <c r="NR212" s="32"/>
      <c r="NS212" s="32"/>
      <c r="NT212" s="32"/>
      <c r="NU212" s="32"/>
      <c r="NV212" s="32"/>
      <c r="NW212" s="32"/>
      <c r="NX212" s="32"/>
      <c r="NY212" s="32"/>
      <c r="NZ212" s="32"/>
      <c r="OA212" s="32"/>
      <c r="OB212" s="32"/>
      <c r="OC212" s="32"/>
      <c r="OD212" s="32"/>
      <c r="OE212" s="32"/>
      <c r="OF212" s="32"/>
      <c r="OG212" s="32"/>
      <c r="OH212" s="32"/>
      <c r="OI212" s="32"/>
      <c r="OJ212" s="32"/>
      <c r="OK212" s="32"/>
      <c r="OL212" s="32"/>
      <c r="OM212" s="32"/>
      <c r="ON212" s="32"/>
      <c r="OO212" s="32"/>
      <c r="OP212" s="32"/>
      <c r="OQ212" s="32"/>
      <c r="OR212" s="32"/>
      <c r="OS212" s="32"/>
      <c r="OT212" s="32"/>
      <c r="OU212" s="32"/>
      <c r="OV212" s="32"/>
      <c r="OW212" s="32"/>
      <c r="OX212" s="32"/>
      <c r="OY212" s="32"/>
      <c r="OZ212" s="32"/>
      <c r="PA212" s="32"/>
      <c r="PB212" s="32"/>
      <c r="PC212" s="32"/>
      <c r="PD212" s="32"/>
      <c r="PE212" s="32"/>
      <c r="PF212" s="32"/>
      <c r="PG212" s="32"/>
      <c r="PH212" s="32"/>
      <c r="PI212" s="32"/>
      <c r="PJ212" s="32"/>
      <c r="PK212" s="32"/>
      <c r="PL212" s="32"/>
      <c r="PM212" s="32"/>
      <c r="PN212" s="32"/>
      <c r="PO212" s="32"/>
      <c r="PP212" s="32"/>
      <c r="PQ212" s="32"/>
      <c r="PR212" s="32"/>
      <c r="PS212" s="32"/>
      <c r="PT212" s="32"/>
      <c r="PU212" s="32"/>
      <c r="PV212" s="32"/>
      <c r="PW212" s="32"/>
      <c r="PX212" s="32"/>
      <c r="PY212" s="32"/>
      <c r="PZ212" s="32"/>
      <c r="QA212" s="32"/>
      <c r="QB212" s="32"/>
      <c r="QC212" s="32"/>
      <c r="QD212" s="32"/>
      <c r="QE212" s="32"/>
      <c r="QF212" s="32"/>
      <c r="QG212" s="32"/>
      <c r="QH212" s="32"/>
      <c r="QI212" s="32"/>
      <c r="QJ212" s="32"/>
      <c r="QK212" s="32"/>
      <c r="QL212" s="32"/>
      <c r="QM212" s="32"/>
      <c r="QN212" s="32"/>
      <c r="QO212" s="32"/>
      <c r="QP212" s="32"/>
      <c r="QQ212" s="32"/>
      <c r="QR212" s="32"/>
      <c r="QS212" s="32"/>
      <c r="QT212" s="32"/>
      <c r="QU212" s="32"/>
      <c r="QV212" s="32"/>
      <c r="QW212" s="32"/>
      <c r="QX212" s="32"/>
      <c r="QY212" s="32"/>
      <c r="QZ212" s="32"/>
      <c r="RA212" s="32"/>
      <c r="RB212" s="32"/>
      <c r="RC212" s="32"/>
      <c r="RD212" s="32"/>
      <c r="RE212" s="32"/>
      <c r="RF212" s="32"/>
      <c r="RG212" s="32"/>
      <c r="RH212" s="32"/>
      <c r="RI212" s="32"/>
      <c r="RJ212" s="32"/>
      <c r="RK212" s="32"/>
      <c r="RL212" s="32"/>
      <c r="RM212" s="32"/>
      <c r="RN212" s="32"/>
      <c r="RO212" s="32"/>
      <c r="RP212" s="32"/>
      <c r="RQ212" s="32"/>
      <c r="RR212" s="32"/>
      <c r="RS212" s="32"/>
      <c r="RT212" s="32"/>
      <c r="RU212" s="32"/>
      <c r="RV212" s="32"/>
      <c r="RW212" s="32"/>
      <c r="RX212" s="32"/>
      <c r="RY212" s="32"/>
      <c r="RZ212" s="32"/>
      <c r="SA212" s="32"/>
      <c r="SB212" s="32"/>
      <c r="SC212" s="32"/>
      <c r="SD212" s="32"/>
      <c r="SE212" s="32"/>
      <c r="SF212" s="32"/>
      <c r="SG212" s="32"/>
      <c r="SH212" s="32"/>
      <c r="SI212" s="32"/>
      <c r="SJ212" s="32"/>
      <c r="SK212" s="32"/>
      <c r="SL212" s="32"/>
      <c r="SM212" s="32"/>
      <c r="SN212" s="32"/>
      <c r="SO212" s="32"/>
      <c r="SP212" s="32"/>
      <c r="SQ212" s="32"/>
      <c r="SR212" s="32"/>
      <c r="SS212" s="32"/>
      <c r="ST212" s="32"/>
      <c r="SU212" s="32"/>
      <c r="SV212" s="32"/>
      <c r="SW212" s="32"/>
      <c r="SX212" s="32"/>
      <c r="SY212" s="32"/>
      <c r="SZ212" s="32"/>
      <c r="TA212" s="32"/>
      <c r="TB212" s="32"/>
      <c r="TC212" s="32"/>
      <c r="TD212" s="32"/>
      <c r="TE212" s="32"/>
      <c r="TF212" s="32"/>
      <c r="TG212" s="32"/>
    </row>
    <row r="213" spans="1:527" s="34" customFormat="1" ht="21.75" customHeight="1" x14ac:dyDescent="0.25">
      <c r="A213" s="95" t="s">
        <v>192</v>
      </c>
      <c r="B213" s="108"/>
      <c r="C213" s="108"/>
      <c r="D213" s="76" t="s">
        <v>335</v>
      </c>
      <c r="E213" s="97">
        <f>E214+E215+E216+E218+E219++E221+E217+E220+E222</f>
        <v>82887057</v>
      </c>
      <c r="F213" s="97">
        <f t="shared" ref="F213:P213" si="90">F214+F215+F216+F218+F219++F221+F217+F220+F222</f>
        <v>82887057</v>
      </c>
      <c r="G213" s="97">
        <f t="shared" si="90"/>
        <v>62264330</v>
      </c>
      <c r="H213" s="97">
        <f t="shared" si="90"/>
        <v>2956627</v>
      </c>
      <c r="I213" s="97">
        <f t="shared" si="90"/>
        <v>0</v>
      </c>
      <c r="J213" s="97">
        <f t="shared" si="90"/>
        <v>5080600</v>
      </c>
      <c r="K213" s="97">
        <f t="shared" si="90"/>
        <v>2320500</v>
      </c>
      <c r="L213" s="97">
        <f t="shared" si="90"/>
        <v>2756970</v>
      </c>
      <c r="M213" s="97">
        <f t="shared" si="90"/>
        <v>2239004</v>
      </c>
      <c r="N213" s="97">
        <f t="shared" si="90"/>
        <v>3300</v>
      </c>
      <c r="O213" s="97">
        <f t="shared" si="90"/>
        <v>2323630</v>
      </c>
      <c r="P213" s="97">
        <f t="shared" si="90"/>
        <v>87967657</v>
      </c>
      <c r="Q213" s="33"/>
      <c r="R213" s="32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  <c r="GE213" s="33"/>
      <c r="GF213" s="33"/>
      <c r="GG213" s="33"/>
      <c r="GH213" s="33"/>
      <c r="GI213" s="33"/>
      <c r="GJ213" s="33"/>
      <c r="GK213" s="33"/>
      <c r="GL213" s="33"/>
      <c r="GM213" s="33"/>
      <c r="GN213" s="33"/>
      <c r="GO213" s="33"/>
      <c r="GP213" s="33"/>
      <c r="GQ213" s="33"/>
      <c r="GR213" s="33"/>
      <c r="GS213" s="33"/>
      <c r="GT213" s="33"/>
      <c r="GU213" s="33"/>
      <c r="GV213" s="33"/>
      <c r="GW213" s="33"/>
      <c r="GX213" s="33"/>
      <c r="GY213" s="33"/>
      <c r="GZ213" s="33"/>
      <c r="HA213" s="33"/>
      <c r="HB213" s="33"/>
      <c r="HC213" s="33"/>
      <c r="HD213" s="33"/>
      <c r="HE213" s="33"/>
      <c r="HF213" s="33"/>
      <c r="HG213" s="33"/>
      <c r="HH213" s="33"/>
      <c r="HI213" s="33"/>
      <c r="HJ213" s="33"/>
      <c r="HK213" s="33"/>
      <c r="HL213" s="33"/>
      <c r="HM213" s="33"/>
      <c r="HN213" s="33"/>
      <c r="HO213" s="33"/>
      <c r="HP213" s="33"/>
      <c r="HQ213" s="33"/>
      <c r="HR213" s="33"/>
      <c r="HS213" s="33"/>
      <c r="HT213" s="33"/>
      <c r="HU213" s="33"/>
      <c r="HV213" s="33"/>
      <c r="HW213" s="33"/>
      <c r="HX213" s="33"/>
      <c r="HY213" s="33"/>
      <c r="HZ213" s="33"/>
      <c r="IA213" s="33"/>
      <c r="IB213" s="33"/>
      <c r="IC213" s="33"/>
      <c r="ID213" s="33"/>
      <c r="IE213" s="33"/>
      <c r="IF213" s="33"/>
      <c r="IG213" s="33"/>
      <c r="IH213" s="33"/>
      <c r="II213" s="33"/>
      <c r="IJ213" s="33"/>
      <c r="IK213" s="33"/>
      <c r="IL213" s="33"/>
      <c r="IM213" s="33"/>
      <c r="IN213" s="33"/>
      <c r="IO213" s="33"/>
      <c r="IP213" s="33"/>
      <c r="IQ213" s="33"/>
      <c r="IR213" s="33"/>
      <c r="IS213" s="33"/>
      <c r="IT213" s="33"/>
      <c r="IU213" s="33"/>
      <c r="IV213" s="33"/>
      <c r="IW213" s="33"/>
      <c r="IX213" s="33"/>
      <c r="IY213" s="33"/>
      <c r="IZ213" s="33"/>
      <c r="JA213" s="33"/>
      <c r="JB213" s="33"/>
      <c r="JC213" s="33"/>
      <c r="JD213" s="33"/>
      <c r="JE213" s="33"/>
      <c r="JF213" s="33"/>
      <c r="JG213" s="33"/>
      <c r="JH213" s="33"/>
      <c r="JI213" s="33"/>
      <c r="JJ213" s="33"/>
      <c r="JK213" s="33"/>
      <c r="JL213" s="33"/>
      <c r="JM213" s="33"/>
      <c r="JN213" s="33"/>
      <c r="JO213" s="33"/>
      <c r="JP213" s="33"/>
      <c r="JQ213" s="33"/>
      <c r="JR213" s="33"/>
      <c r="JS213" s="33"/>
      <c r="JT213" s="33"/>
      <c r="JU213" s="33"/>
      <c r="JV213" s="33"/>
      <c r="JW213" s="33"/>
      <c r="JX213" s="33"/>
      <c r="JY213" s="33"/>
      <c r="JZ213" s="33"/>
      <c r="KA213" s="33"/>
      <c r="KB213" s="33"/>
      <c r="KC213" s="33"/>
      <c r="KD213" s="33"/>
      <c r="KE213" s="33"/>
      <c r="KF213" s="33"/>
      <c r="KG213" s="33"/>
      <c r="KH213" s="33"/>
      <c r="KI213" s="33"/>
      <c r="KJ213" s="33"/>
      <c r="KK213" s="33"/>
      <c r="KL213" s="33"/>
      <c r="KM213" s="33"/>
      <c r="KN213" s="33"/>
      <c r="KO213" s="33"/>
      <c r="KP213" s="33"/>
      <c r="KQ213" s="33"/>
      <c r="KR213" s="33"/>
      <c r="KS213" s="33"/>
      <c r="KT213" s="33"/>
      <c r="KU213" s="33"/>
      <c r="KV213" s="33"/>
      <c r="KW213" s="33"/>
      <c r="KX213" s="33"/>
      <c r="KY213" s="33"/>
      <c r="KZ213" s="33"/>
      <c r="LA213" s="33"/>
      <c r="LB213" s="33"/>
      <c r="LC213" s="33"/>
      <c r="LD213" s="33"/>
      <c r="LE213" s="33"/>
      <c r="LF213" s="33"/>
      <c r="LG213" s="33"/>
      <c r="LH213" s="33"/>
      <c r="LI213" s="33"/>
      <c r="LJ213" s="33"/>
      <c r="LK213" s="33"/>
      <c r="LL213" s="33"/>
      <c r="LM213" s="33"/>
      <c r="LN213" s="33"/>
      <c r="LO213" s="33"/>
      <c r="LP213" s="33"/>
      <c r="LQ213" s="33"/>
      <c r="LR213" s="33"/>
      <c r="LS213" s="33"/>
      <c r="LT213" s="33"/>
      <c r="LU213" s="33"/>
      <c r="LV213" s="33"/>
      <c r="LW213" s="33"/>
      <c r="LX213" s="33"/>
      <c r="LY213" s="33"/>
      <c r="LZ213" s="33"/>
      <c r="MA213" s="33"/>
      <c r="MB213" s="33"/>
      <c r="MC213" s="33"/>
      <c r="MD213" s="33"/>
      <c r="ME213" s="33"/>
      <c r="MF213" s="33"/>
      <c r="MG213" s="33"/>
      <c r="MH213" s="33"/>
      <c r="MI213" s="33"/>
      <c r="MJ213" s="33"/>
      <c r="MK213" s="33"/>
      <c r="ML213" s="33"/>
      <c r="MM213" s="33"/>
      <c r="MN213" s="33"/>
      <c r="MO213" s="33"/>
      <c r="MP213" s="33"/>
      <c r="MQ213" s="33"/>
      <c r="MR213" s="33"/>
      <c r="MS213" s="33"/>
      <c r="MT213" s="33"/>
      <c r="MU213" s="33"/>
      <c r="MV213" s="33"/>
      <c r="MW213" s="33"/>
      <c r="MX213" s="33"/>
      <c r="MY213" s="33"/>
      <c r="MZ213" s="33"/>
      <c r="NA213" s="33"/>
      <c r="NB213" s="33"/>
      <c r="NC213" s="33"/>
      <c r="ND213" s="33"/>
      <c r="NE213" s="33"/>
      <c r="NF213" s="33"/>
      <c r="NG213" s="33"/>
      <c r="NH213" s="33"/>
      <c r="NI213" s="33"/>
      <c r="NJ213" s="33"/>
      <c r="NK213" s="33"/>
      <c r="NL213" s="33"/>
      <c r="NM213" s="33"/>
      <c r="NN213" s="33"/>
      <c r="NO213" s="33"/>
      <c r="NP213" s="33"/>
      <c r="NQ213" s="33"/>
      <c r="NR213" s="33"/>
      <c r="NS213" s="33"/>
      <c r="NT213" s="33"/>
      <c r="NU213" s="33"/>
      <c r="NV213" s="33"/>
      <c r="NW213" s="33"/>
      <c r="NX213" s="33"/>
      <c r="NY213" s="33"/>
      <c r="NZ213" s="33"/>
      <c r="OA213" s="33"/>
      <c r="OB213" s="33"/>
      <c r="OC213" s="33"/>
      <c r="OD213" s="33"/>
      <c r="OE213" s="33"/>
      <c r="OF213" s="33"/>
      <c r="OG213" s="33"/>
      <c r="OH213" s="33"/>
      <c r="OI213" s="33"/>
      <c r="OJ213" s="33"/>
      <c r="OK213" s="33"/>
      <c r="OL213" s="33"/>
      <c r="OM213" s="33"/>
      <c r="ON213" s="33"/>
      <c r="OO213" s="33"/>
      <c r="OP213" s="33"/>
      <c r="OQ213" s="33"/>
      <c r="OR213" s="33"/>
      <c r="OS213" s="33"/>
      <c r="OT213" s="33"/>
      <c r="OU213" s="33"/>
      <c r="OV213" s="33"/>
      <c r="OW213" s="33"/>
      <c r="OX213" s="33"/>
      <c r="OY213" s="33"/>
      <c r="OZ213" s="33"/>
      <c r="PA213" s="33"/>
      <c r="PB213" s="33"/>
      <c r="PC213" s="33"/>
      <c r="PD213" s="33"/>
      <c r="PE213" s="33"/>
      <c r="PF213" s="33"/>
      <c r="PG213" s="33"/>
      <c r="PH213" s="33"/>
      <c r="PI213" s="33"/>
      <c r="PJ213" s="33"/>
      <c r="PK213" s="33"/>
      <c r="PL213" s="33"/>
      <c r="PM213" s="33"/>
      <c r="PN213" s="33"/>
      <c r="PO213" s="33"/>
      <c r="PP213" s="33"/>
      <c r="PQ213" s="33"/>
      <c r="PR213" s="33"/>
      <c r="PS213" s="33"/>
      <c r="PT213" s="33"/>
      <c r="PU213" s="33"/>
      <c r="PV213" s="33"/>
      <c r="PW213" s="33"/>
      <c r="PX213" s="33"/>
      <c r="PY213" s="33"/>
      <c r="PZ213" s="33"/>
      <c r="QA213" s="33"/>
      <c r="QB213" s="33"/>
      <c r="QC213" s="33"/>
      <c r="QD213" s="33"/>
      <c r="QE213" s="33"/>
      <c r="QF213" s="33"/>
      <c r="QG213" s="33"/>
      <c r="QH213" s="33"/>
      <c r="QI213" s="33"/>
      <c r="QJ213" s="33"/>
      <c r="QK213" s="33"/>
      <c r="QL213" s="33"/>
      <c r="QM213" s="33"/>
      <c r="QN213" s="33"/>
      <c r="QO213" s="33"/>
      <c r="QP213" s="33"/>
      <c r="QQ213" s="33"/>
      <c r="QR213" s="33"/>
      <c r="QS213" s="33"/>
      <c r="QT213" s="33"/>
      <c r="QU213" s="33"/>
      <c r="QV213" s="33"/>
      <c r="QW213" s="33"/>
      <c r="QX213" s="33"/>
      <c r="QY213" s="33"/>
      <c r="QZ213" s="33"/>
      <c r="RA213" s="33"/>
      <c r="RB213" s="33"/>
      <c r="RC213" s="33"/>
      <c r="RD213" s="33"/>
      <c r="RE213" s="33"/>
      <c r="RF213" s="33"/>
      <c r="RG213" s="33"/>
      <c r="RH213" s="33"/>
      <c r="RI213" s="33"/>
      <c r="RJ213" s="33"/>
      <c r="RK213" s="33"/>
      <c r="RL213" s="33"/>
      <c r="RM213" s="33"/>
      <c r="RN213" s="33"/>
      <c r="RO213" s="33"/>
      <c r="RP213" s="33"/>
      <c r="RQ213" s="33"/>
      <c r="RR213" s="33"/>
      <c r="RS213" s="33"/>
      <c r="RT213" s="33"/>
      <c r="RU213" s="33"/>
      <c r="RV213" s="33"/>
      <c r="RW213" s="33"/>
      <c r="RX213" s="33"/>
      <c r="RY213" s="33"/>
      <c r="RZ213" s="33"/>
      <c r="SA213" s="33"/>
      <c r="SB213" s="33"/>
      <c r="SC213" s="33"/>
      <c r="SD213" s="33"/>
      <c r="SE213" s="33"/>
      <c r="SF213" s="33"/>
      <c r="SG213" s="33"/>
      <c r="SH213" s="33"/>
      <c r="SI213" s="33"/>
      <c r="SJ213" s="33"/>
      <c r="SK213" s="33"/>
      <c r="SL213" s="33"/>
      <c r="SM213" s="33"/>
      <c r="SN213" s="33"/>
      <c r="SO213" s="33"/>
      <c r="SP213" s="33"/>
      <c r="SQ213" s="33"/>
      <c r="SR213" s="33"/>
      <c r="SS213" s="33"/>
      <c r="ST213" s="33"/>
      <c r="SU213" s="33"/>
      <c r="SV213" s="33"/>
      <c r="SW213" s="33"/>
      <c r="SX213" s="33"/>
      <c r="SY213" s="33"/>
      <c r="SZ213" s="33"/>
      <c r="TA213" s="33"/>
      <c r="TB213" s="33"/>
      <c r="TC213" s="33"/>
      <c r="TD213" s="33"/>
      <c r="TE213" s="33"/>
      <c r="TF213" s="33"/>
      <c r="TG213" s="33"/>
    </row>
    <row r="214" spans="1:527" s="22" customFormat="1" ht="47.25" x14ac:dyDescent="0.25">
      <c r="A214" s="59" t="s">
        <v>139</v>
      </c>
      <c r="B214" s="92" t="str">
        <f>'дод 7'!A19</f>
        <v>0160</v>
      </c>
      <c r="C214" s="92" t="str">
        <f>'дод 7'!B19</f>
        <v>0111</v>
      </c>
      <c r="D214" s="36" t="s">
        <v>493</v>
      </c>
      <c r="E214" s="98">
        <f t="shared" ref="E214:E222" si="91">F214+I214</f>
        <v>2178335</v>
      </c>
      <c r="F214" s="98">
        <f>2163700+3335+7200+4100</f>
        <v>2178335</v>
      </c>
      <c r="G214" s="98">
        <v>1695500</v>
      </c>
      <c r="H214" s="98">
        <f>18000+3335+7200+4100</f>
        <v>32635</v>
      </c>
      <c r="I214" s="98"/>
      <c r="J214" s="98">
        <f>L214+O214</f>
        <v>0</v>
      </c>
      <c r="K214" s="98"/>
      <c r="L214" s="98"/>
      <c r="M214" s="98"/>
      <c r="N214" s="98"/>
      <c r="O214" s="98"/>
      <c r="P214" s="98">
        <f t="shared" ref="P214:P222" si="92">E214+J214</f>
        <v>2178335</v>
      </c>
      <c r="Q214" s="23"/>
      <c r="R214" s="32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</row>
    <row r="215" spans="1:527" s="22" customFormat="1" ht="19.5" customHeight="1" x14ac:dyDescent="0.25">
      <c r="A215" s="59" t="s">
        <v>508</v>
      </c>
      <c r="B215" s="92">
        <v>1080</v>
      </c>
      <c r="C215" s="59" t="s">
        <v>57</v>
      </c>
      <c r="D215" s="60" t="s">
        <v>509</v>
      </c>
      <c r="E215" s="98">
        <f t="shared" si="91"/>
        <v>51160475</v>
      </c>
      <c r="F215" s="98">
        <f>50652500+65000+20000+30000+15000+165515+166200+46260</f>
        <v>51160475</v>
      </c>
      <c r="G215" s="98">
        <v>40594000</v>
      </c>
      <c r="H215" s="98">
        <f>612300+165515+166200+46260</f>
        <v>990275</v>
      </c>
      <c r="I215" s="98"/>
      <c r="J215" s="98">
        <f t="shared" ref="J215:J222" si="93">L215+O215</f>
        <v>2729100</v>
      </c>
      <c r="K215" s="98"/>
      <c r="L215" s="98">
        <v>2725970</v>
      </c>
      <c r="M215" s="98">
        <v>2226904</v>
      </c>
      <c r="N215" s="98"/>
      <c r="O215" s="98">
        <v>3130</v>
      </c>
      <c r="P215" s="98">
        <f t="shared" si="92"/>
        <v>53889575</v>
      </c>
      <c r="Q215" s="23"/>
      <c r="R215" s="32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</row>
    <row r="216" spans="1:527" s="22" customFormat="1" ht="21" customHeight="1" x14ac:dyDescent="0.25">
      <c r="A216" s="59" t="s">
        <v>193</v>
      </c>
      <c r="B216" s="92" t="str">
        <f>'дод 7'!A142</f>
        <v>4030</v>
      </c>
      <c r="C216" s="92" t="str">
        <f>'дод 7'!B142</f>
        <v>0824</v>
      </c>
      <c r="D216" s="60" t="str">
        <f>'дод 7'!C142</f>
        <v>Забезпечення діяльності бібліотек</v>
      </c>
      <c r="E216" s="98">
        <f t="shared" si="91"/>
        <v>23641974</v>
      </c>
      <c r="F216" s="98">
        <f>22627900+77000+112000+10000+2500+194764+62500+199000+50000+372700-12200-95970+41780</f>
        <v>23641974</v>
      </c>
      <c r="G216" s="98">
        <f>16852700-95970</f>
        <v>16756730</v>
      </c>
      <c r="H216" s="98">
        <f>1133500+194764+372700+41780</f>
        <v>1742744</v>
      </c>
      <c r="I216" s="98"/>
      <c r="J216" s="98">
        <f t="shared" si="93"/>
        <v>252500</v>
      </c>
      <c r="K216" s="98">
        <f>195000+20000+5000+7500</f>
        <v>227500</v>
      </c>
      <c r="L216" s="98">
        <v>25000</v>
      </c>
      <c r="M216" s="98">
        <v>12100</v>
      </c>
      <c r="N216" s="98"/>
      <c r="O216" s="98">
        <f>195000+20000+5000+7500</f>
        <v>227500</v>
      </c>
      <c r="P216" s="98">
        <f t="shared" si="92"/>
        <v>23894474</v>
      </c>
      <c r="Q216" s="23"/>
      <c r="R216" s="32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</row>
    <row r="217" spans="1:527" s="22" customFormat="1" ht="48.75" customHeight="1" x14ac:dyDescent="0.25">
      <c r="A217" s="59">
        <v>1014060</v>
      </c>
      <c r="B217" s="92" t="str">
        <f>'дод 7'!A143</f>
        <v>4060</v>
      </c>
      <c r="C217" s="92" t="str">
        <f>'дод 7'!B143</f>
        <v>0828</v>
      </c>
      <c r="D217" s="60" t="str">
        <f>'дод 7'!C143</f>
        <v>Забезпечення діяльності палаців i будинків культури, клубів, центрів дозвілля та iнших клубних закладів</v>
      </c>
      <c r="E217" s="98">
        <f t="shared" si="91"/>
        <v>2297816</v>
      </c>
      <c r="F217" s="98">
        <f>2160300+15160+20000+25000+40000+10156+22000+5200</f>
        <v>2297816</v>
      </c>
      <c r="G217" s="98">
        <f>1531600-2000</f>
        <v>1529600</v>
      </c>
      <c r="H217" s="98">
        <f>115700+15160+10156</f>
        <v>141016</v>
      </c>
      <c r="I217" s="98"/>
      <c r="J217" s="98">
        <f t="shared" si="93"/>
        <v>6000</v>
      </c>
      <c r="K217" s="98">
        <f>40000-40000</f>
        <v>0</v>
      </c>
      <c r="L217" s="98">
        <v>6000</v>
      </c>
      <c r="M217" s="98"/>
      <c r="N217" s="98">
        <v>3300</v>
      </c>
      <c r="O217" s="98">
        <f>40000-40000</f>
        <v>0</v>
      </c>
      <c r="P217" s="98">
        <f t="shared" si="92"/>
        <v>2303816</v>
      </c>
      <c r="Q217" s="23"/>
      <c r="R217" s="32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</row>
    <row r="218" spans="1:527" s="24" customFormat="1" ht="33.75" customHeight="1" x14ac:dyDescent="0.25">
      <c r="A218" s="59">
        <v>1014081</v>
      </c>
      <c r="B218" s="92" t="str">
        <f>'дод 7'!A144</f>
        <v>4081</v>
      </c>
      <c r="C218" s="92" t="str">
        <f>'дод 7'!B144</f>
        <v>0829</v>
      </c>
      <c r="D218" s="60" t="str">
        <f>'дод 7'!C144</f>
        <v>Забезпечення діяльності інших закладів в галузі культури і мистецтва</v>
      </c>
      <c r="E218" s="98">
        <f t="shared" si="91"/>
        <v>2228457</v>
      </c>
      <c r="F218" s="98">
        <f>2206400+1827+9400+7000+3830</f>
        <v>2228457</v>
      </c>
      <c r="G218" s="98">
        <f>1693000-4500</f>
        <v>1688500</v>
      </c>
      <c r="H218" s="98">
        <f>34900+1827+9400+3830</f>
        <v>49957</v>
      </c>
      <c r="I218" s="98"/>
      <c r="J218" s="98">
        <f t="shared" si="93"/>
        <v>23000</v>
      </c>
      <c r="K218" s="98">
        <v>23000</v>
      </c>
      <c r="L218" s="98"/>
      <c r="M218" s="98"/>
      <c r="N218" s="98"/>
      <c r="O218" s="98">
        <v>23000</v>
      </c>
      <c r="P218" s="98">
        <f t="shared" si="92"/>
        <v>2251457</v>
      </c>
      <c r="Q218" s="30"/>
      <c r="R218" s="32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0"/>
      <c r="JD218" s="30"/>
      <c r="JE218" s="30"/>
      <c r="JF218" s="30"/>
      <c r="JG218" s="30"/>
      <c r="JH218" s="30"/>
      <c r="JI218" s="30"/>
      <c r="JJ218" s="30"/>
      <c r="JK218" s="30"/>
      <c r="JL218" s="30"/>
      <c r="JM218" s="30"/>
      <c r="JN218" s="30"/>
      <c r="JO218" s="30"/>
      <c r="JP218" s="30"/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30"/>
      <c r="KG218" s="30"/>
      <c r="KH218" s="30"/>
      <c r="KI218" s="30"/>
      <c r="KJ218" s="30"/>
      <c r="KK218" s="30"/>
      <c r="KL218" s="30"/>
      <c r="KM218" s="30"/>
      <c r="KN218" s="30"/>
      <c r="KO218" s="30"/>
      <c r="KP218" s="30"/>
      <c r="KQ218" s="30"/>
      <c r="KR218" s="30"/>
      <c r="KS218" s="30"/>
      <c r="KT218" s="30"/>
      <c r="KU218" s="30"/>
      <c r="KV218" s="30"/>
      <c r="KW218" s="30"/>
      <c r="KX218" s="30"/>
      <c r="KY218" s="30"/>
      <c r="KZ218" s="30"/>
      <c r="LA218" s="30"/>
      <c r="LB218" s="30"/>
      <c r="LC218" s="30"/>
      <c r="LD218" s="30"/>
      <c r="LE218" s="30"/>
      <c r="LF218" s="30"/>
      <c r="LG218" s="30"/>
      <c r="LH218" s="30"/>
      <c r="LI218" s="30"/>
      <c r="LJ218" s="30"/>
      <c r="LK218" s="30"/>
      <c r="LL218" s="30"/>
      <c r="LM218" s="30"/>
      <c r="LN218" s="30"/>
      <c r="LO218" s="30"/>
      <c r="LP218" s="30"/>
      <c r="LQ218" s="30"/>
      <c r="LR218" s="30"/>
      <c r="LS218" s="30"/>
      <c r="LT218" s="30"/>
      <c r="LU218" s="30"/>
      <c r="LV218" s="30"/>
      <c r="LW218" s="30"/>
      <c r="LX218" s="30"/>
      <c r="LY218" s="30"/>
      <c r="LZ218" s="30"/>
      <c r="MA218" s="30"/>
      <c r="MB218" s="30"/>
      <c r="MC218" s="30"/>
      <c r="MD218" s="30"/>
      <c r="ME218" s="30"/>
      <c r="MF218" s="30"/>
      <c r="MG218" s="30"/>
      <c r="MH218" s="30"/>
      <c r="MI218" s="30"/>
      <c r="MJ218" s="30"/>
      <c r="MK218" s="30"/>
      <c r="ML218" s="30"/>
      <c r="MM218" s="30"/>
      <c r="MN218" s="30"/>
      <c r="MO218" s="30"/>
      <c r="MP218" s="30"/>
      <c r="MQ218" s="30"/>
      <c r="MR218" s="30"/>
      <c r="MS218" s="30"/>
      <c r="MT218" s="30"/>
      <c r="MU218" s="30"/>
      <c r="MV218" s="30"/>
      <c r="MW218" s="30"/>
      <c r="MX218" s="30"/>
      <c r="MY218" s="30"/>
      <c r="MZ218" s="30"/>
      <c r="NA218" s="30"/>
      <c r="NB218" s="30"/>
      <c r="NC218" s="30"/>
      <c r="ND218" s="30"/>
      <c r="NE218" s="30"/>
      <c r="NF218" s="30"/>
      <c r="NG218" s="30"/>
      <c r="NH218" s="30"/>
      <c r="NI218" s="30"/>
      <c r="NJ218" s="30"/>
      <c r="NK218" s="30"/>
      <c r="NL218" s="30"/>
      <c r="NM218" s="30"/>
      <c r="NN218" s="30"/>
      <c r="NO218" s="30"/>
      <c r="NP218" s="30"/>
      <c r="NQ218" s="30"/>
      <c r="NR218" s="30"/>
      <c r="NS218" s="30"/>
      <c r="NT218" s="30"/>
      <c r="NU218" s="30"/>
      <c r="NV218" s="30"/>
      <c r="NW218" s="30"/>
      <c r="NX218" s="30"/>
      <c r="NY218" s="30"/>
      <c r="NZ218" s="30"/>
      <c r="OA218" s="30"/>
      <c r="OB218" s="30"/>
      <c r="OC218" s="30"/>
      <c r="OD218" s="30"/>
      <c r="OE218" s="30"/>
      <c r="OF218" s="30"/>
      <c r="OG218" s="30"/>
      <c r="OH218" s="30"/>
      <c r="OI218" s="30"/>
      <c r="OJ218" s="30"/>
      <c r="OK218" s="30"/>
      <c r="OL218" s="30"/>
      <c r="OM218" s="30"/>
      <c r="ON218" s="30"/>
      <c r="OO218" s="30"/>
      <c r="OP218" s="30"/>
      <c r="OQ218" s="30"/>
      <c r="OR218" s="30"/>
      <c r="OS218" s="30"/>
      <c r="OT218" s="30"/>
      <c r="OU218" s="30"/>
      <c r="OV218" s="30"/>
      <c r="OW218" s="30"/>
      <c r="OX218" s="30"/>
      <c r="OY218" s="30"/>
      <c r="OZ218" s="30"/>
      <c r="PA218" s="30"/>
      <c r="PB218" s="30"/>
      <c r="PC218" s="30"/>
      <c r="PD218" s="30"/>
      <c r="PE218" s="30"/>
      <c r="PF218" s="30"/>
      <c r="PG218" s="30"/>
      <c r="PH218" s="30"/>
      <c r="PI218" s="30"/>
      <c r="PJ218" s="30"/>
      <c r="PK218" s="30"/>
      <c r="PL218" s="30"/>
      <c r="PM218" s="30"/>
      <c r="PN218" s="30"/>
      <c r="PO218" s="30"/>
      <c r="PP218" s="30"/>
      <c r="PQ218" s="30"/>
      <c r="PR218" s="30"/>
      <c r="PS218" s="30"/>
      <c r="PT218" s="30"/>
      <c r="PU218" s="30"/>
      <c r="PV218" s="30"/>
      <c r="PW218" s="30"/>
      <c r="PX218" s="30"/>
      <c r="PY218" s="30"/>
      <c r="PZ218" s="30"/>
      <c r="QA218" s="30"/>
      <c r="QB218" s="30"/>
      <c r="QC218" s="30"/>
      <c r="QD218" s="30"/>
      <c r="QE218" s="30"/>
      <c r="QF218" s="30"/>
      <c r="QG218" s="30"/>
      <c r="QH218" s="30"/>
      <c r="QI218" s="30"/>
      <c r="QJ218" s="30"/>
      <c r="QK218" s="30"/>
      <c r="QL218" s="30"/>
      <c r="QM218" s="30"/>
      <c r="QN218" s="30"/>
      <c r="QO218" s="30"/>
      <c r="QP218" s="30"/>
      <c r="QQ218" s="30"/>
      <c r="QR218" s="30"/>
      <c r="QS218" s="30"/>
      <c r="QT218" s="30"/>
      <c r="QU218" s="30"/>
      <c r="QV218" s="30"/>
      <c r="QW218" s="30"/>
      <c r="QX218" s="30"/>
      <c r="QY218" s="30"/>
      <c r="QZ218" s="30"/>
      <c r="RA218" s="30"/>
      <c r="RB218" s="30"/>
      <c r="RC218" s="30"/>
      <c r="RD218" s="30"/>
      <c r="RE218" s="30"/>
      <c r="RF218" s="30"/>
      <c r="RG218" s="30"/>
      <c r="RH218" s="30"/>
      <c r="RI218" s="30"/>
      <c r="RJ218" s="30"/>
      <c r="RK218" s="30"/>
      <c r="RL218" s="30"/>
      <c r="RM218" s="30"/>
      <c r="RN218" s="30"/>
      <c r="RO218" s="30"/>
      <c r="RP218" s="30"/>
      <c r="RQ218" s="30"/>
      <c r="RR218" s="30"/>
      <c r="RS218" s="30"/>
      <c r="RT218" s="30"/>
      <c r="RU218" s="30"/>
      <c r="RV218" s="30"/>
      <c r="RW218" s="30"/>
      <c r="RX218" s="30"/>
      <c r="RY218" s="30"/>
      <c r="RZ218" s="30"/>
      <c r="SA218" s="30"/>
      <c r="SB218" s="30"/>
      <c r="SC218" s="30"/>
      <c r="SD218" s="30"/>
      <c r="SE218" s="30"/>
      <c r="SF218" s="30"/>
      <c r="SG218" s="30"/>
      <c r="SH218" s="30"/>
      <c r="SI218" s="30"/>
      <c r="SJ218" s="30"/>
      <c r="SK218" s="30"/>
      <c r="SL218" s="30"/>
      <c r="SM218" s="30"/>
      <c r="SN218" s="30"/>
      <c r="SO218" s="30"/>
      <c r="SP218" s="30"/>
      <c r="SQ218" s="30"/>
      <c r="SR218" s="30"/>
      <c r="SS218" s="30"/>
      <c r="ST218" s="30"/>
      <c r="SU218" s="30"/>
      <c r="SV218" s="30"/>
      <c r="SW218" s="30"/>
      <c r="SX218" s="30"/>
      <c r="SY218" s="30"/>
      <c r="SZ218" s="30"/>
      <c r="TA218" s="30"/>
      <c r="TB218" s="30"/>
      <c r="TC218" s="30"/>
      <c r="TD218" s="30"/>
      <c r="TE218" s="30"/>
      <c r="TF218" s="30"/>
      <c r="TG218" s="30"/>
    </row>
    <row r="219" spans="1:527" s="24" customFormat="1" ht="25.5" customHeight="1" x14ac:dyDescent="0.25">
      <c r="A219" s="59">
        <v>1014082</v>
      </c>
      <c r="B219" s="92" t="str">
        <f>'дод 7'!A145</f>
        <v>4082</v>
      </c>
      <c r="C219" s="92" t="str">
        <f>'дод 7'!B145</f>
        <v>0829</v>
      </c>
      <c r="D219" s="60" t="str">
        <f>'дод 7'!C145</f>
        <v>Інші заходи в галузі культури і мистецтва</v>
      </c>
      <c r="E219" s="98">
        <f t="shared" si="91"/>
        <v>1380000</v>
      </c>
      <c r="F219" s="98">
        <f>1100000+100000+85000+95000</f>
        <v>1380000</v>
      </c>
      <c r="G219" s="98"/>
      <c r="H219" s="98"/>
      <c r="I219" s="98"/>
      <c r="J219" s="98">
        <f t="shared" si="93"/>
        <v>0</v>
      </c>
      <c r="K219" s="98"/>
      <c r="L219" s="98"/>
      <c r="M219" s="98"/>
      <c r="N219" s="98"/>
      <c r="O219" s="98"/>
      <c r="P219" s="98">
        <f t="shared" si="92"/>
        <v>1380000</v>
      </c>
      <c r="Q219" s="30"/>
      <c r="R219" s="32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  <c r="IW219" s="30"/>
      <c r="IX219" s="30"/>
      <c r="IY219" s="30"/>
      <c r="IZ219" s="30"/>
      <c r="JA219" s="30"/>
      <c r="JB219" s="30"/>
      <c r="JC219" s="30"/>
      <c r="JD219" s="30"/>
      <c r="JE219" s="30"/>
      <c r="JF219" s="30"/>
      <c r="JG219" s="30"/>
      <c r="JH219" s="30"/>
      <c r="JI219" s="30"/>
      <c r="JJ219" s="30"/>
      <c r="JK219" s="30"/>
      <c r="JL219" s="30"/>
      <c r="JM219" s="30"/>
      <c r="JN219" s="30"/>
      <c r="JO219" s="30"/>
      <c r="JP219" s="30"/>
      <c r="JQ219" s="30"/>
      <c r="JR219" s="30"/>
      <c r="JS219" s="30"/>
      <c r="JT219" s="30"/>
      <c r="JU219" s="30"/>
      <c r="JV219" s="30"/>
      <c r="JW219" s="30"/>
      <c r="JX219" s="30"/>
      <c r="JY219" s="30"/>
      <c r="JZ219" s="30"/>
      <c r="KA219" s="30"/>
      <c r="KB219" s="30"/>
      <c r="KC219" s="30"/>
      <c r="KD219" s="30"/>
      <c r="KE219" s="30"/>
      <c r="KF219" s="30"/>
      <c r="KG219" s="30"/>
      <c r="KH219" s="30"/>
      <c r="KI219" s="30"/>
      <c r="KJ219" s="30"/>
      <c r="KK219" s="30"/>
      <c r="KL219" s="30"/>
      <c r="KM219" s="30"/>
      <c r="KN219" s="30"/>
      <c r="KO219" s="30"/>
      <c r="KP219" s="30"/>
      <c r="KQ219" s="30"/>
      <c r="KR219" s="30"/>
      <c r="KS219" s="30"/>
      <c r="KT219" s="30"/>
      <c r="KU219" s="30"/>
      <c r="KV219" s="30"/>
      <c r="KW219" s="30"/>
      <c r="KX219" s="30"/>
      <c r="KY219" s="30"/>
      <c r="KZ219" s="30"/>
      <c r="LA219" s="30"/>
      <c r="LB219" s="30"/>
      <c r="LC219" s="30"/>
      <c r="LD219" s="30"/>
      <c r="LE219" s="30"/>
      <c r="LF219" s="30"/>
      <c r="LG219" s="30"/>
      <c r="LH219" s="30"/>
      <c r="LI219" s="30"/>
      <c r="LJ219" s="30"/>
      <c r="LK219" s="30"/>
      <c r="LL219" s="30"/>
      <c r="LM219" s="30"/>
      <c r="LN219" s="30"/>
      <c r="LO219" s="30"/>
      <c r="LP219" s="30"/>
      <c r="LQ219" s="30"/>
      <c r="LR219" s="30"/>
      <c r="LS219" s="30"/>
      <c r="LT219" s="30"/>
      <c r="LU219" s="30"/>
      <c r="LV219" s="30"/>
      <c r="LW219" s="30"/>
      <c r="LX219" s="30"/>
      <c r="LY219" s="30"/>
      <c r="LZ219" s="30"/>
      <c r="MA219" s="30"/>
      <c r="MB219" s="30"/>
      <c r="MC219" s="30"/>
      <c r="MD219" s="30"/>
      <c r="ME219" s="30"/>
      <c r="MF219" s="30"/>
      <c r="MG219" s="30"/>
      <c r="MH219" s="30"/>
      <c r="MI219" s="30"/>
      <c r="MJ219" s="30"/>
      <c r="MK219" s="30"/>
      <c r="ML219" s="30"/>
      <c r="MM219" s="30"/>
      <c r="MN219" s="30"/>
      <c r="MO219" s="30"/>
      <c r="MP219" s="30"/>
      <c r="MQ219" s="30"/>
      <c r="MR219" s="30"/>
      <c r="MS219" s="30"/>
      <c r="MT219" s="30"/>
      <c r="MU219" s="30"/>
      <c r="MV219" s="30"/>
      <c r="MW219" s="30"/>
      <c r="MX219" s="30"/>
      <c r="MY219" s="30"/>
      <c r="MZ219" s="30"/>
      <c r="NA219" s="30"/>
      <c r="NB219" s="30"/>
      <c r="NC219" s="30"/>
      <c r="ND219" s="30"/>
      <c r="NE219" s="30"/>
      <c r="NF219" s="30"/>
      <c r="NG219" s="30"/>
      <c r="NH219" s="30"/>
      <c r="NI219" s="30"/>
      <c r="NJ219" s="30"/>
      <c r="NK219" s="30"/>
      <c r="NL219" s="30"/>
      <c r="NM219" s="30"/>
      <c r="NN219" s="30"/>
      <c r="NO219" s="30"/>
      <c r="NP219" s="30"/>
      <c r="NQ219" s="30"/>
      <c r="NR219" s="30"/>
      <c r="NS219" s="30"/>
      <c r="NT219" s="30"/>
      <c r="NU219" s="30"/>
      <c r="NV219" s="30"/>
      <c r="NW219" s="30"/>
      <c r="NX219" s="30"/>
      <c r="NY219" s="30"/>
      <c r="NZ219" s="30"/>
      <c r="OA219" s="30"/>
      <c r="OB219" s="30"/>
      <c r="OC219" s="30"/>
      <c r="OD219" s="30"/>
      <c r="OE219" s="30"/>
      <c r="OF219" s="30"/>
      <c r="OG219" s="30"/>
      <c r="OH219" s="30"/>
      <c r="OI219" s="30"/>
      <c r="OJ219" s="30"/>
      <c r="OK219" s="30"/>
      <c r="OL219" s="30"/>
      <c r="OM219" s="30"/>
      <c r="ON219" s="30"/>
      <c r="OO219" s="30"/>
      <c r="OP219" s="30"/>
      <c r="OQ219" s="30"/>
      <c r="OR219" s="30"/>
      <c r="OS219" s="30"/>
      <c r="OT219" s="30"/>
      <c r="OU219" s="30"/>
      <c r="OV219" s="30"/>
      <c r="OW219" s="30"/>
      <c r="OX219" s="30"/>
      <c r="OY219" s="30"/>
      <c r="OZ219" s="30"/>
      <c r="PA219" s="30"/>
      <c r="PB219" s="30"/>
      <c r="PC219" s="30"/>
      <c r="PD219" s="30"/>
      <c r="PE219" s="30"/>
      <c r="PF219" s="30"/>
      <c r="PG219" s="30"/>
      <c r="PH219" s="30"/>
      <c r="PI219" s="30"/>
      <c r="PJ219" s="30"/>
      <c r="PK219" s="30"/>
      <c r="PL219" s="30"/>
      <c r="PM219" s="30"/>
      <c r="PN219" s="30"/>
      <c r="PO219" s="30"/>
      <c r="PP219" s="30"/>
      <c r="PQ219" s="30"/>
      <c r="PR219" s="30"/>
      <c r="PS219" s="30"/>
      <c r="PT219" s="30"/>
      <c r="PU219" s="30"/>
      <c r="PV219" s="30"/>
      <c r="PW219" s="30"/>
      <c r="PX219" s="30"/>
      <c r="PY219" s="30"/>
      <c r="PZ219" s="30"/>
      <c r="QA219" s="30"/>
      <c r="QB219" s="30"/>
      <c r="QC219" s="30"/>
      <c r="QD219" s="30"/>
      <c r="QE219" s="30"/>
      <c r="QF219" s="30"/>
      <c r="QG219" s="30"/>
      <c r="QH219" s="30"/>
      <c r="QI219" s="30"/>
      <c r="QJ219" s="30"/>
      <c r="QK219" s="30"/>
      <c r="QL219" s="30"/>
      <c r="QM219" s="30"/>
      <c r="QN219" s="30"/>
      <c r="QO219" s="30"/>
      <c r="QP219" s="30"/>
      <c r="QQ219" s="30"/>
      <c r="QR219" s="30"/>
      <c r="QS219" s="30"/>
      <c r="QT219" s="30"/>
      <c r="QU219" s="30"/>
      <c r="QV219" s="30"/>
      <c r="QW219" s="30"/>
      <c r="QX219" s="30"/>
      <c r="QY219" s="30"/>
      <c r="QZ219" s="30"/>
      <c r="RA219" s="30"/>
      <c r="RB219" s="30"/>
      <c r="RC219" s="30"/>
      <c r="RD219" s="30"/>
      <c r="RE219" s="30"/>
      <c r="RF219" s="30"/>
      <c r="RG219" s="30"/>
      <c r="RH219" s="30"/>
      <c r="RI219" s="30"/>
      <c r="RJ219" s="30"/>
      <c r="RK219" s="30"/>
      <c r="RL219" s="30"/>
      <c r="RM219" s="30"/>
      <c r="RN219" s="30"/>
      <c r="RO219" s="30"/>
      <c r="RP219" s="30"/>
      <c r="RQ219" s="30"/>
      <c r="RR219" s="30"/>
      <c r="RS219" s="30"/>
      <c r="RT219" s="30"/>
      <c r="RU219" s="30"/>
      <c r="RV219" s="30"/>
      <c r="RW219" s="30"/>
      <c r="RX219" s="30"/>
      <c r="RY219" s="30"/>
      <c r="RZ219" s="30"/>
      <c r="SA219" s="30"/>
      <c r="SB219" s="30"/>
      <c r="SC219" s="30"/>
      <c r="SD219" s="30"/>
      <c r="SE219" s="30"/>
      <c r="SF219" s="30"/>
      <c r="SG219" s="30"/>
      <c r="SH219" s="30"/>
      <c r="SI219" s="30"/>
      <c r="SJ219" s="30"/>
      <c r="SK219" s="30"/>
      <c r="SL219" s="30"/>
      <c r="SM219" s="30"/>
      <c r="SN219" s="30"/>
      <c r="SO219" s="30"/>
      <c r="SP219" s="30"/>
      <c r="SQ219" s="30"/>
      <c r="SR219" s="30"/>
      <c r="SS219" s="30"/>
      <c r="ST219" s="30"/>
      <c r="SU219" s="30"/>
      <c r="SV219" s="30"/>
      <c r="SW219" s="30"/>
      <c r="SX219" s="30"/>
      <c r="SY219" s="30"/>
      <c r="SZ219" s="30"/>
      <c r="TA219" s="30"/>
      <c r="TB219" s="30"/>
      <c r="TC219" s="30"/>
      <c r="TD219" s="30"/>
      <c r="TE219" s="30"/>
      <c r="TF219" s="30"/>
      <c r="TG219" s="30"/>
    </row>
    <row r="220" spans="1:527" s="24" customFormat="1" ht="21.75" customHeight="1" x14ac:dyDescent="0.25">
      <c r="A220" s="59" t="s">
        <v>455</v>
      </c>
      <c r="B220" s="59" t="s">
        <v>456</v>
      </c>
      <c r="C220" s="59" t="s">
        <v>111</v>
      </c>
      <c r="D220" s="6" t="s">
        <v>550</v>
      </c>
      <c r="E220" s="98">
        <f t="shared" si="91"/>
        <v>0</v>
      </c>
      <c r="F220" s="98"/>
      <c r="G220" s="98"/>
      <c r="H220" s="98"/>
      <c r="I220" s="98"/>
      <c r="J220" s="98">
        <f t="shared" si="93"/>
        <v>570000</v>
      </c>
      <c r="K220" s="98">
        <f>950000+20000-400000</f>
        <v>570000</v>
      </c>
      <c r="L220" s="98"/>
      <c r="M220" s="98"/>
      <c r="N220" s="98"/>
      <c r="O220" s="98">
        <f>950000+20000-400000</f>
        <v>570000</v>
      </c>
      <c r="P220" s="98">
        <f t="shared" si="92"/>
        <v>570000</v>
      </c>
      <c r="Q220" s="30"/>
      <c r="R220" s="32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  <c r="SQ220" s="30"/>
      <c r="SR220" s="30"/>
      <c r="SS220" s="30"/>
      <c r="ST220" s="30"/>
      <c r="SU220" s="30"/>
      <c r="SV220" s="30"/>
      <c r="SW220" s="30"/>
      <c r="SX220" s="30"/>
      <c r="SY220" s="30"/>
      <c r="SZ220" s="30"/>
      <c r="TA220" s="30"/>
      <c r="TB220" s="30"/>
      <c r="TC220" s="30"/>
      <c r="TD220" s="30"/>
      <c r="TE220" s="30"/>
      <c r="TF220" s="30"/>
      <c r="TG220" s="30"/>
    </row>
    <row r="221" spans="1:527" s="22" customFormat="1" ht="22.5" customHeight="1" x14ac:dyDescent="0.25">
      <c r="A221" s="59" t="s">
        <v>145</v>
      </c>
      <c r="B221" s="92" t="str">
        <f>'дод 7'!A218</f>
        <v>7640</v>
      </c>
      <c r="C221" s="92" t="str">
        <f>'дод 7'!B218</f>
        <v>0470</v>
      </c>
      <c r="D221" s="60" t="s">
        <v>422</v>
      </c>
      <c r="E221" s="98">
        <f t="shared" si="91"/>
        <v>0</v>
      </c>
      <c r="F221" s="98"/>
      <c r="G221" s="98"/>
      <c r="H221" s="98"/>
      <c r="I221" s="98"/>
      <c r="J221" s="98">
        <f t="shared" si="93"/>
        <v>1500000</v>
      </c>
      <c r="K221" s="98">
        <v>1500000</v>
      </c>
      <c r="L221" s="98"/>
      <c r="M221" s="98"/>
      <c r="N221" s="98"/>
      <c r="O221" s="98">
        <v>1500000</v>
      </c>
      <c r="P221" s="98">
        <f t="shared" si="92"/>
        <v>1500000</v>
      </c>
      <c r="Q221" s="23"/>
      <c r="R221" s="32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</row>
    <row r="222" spans="1:527" s="22" customFormat="1" ht="22.5" hidden="1" customHeight="1" x14ac:dyDescent="0.25">
      <c r="A222" s="59">
        <v>1018340</v>
      </c>
      <c r="B222" s="92" t="str">
        <f>'дод 7'!A240</f>
        <v>8340</v>
      </c>
      <c r="C222" s="92" t="str">
        <f>'дод 7'!B240</f>
        <v>0540</v>
      </c>
      <c r="D222" s="116" t="str">
        <f>'дод 7'!C240</f>
        <v>Природоохоронні заходи за рахунок цільових фондів</v>
      </c>
      <c r="E222" s="98">
        <f t="shared" si="91"/>
        <v>0</v>
      </c>
      <c r="F222" s="98"/>
      <c r="G222" s="98"/>
      <c r="H222" s="98"/>
      <c r="I222" s="98"/>
      <c r="J222" s="98">
        <f t="shared" si="93"/>
        <v>0</v>
      </c>
      <c r="K222" s="98"/>
      <c r="L222" s="98"/>
      <c r="M222" s="98"/>
      <c r="N222" s="98"/>
      <c r="O222" s="98"/>
      <c r="P222" s="98">
        <f t="shared" si="92"/>
        <v>0</v>
      </c>
      <c r="Q222" s="23"/>
      <c r="R222" s="32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</row>
    <row r="223" spans="1:527" s="27" customFormat="1" ht="34.5" customHeight="1" x14ac:dyDescent="0.25">
      <c r="A223" s="109" t="s">
        <v>194</v>
      </c>
      <c r="B223" s="111"/>
      <c r="C223" s="111"/>
      <c r="D223" s="106" t="s">
        <v>32</v>
      </c>
      <c r="E223" s="94">
        <f>E224</f>
        <v>307176477.62</v>
      </c>
      <c r="F223" s="94">
        <f t="shared" ref="F223:J223" si="94">F224</f>
        <v>274335654.31</v>
      </c>
      <c r="G223" s="94">
        <f t="shared" si="94"/>
        <v>11254400</v>
      </c>
      <c r="H223" s="94">
        <f t="shared" si="94"/>
        <v>37982808</v>
      </c>
      <c r="I223" s="94">
        <f t="shared" si="94"/>
        <v>32840823.309999999</v>
      </c>
      <c r="J223" s="94">
        <f t="shared" si="94"/>
        <v>198284467.81999999</v>
      </c>
      <c r="K223" s="94">
        <f t="shared" ref="K223" si="95">K224</f>
        <v>179157701.25</v>
      </c>
      <c r="L223" s="94">
        <f t="shared" ref="L223" si="96">L224</f>
        <v>15832686.57</v>
      </c>
      <c r="M223" s="94">
        <f t="shared" ref="M223" si="97">M224</f>
        <v>0</v>
      </c>
      <c r="N223" s="94">
        <f t="shared" ref="N223" si="98">N224</f>
        <v>0</v>
      </c>
      <c r="O223" s="94">
        <f t="shared" ref="O223:P223" si="99">O224</f>
        <v>182451781.25</v>
      </c>
      <c r="P223" s="94">
        <f t="shared" si="99"/>
        <v>505460945.43999994</v>
      </c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/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  <c r="GF223" s="32"/>
      <c r="GG223" s="32"/>
      <c r="GH223" s="32"/>
      <c r="GI223" s="32"/>
      <c r="GJ223" s="32"/>
      <c r="GK223" s="32"/>
      <c r="GL223" s="32"/>
      <c r="GM223" s="32"/>
      <c r="GN223" s="32"/>
      <c r="GO223" s="32"/>
      <c r="GP223" s="32"/>
      <c r="GQ223" s="32"/>
      <c r="GR223" s="32"/>
      <c r="GS223" s="32"/>
      <c r="GT223" s="32"/>
      <c r="GU223" s="32"/>
      <c r="GV223" s="32"/>
      <c r="GW223" s="32"/>
      <c r="GX223" s="32"/>
      <c r="GY223" s="32"/>
      <c r="GZ223" s="32"/>
      <c r="HA223" s="32"/>
      <c r="HB223" s="32"/>
      <c r="HC223" s="32"/>
      <c r="HD223" s="32"/>
      <c r="HE223" s="32"/>
      <c r="HF223" s="32"/>
      <c r="HG223" s="32"/>
      <c r="HH223" s="32"/>
      <c r="HI223" s="32"/>
      <c r="HJ223" s="32"/>
      <c r="HK223" s="32"/>
      <c r="HL223" s="32"/>
      <c r="HM223" s="32"/>
      <c r="HN223" s="32"/>
      <c r="HO223" s="32"/>
      <c r="HP223" s="32"/>
      <c r="HQ223" s="32"/>
      <c r="HR223" s="32"/>
      <c r="HS223" s="32"/>
      <c r="HT223" s="32"/>
      <c r="HU223" s="32"/>
      <c r="HV223" s="32"/>
      <c r="HW223" s="32"/>
      <c r="HX223" s="32"/>
      <c r="HY223" s="32"/>
      <c r="HZ223" s="32"/>
      <c r="IA223" s="32"/>
      <c r="IB223" s="32"/>
      <c r="IC223" s="32"/>
      <c r="ID223" s="32"/>
      <c r="IE223" s="32"/>
      <c r="IF223" s="32"/>
      <c r="IG223" s="32"/>
      <c r="IH223" s="32"/>
      <c r="II223" s="32"/>
      <c r="IJ223" s="32"/>
      <c r="IK223" s="32"/>
      <c r="IL223" s="32"/>
      <c r="IM223" s="32"/>
      <c r="IN223" s="32"/>
      <c r="IO223" s="32"/>
      <c r="IP223" s="32"/>
      <c r="IQ223" s="32"/>
      <c r="IR223" s="32"/>
      <c r="IS223" s="32"/>
      <c r="IT223" s="32"/>
      <c r="IU223" s="32"/>
      <c r="IV223" s="32"/>
      <c r="IW223" s="32"/>
      <c r="IX223" s="32"/>
      <c r="IY223" s="32"/>
      <c r="IZ223" s="32"/>
      <c r="JA223" s="32"/>
      <c r="JB223" s="32"/>
      <c r="JC223" s="32"/>
      <c r="JD223" s="32"/>
      <c r="JE223" s="32"/>
      <c r="JF223" s="32"/>
      <c r="JG223" s="32"/>
      <c r="JH223" s="32"/>
      <c r="JI223" s="32"/>
      <c r="JJ223" s="32"/>
      <c r="JK223" s="32"/>
      <c r="JL223" s="32"/>
      <c r="JM223" s="32"/>
      <c r="JN223" s="32"/>
      <c r="JO223" s="32"/>
      <c r="JP223" s="32"/>
      <c r="JQ223" s="32"/>
      <c r="JR223" s="32"/>
      <c r="JS223" s="32"/>
      <c r="JT223" s="32"/>
      <c r="JU223" s="32"/>
      <c r="JV223" s="32"/>
      <c r="JW223" s="32"/>
      <c r="JX223" s="32"/>
      <c r="JY223" s="32"/>
      <c r="JZ223" s="32"/>
      <c r="KA223" s="32"/>
      <c r="KB223" s="32"/>
      <c r="KC223" s="32"/>
      <c r="KD223" s="32"/>
      <c r="KE223" s="32"/>
      <c r="KF223" s="32"/>
      <c r="KG223" s="32"/>
      <c r="KH223" s="32"/>
      <c r="KI223" s="32"/>
      <c r="KJ223" s="32"/>
      <c r="KK223" s="32"/>
      <c r="KL223" s="32"/>
      <c r="KM223" s="32"/>
      <c r="KN223" s="32"/>
      <c r="KO223" s="32"/>
      <c r="KP223" s="32"/>
      <c r="KQ223" s="32"/>
      <c r="KR223" s="32"/>
      <c r="KS223" s="32"/>
      <c r="KT223" s="32"/>
      <c r="KU223" s="32"/>
      <c r="KV223" s="32"/>
      <c r="KW223" s="32"/>
      <c r="KX223" s="32"/>
      <c r="KY223" s="32"/>
      <c r="KZ223" s="32"/>
      <c r="LA223" s="32"/>
      <c r="LB223" s="32"/>
      <c r="LC223" s="32"/>
      <c r="LD223" s="32"/>
      <c r="LE223" s="32"/>
      <c r="LF223" s="32"/>
      <c r="LG223" s="32"/>
      <c r="LH223" s="32"/>
      <c r="LI223" s="32"/>
      <c r="LJ223" s="32"/>
      <c r="LK223" s="32"/>
      <c r="LL223" s="32"/>
      <c r="LM223" s="32"/>
      <c r="LN223" s="32"/>
      <c r="LO223" s="32"/>
      <c r="LP223" s="32"/>
      <c r="LQ223" s="32"/>
      <c r="LR223" s="32"/>
      <c r="LS223" s="32"/>
      <c r="LT223" s="32"/>
      <c r="LU223" s="32"/>
      <c r="LV223" s="32"/>
      <c r="LW223" s="32"/>
      <c r="LX223" s="32"/>
      <c r="LY223" s="32"/>
      <c r="LZ223" s="32"/>
      <c r="MA223" s="32"/>
      <c r="MB223" s="32"/>
      <c r="MC223" s="32"/>
      <c r="MD223" s="32"/>
      <c r="ME223" s="32"/>
      <c r="MF223" s="32"/>
      <c r="MG223" s="32"/>
      <c r="MH223" s="32"/>
      <c r="MI223" s="32"/>
      <c r="MJ223" s="32"/>
      <c r="MK223" s="32"/>
      <c r="ML223" s="32"/>
      <c r="MM223" s="32"/>
      <c r="MN223" s="32"/>
      <c r="MO223" s="32"/>
      <c r="MP223" s="32"/>
      <c r="MQ223" s="32"/>
      <c r="MR223" s="32"/>
      <c r="MS223" s="32"/>
      <c r="MT223" s="32"/>
      <c r="MU223" s="32"/>
      <c r="MV223" s="32"/>
      <c r="MW223" s="32"/>
      <c r="MX223" s="32"/>
      <c r="MY223" s="32"/>
      <c r="MZ223" s="32"/>
      <c r="NA223" s="32"/>
      <c r="NB223" s="32"/>
      <c r="NC223" s="32"/>
      <c r="ND223" s="32"/>
      <c r="NE223" s="32"/>
      <c r="NF223" s="32"/>
      <c r="NG223" s="32"/>
      <c r="NH223" s="32"/>
      <c r="NI223" s="32"/>
      <c r="NJ223" s="32"/>
      <c r="NK223" s="32"/>
      <c r="NL223" s="32"/>
      <c r="NM223" s="32"/>
      <c r="NN223" s="32"/>
      <c r="NO223" s="32"/>
      <c r="NP223" s="32"/>
      <c r="NQ223" s="32"/>
      <c r="NR223" s="32"/>
      <c r="NS223" s="32"/>
      <c r="NT223" s="32"/>
      <c r="NU223" s="32"/>
      <c r="NV223" s="32"/>
      <c r="NW223" s="32"/>
      <c r="NX223" s="32"/>
      <c r="NY223" s="32"/>
      <c r="NZ223" s="32"/>
      <c r="OA223" s="32"/>
      <c r="OB223" s="32"/>
      <c r="OC223" s="32"/>
      <c r="OD223" s="32"/>
      <c r="OE223" s="32"/>
      <c r="OF223" s="32"/>
      <c r="OG223" s="32"/>
      <c r="OH223" s="32"/>
      <c r="OI223" s="32"/>
      <c r="OJ223" s="32"/>
      <c r="OK223" s="32"/>
      <c r="OL223" s="32"/>
      <c r="OM223" s="32"/>
      <c r="ON223" s="32"/>
      <c r="OO223" s="32"/>
      <c r="OP223" s="32"/>
      <c r="OQ223" s="32"/>
      <c r="OR223" s="32"/>
      <c r="OS223" s="32"/>
      <c r="OT223" s="32"/>
      <c r="OU223" s="32"/>
      <c r="OV223" s="32"/>
      <c r="OW223" s="32"/>
      <c r="OX223" s="32"/>
      <c r="OY223" s="32"/>
      <c r="OZ223" s="32"/>
      <c r="PA223" s="32"/>
      <c r="PB223" s="32"/>
      <c r="PC223" s="32"/>
      <c r="PD223" s="32"/>
      <c r="PE223" s="32"/>
      <c r="PF223" s="32"/>
      <c r="PG223" s="32"/>
      <c r="PH223" s="32"/>
      <c r="PI223" s="32"/>
      <c r="PJ223" s="32"/>
      <c r="PK223" s="32"/>
      <c r="PL223" s="32"/>
      <c r="PM223" s="32"/>
      <c r="PN223" s="32"/>
      <c r="PO223" s="32"/>
      <c r="PP223" s="32"/>
      <c r="PQ223" s="32"/>
      <c r="PR223" s="32"/>
      <c r="PS223" s="32"/>
      <c r="PT223" s="32"/>
      <c r="PU223" s="32"/>
      <c r="PV223" s="32"/>
      <c r="PW223" s="32"/>
      <c r="PX223" s="32"/>
      <c r="PY223" s="32"/>
      <c r="PZ223" s="32"/>
      <c r="QA223" s="32"/>
      <c r="QB223" s="32"/>
      <c r="QC223" s="32"/>
      <c r="QD223" s="32"/>
      <c r="QE223" s="32"/>
      <c r="QF223" s="32"/>
      <c r="QG223" s="32"/>
      <c r="QH223" s="32"/>
      <c r="QI223" s="32"/>
      <c r="QJ223" s="32"/>
      <c r="QK223" s="32"/>
      <c r="QL223" s="32"/>
      <c r="QM223" s="32"/>
      <c r="QN223" s="32"/>
      <c r="QO223" s="32"/>
      <c r="QP223" s="32"/>
      <c r="QQ223" s="32"/>
      <c r="QR223" s="32"/>
      <c r="QS223" s="32"/>
      <c r="QT223" s="32"/>
      <c r="QU223" s="32"/>
      <c r="QV223" s="32"/>
      <c r="QW223" s="32"/>
      <c r="QX223" s="32"/>
      <c r="QY223" s="32"/>
      <c r="QZ223" s="32"/>
      <c r="RA223" s="32"/>
      <c r="RB223" s="32"/>
      <c r="RC223" s="32"/>
      <c r="RD223" s="32"/>
      <c r="RE223" s="32"/>
      <c r="RF223" s="32"/>
      <c r="RG223" s="32"/>
      <c r="RH223" s="32"/>
      <c r="RI223" s="32"/>
      <c r="RJ223" s="32"/>
      <c r="RK223" s="32"/>
      <c r="RL223" s="32"/>
      <c r="RM223" s="32"/>
      <c r="RN223" s="32"/>
      <c r="RO223" s="32"/>
      <c r="RP223" s="32"/>
      <c r="RQ223" s="32"/>
      <c r="RR223" s="32"/>
      <c r="RS223" s="32"/>
      <c r="RT223" s="32"/>
      <c r="RU223" s="32"/>
      <c r="RV223" s="32"/>
      <c r="RW223" s="32"/>
      <c r="RX223" s="32"/>
      <c r="RY223" s="32"/>
      <c r="RZ223" s="32"/>
      <c r="SA223" s="32"/>
      <c r="SB223" s="32"/>
      <c r="SC223" s="32"/>
      <c r="SD223" s="32"/>
      <c r="SE223" s="32"/>
      <c r="SF223" s="32"/>
      <c r="SG223" s="32"/>
      <c r="SH223" s="32"/>
      <c r="SI223" s="32"/>
      <c r="SJ223" s="32"/>
      <c r="SK223" s="32"/>
      <c r="SL223" s="32"/>
      <c r="SM223" s="32"/>
      <c r="SN223" s="32"/>
      <c r="SO223" s="32"/>
      <c r="SP223" s="32"/>
      <c r="SQ223" s="32"/>
      <c r="SR223" s="32"/>
      <c r="SS223" s="32"/>
      <c r="ST223" s="32"/>
      <c r="SU223" s="32"/>
      <c r="SV223" s="32"/>
      <c r="SW223" s="32"/>
      <c r="SX223" s="32"/>
      <c r="SY223" s="32"/>
      <c r="SZ223" s="32"/>
      <c r="TA223" s="32"/>
      <c r="TB223" s="32"/>
      <c r="TC223" s="32"/>
      <c r="TD223" s="32"/>
      <c r="TE223" s="32"/>
      <c r="TF223" s="32"/>
      <c r="TG223" s="32"/>
    </row>
    <row r="224" spans="1:527" s="34" customFormat="1" ht="31.5" x14ac:dyDescent="0.25">
      <c r="A224" s="95" t="s">
        <v>195</v>
      </c>
      <c r="B224" s="108"/>
      <c r="C224" s="108"/>
      <c r="D224" s="76" t="s">
        <v>396</v>
      </c>
      <c r="E224" s="97">
        <f t="shared" ref="E224:P224" si="100">E231+E232+E233+E234+E235+E236+E237+E238+E239+E242+E243+E244+E246+E245+E248+E250+E255+E257+E258+E259+E261+E264+E265+E266+E247+E252+E263+E262+E240</f>
        <v>307176477.62</v>
      </c>
      <c r="F224" s="97">
        <f t="shared" si="100"/>
        <v>274335654.31</v>
      </c>
      <c r="G224" s="97">
        <f t="shared" si="100"/>
        <v>11254400</v>
      </c>
      <c r="H224" s="97">
        <f t="shared" si="100"/>
        <v>37982808</v>
      </c>
      <c r="I224" s="97">
        <f t="shared" si="100"/>
        <v>32840823.309999999</v>
      </c>
      <c r="J224" s="97">
        <f t="shared" si="100"/>
        <v>198284467.81999999</v>
      </c>
      <c r="K224" s="97">
        <f t="shared" si="100"/>
        <v>179157701.25</v>
      </c>
      <c r="L224" s="97">
        <f t="shared" si="100"/>
        <v>15832686.57</v>
      </c>
      <c r="M224" s="97">
        <f t="shared" si="100"/>
        <v>0</v>
      </c>
      <c r="N224" s="97">
        <f t="shared" si="100"/>
        <v>0</v>
      </c>
      <c r="O224" s="97">
        <f t="shared" si="100"/>
        <v>182451781.25</v>
      </c>
      <c r="P224" s="97">
        <f t="shared" si="100"/>
        <v>505460945.43999994</v>
      </c>
      <c r="Q224" s="33"/>
      <c r="R224" s="32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  <c r="IW224" s="33"/>
      <c r="IX224" s="33"/>
      <c r="IY224" s="33"/>
      <c r="IZ224" s="33"/>
      <c r="JA224" s="33"/>
      <c r="JB224" s="33"/>
      <c r="JC224" s="33"/>
      <c r="JD224" s="33"/>
      <c r="JE224" s="33"/>
      <c r="JF224" s="33"/>
      <c r="JG224" s="33"/>
      <c r="JH224" s="33"/>
      <c r="JI224" s="33"/>
      <c r="JJ224" s="33"/>
      <c r="JK224" s="33"/>
      <c r="JL224" s="33"/>
      <c r="JM224" s="33"/>
      <c r="JN224" s="33"/>
      <c r="JO224" s="33"/>
      <c r="JP224" s="33"/>
      <c r="JQ224" s="33"/>
      <c r="JR224" s="33"/>
      <c r="JS224" s="33"/>
      <c r="JT224" s="33"/>
      <c r="JU224" s="33"/>
      <c r="JV224" s="33"/>
      <c r="JW224" s="33"/>
      <c r="JX224" s="33"/>
      <c r="JY224" s="33"/>
      <c r="JZ224" s="33"/>
      <c r="KA224" s="33"/>
      <c r="KB224" s="33"/>
      <c r="KC224" s="33"/>
      <c r="KD224" s="33"/>
      <c r="KE224" s="33"/>
      <c r="KF224" s="33"/>
      <c r="KG224" s="33"/>
      <c r="KH224" s="33"/>
      <c r="KI224" s="33"/>
      <c r="KJ224" s="33"/>
      <c r="KK224" s="33"/>
      <c r="KL224" s="33"/>
      <c r="KM224" s="33"/>
      <c r="KN224" s="33"/>
      <c r="KO224" s="33"/>
      <c r="KP224" s="33"/>
      <c r="KQ224" s="33"/>
      <c r="KR224" s="33"/>
      <c r="KS224" s="33"/>
      <c r="KT224" s="33"/>
      <c r="KU224" s="33"/>
      <c r="KV224" s="33"/>
      <c r="KW224" s="33"/>
      <c r="KX224" s="33"/>
      <c r="KY224" s="33"/>
      <c r="KZ224" s="33"/>
      <c r="LA224" s="33"/>
      <c r="LB224" s="33"/>
      <c r="LC224" s="33"/>
      <c r="LD224" s="33"/>
      <c r="LE224" s="33"/>
      <c r="LF224" s="33"/>
      <c r="LG224" s="33"/>
      <c r="LH224" s="33"/>
      <c r="LI224" s="33"/>
      <c r="LJ224" s="33"/>
      <c r="LK224" s="33"/>
      <c r="LL224" s="33"/>
      <c r="LM224" s="33"/>
      <c r="LN224" s="33"/>
      <c r="LO224" s="33"/>
      <c r="LP224" s="33"/>
      <c r="LQ224" s="33"/>
      <c r="LR224" s="33"/>
      <c r="LS224" s="33"/>
      <c r="LT224" s="33"/>
      <c r="LU224" s="33"/>
      <c r="LV224" s="33"/>
      <c r="LW224" s="33"/>
      <c r="LX224" s="33"/>
      <c r="LY224" s="33"/>
      <c r="LZ224" s="33"/>
      <c r="MA224" s="33"/>
      <c r="MB224" s="33"/>
      <c r="MC224" s="33"/>
      <c r="MD224" s="33"/>
      <c r="ME224" s="33"/>
      <c r="MF224" s="33"/>
      <c r="MG224" s="33"/>
      <c r="MH224" s="33"/>
      <c r="MI224" s="33"/>
      <c r="MJ224" s="33"/>
      <c r="MK224" s="33"/>
      <c r="ML224" s="33"/>
      <c r="MM224" s="33"/>
      <c r="MN224" s="33"/>
      <c r="MO224" s="33"/>
      <c r="MP224" s="33"/>
      <c r="MQ224" s="33"/>
      <c r="MR224" s="33"/>
      <c r="MS224" s="33"/>
      <c r="MT224" s="33"/>
      <c r="MU224" s="33"/>
      <c r="MV224" s="33"/>
      <c r="MW224" s="33"/>
      <c r="MX224" s="33"/>
      <c r="MY224" s="33"/>
      <c r="MZ224" s="33"/>
      <c r="NA224" s="33"/>
      <c r="NB224" s="33"/>
      <c r="NC224" s="33"/>
      <c r="ND224" s="33"/>
      <c r="NE224" s="33"/>
      <c r="NF224" s="33"/>
      <c r="NG224" s="33"/>
      <c r="NH224" s="33"/>
      <c r="NI224" s="33"/>
      <c r="NJ224" s="33"/>
      <c r="NK224" s="33"/>
      <c r="NL224" s="33"/>
      <c r="NM224" s="33"/>
      <c r="NN224" s="33"/>
      <c r="NO224" s="33"/>
      <c r="NP224" s="33"/>
      <c r="NQ224" s="33"/>
      <c r="NR224" s="33"/>
      <c r="NS224" s="33"/>
      <c r="NT224" s="33"/>
      <c r="NU224" s="33"/>
      <c r="NV224" s="33"/>
      <c r="NW224" s="33"/>
      <c r="NX224" s="33"/>
      <c r="NY224" s="33"/>
      <c r="NZ224" s="33"/>
      <c r="OA224" s="33"/>
      <c r="OB224" s="33"/>
      <c r="OC224" s="33"/>
      <c r="OD224" s="33"/>
      <c r="OE224" s="33"/>
      <c r="OF224" s="33"/>
      <c r="OG224" s="33"/>
      <c r="OH224" s="33"/>
      <c r="OI224" s="33"/>
      <c r="OJ224" s="33"/>
      <c r="OK224" s="33"/>
      <c r="OL224" s="33"/>
      <c r="OM224" s="33"/>
      <c r="ON224" s="33"/>
      <c r="OO224" s="33"/>
      <c r="OP224" s="33"/>
      <c r="OQ224" s="33"/>
      <c r="OR224" s="33"/>
      <c r="OS224" s="33"/>
      <c r="OT224" s="33"/>
      <c r="OU224" s="33"/>
      <c r="OV224" s="33"/>
      <c r="OW224" s="33"/>
      <c r="OX224" s="33"/>
      <c r="OY224" s="33"/>
      <c r="OZ224" s="33"/>
      <c r="PA224" s="33"/>
      <c r="PB224" s="33"/>
      <c r="PC224" s="33"/>
      <c r="PD224" s="33"/>
      <c r="PE224" s="33"/>
      <c r="PF224" s="33"/>
      <c r="PG224" s="33"/>
      <c r="PH224" s="33"/>
      <c r="PI224" s="33"/>
      <c r="PJ224" s="33"/>
      <c r="PK224" s="33"/>
      <c r="PL224" s="33"/>
      <c r="PM224" s="33"/>
      <c r="PN224" s="33"/>
      <c r="PO224" s="33"/>
      <c r="PP224" s="33"/>
      <c r="PQ224" s="33"/>
      <c r="PR224" s="33"/>
      <c r="PS224" s="33"/>
      <c r="PT224" s="33"/>
      <c r="PU224" s="33"/>
      <c r="PV224" s="33"/>
      <c r="PW224" s="33"/>
      <c r="PX224" s="33"/>
      <c r="PY224" s="33"/>
      <c r="PZ224" s="33"/>
      <c r="QA224" s="33"/>
      <c r="QB224" s="33"/>
      <c r="QC224" s="33"/>
      <c r="QD224" s="33"/>
      <c r="QE224" s="33"/>
      <c r="QF224" s="33"/>
      <c r="QG224" s="33"/>
      <c r="QH224" s="33"/>
      <c r="QI224" s="33"/>
      <c r="QJ224" s="33"/>
      <c r="QK224" s="33"/>
      <c r="QL224" s="33"/>
      <c r="QM224" s="33"/>
      <c r="QN224" s="33"/>
      <c r="QO224" s="33"/>
      <c r="QP224" s="33"/>
      <c r="QQ224" s="33"/>
      <c r="QR224" s="33"/>
      <c r="QS224" s="33"/>
      <c r="QT224" s="33"/>
      <c r="QU224" s="33"/>
      <c r="QV224" s="33"/>
      <c r="QW224" s="33"/>
      <c r="QX224" s="33"/>
      <c r="QY224" s="33"/>
      <c r="QZ224" s="33"/>
      <c r="RA224" s="33"/>
      <c r="RB224" s="33"/>
      <c r="RC224" s="33"/>
      <c r="RD224" s="33"/>
      <c r="RE224" s="33"/>
      <c r="RF224" s="33"/>
      <c r="RG224" s="33"/>
      <c r="RH224" s="33"/>
      <c r="RI224" s="33"/>
      <c r="RJ224" s="33"/>
      <c r="RK224" s="33"/>
      <c r="RL224" s="33"/>
      <c r="RM224" s="33"/>
      <c r="RN224" s="33"/>
      <c r="RO224" s="33"/>
      <c r="RP224" s="33"/>
      <c r="RQ224" s="33"/>
      <c r="RR224" s="33"/>
      <c r="RS224" s="33"/>
      <c r="RT224" s="33"/>
      <c r="RU224" s="33"/>
      <c r="RV224" s="33"/>
      <c r="RW224" s="33"/>
      <c r="RX224" s="33"/>
      <c r="RY224" s="33"/>
      <c r="RZ224" s="33"/>
      <c r="SA224" s="33"/>
      <c r="SB224" s="33"/>
      <c r="SC224" s="33"/>
      <c r="SD224" s="33"/>
      <c r="SE224" s="33"/>
      <c r="SF224" s="33"/>
      <c r="SG224" s="33"/>
      <c r="SH224" s="33"/>
      <c r="SI224" s="33"/>
      <c r="SJ224" s="33"/>
      <c r="SK224" s="33"/>
      <c r="SL224" s="33"/>
      <c r="SM224" s="33"/>
      <c r="SN224" s="33"/>
      <c r="SO224" s="33"/>
      <c r="SP224" s="33"/>
      <c r="SQ224" s="33"/>
      <c r="SR224" s="33"/>
      <c r="SS224" s="33"/>
      <c r="ST224" s="33"/>
      <c r="SU224" s="33"/>
      <c r="SV224" s="33"/>
      <c r="SW224" s="33"/>
      <c r="SX224" s="33"/>
      <c r="SY224" s="33"/>
      <c r="SZ224" s="33"/>
      <c r="TA224" s="33"/>
      <c r="TB224" s="33"/>
      <c r="TC224" s="33"/>
      <c r="TD224" s="33"/>
      <c r="TE224" s="33"/>
      <c r="TF224" s="33"/>
      <c r="TG224" s="33"/>
    </row>
    <row r="225" spans="1:527" s="34" customFormat="1" ht="117.75" customHeight="1" x14ac:dyDescent="0.25">
      <c r="A225" s="95"/>
      <c r="B225" s="108"/>
      <c r="C225" s="108"/>
      <c r="D225" s="76" t="s">
        <v>397</v>
      </c>
      <c r="E225" s="97">
        <f>E253</f>
        <v>0</v>
      </c>
      <c r="F225" s="97">
        <f t="shared" ref="F225:P225" si="101">F253</f>
        <v>0</v>
      </c>
      <c r="G225" s="97">
        <f t="shared" si="101"/>
        <v>0</v>
      </c>
      <c r="H225" s="97">
        <f t="shared" si="101"/>
        <v>0</v>
      </c>
      <c r="I225" s="97">
        <f t="shared" si="101"/>
        <v>0</v>
      </c>
      <c r="J225" s="97">
        <f t="shared" si="101"/>
        <v>12100000</v>
      </c>
      <c r="K225" s="97">
        <f t="shared" si="101"/>
        <v>0</v>
      </c>
      <c r="L225" s="97">
        <f t="shared" si="101"/>
        <v>12100000</v>
      </c>
      <c r="M225" s="97">
        <f t="shared" si="101"/>
        <v>0</v>
      </c>
      <c r="N225" s="97">
        <f t="shared" si="101"/>
        <v>0</v>
      </c>
      <c r="O225" s="97">
        <f t="shared" si="101"/>
        <v>0</v>
      </c>
      <c r="P225" s="97">
        <f t="shared" si="101"/>
        <v>12100000</v>
      </c>
      <c r="Q225" s="33"/>
      <c r="R225" s="32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3"/>
      <c r="LZ225" s="33"/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3"/>
      <c r="MZ225" s="33"/>
      <c r="NA225" s="33"/>
      <c r="NB225" s="33"/>
      <c r="NC225" s="33"/>
      <c r="ND225" s="33"/>
      <c r="NE225" s="33"/>
      <c r="NF225" s="33"/>
      <c r="NG225" s="33"/>
      <c r="NH225" s="33"/>
      <c r="NI225" s="33"/>
      <c r="NJ225" s="33"/>
      <c r="NK225" s="33"/>
      <c r="NL225" s="33"/>
      <c r="NM225" s="33"/>
      <c r="NN225" s="33"/>
      <c r="NO225" s="33"/>
      <c r="NP225" s="33"/>
      <c r="NQ225" s="33"/>
      <c r="NR225" s="33"/>
      <c r="NS225" s="33"/>
      <c r="NT225" s="33"/>
      <c r="NU225" s="33"/>
      <c r="NV225" s="33"/>
      <c r="NW225" s="33"/>
      <c r="NX225" s="33"/>
      <c r="NY225" s="33"/>
      <c r="NZ225" s="33"/>
      <c r="OA225" s="33"/>
      <c r="OB225" s="33"/>
      <c r="OC225" s="33"/>
      <c r="OD225" s="33"/>
      <c r="OE225" s="33"/>
      <c r="OF225" s="33"/>
      <c r="OG225" s="33"/>
      <c r="OH225" s="33"/>
      <c r="OI225" s="33"/>
      <c r="OJ225" s="33"/>
      <c r="OK225" s="33"/>
      <c r="OL225" s="33"/>
      <c r="OM225" s="33"/>
      <c r="ON225" s="33"/>
      <c r="OO225" s="33"/>
      <c r="OP225" s="33"/>
      <c r="OQ225" s="33"/>
      <c r="OR225" s="33"/>
      <c r="OS225" s="33"/>
      <c r="OT225" s="33"/>
      <c r="OU225" s="33"/>
      <c r="OV225" s="33"/>
      <c r="OW225" s="33"/>
      <c r="OX225" s="33"/>
      <c r="OY225" s="33"/>
      <c r="OZ225" s="33"/>
      <c r="PA225" s="33"/>
      <c r="PB225" s="33"/>
      <c r="PC225" s="33"/>
      <c r="PD225" s="33"/>
      <c r="PE225" s="33"/>
      <c r="PF225" s="33"/>
      <c r="PG225" s="33"/>
      <c r="PH225" s="33"/>
      <c r="PI225" s="33"/>
      <c r="PJ225" s="33"/>
      <c r="PK225" s="33"/>
      <c r="PL225" s="33"/>
      <c r="PM225" s="33"/>
      <c r="PN225" s="33"/>
      <c r="PO225" s="33"/>
      <c r="PP225" s="33"/>
      <c r="PQ225" s="33"/>
      <c r="PR225" s="33"/>
      <c r="PS225" s="33"/>
      <c r="PT225" s="33"/>
      <c r="PU225" s="33"/>
      <c r="PV225" s="33"/>
      <c r="PW225" s="33"/>
      <c r="PX225" s="33"/>
      <c r="PY225" s="33"/>
      <c r="PZ225" s="33"/>
      <c r="QA225" s="33"/>
      <c r="QB225" s="33"/>
      <c r="QC225" s="33"/>
      <c r="QD225" s="33"/>
      <c r="QE225" s="33"/>
      <c r="QF225" s="33"/>
      <c r="QG225" s="33"/>
      <c r="QH225" s="33"/>
      <c r="QI225" s="33"/>
      <c r="QJ225" s="33"/>
      <c r="QK225" s="33"/>
      <c r="QL225" s="33"/>
      <c r="QM225" s="33"/>
      <c r="QN225" s="33"/>
      <c r="QO225" s="33"/>
      <c r="QP225" s="33"/>
      <c r="QQ225" s="33"/>
      <c r="QR225" s="33"/>
      <c r="QS225" s="33"/>
      <c r="QT225" s="33"/>
      <c r="QU225" s="33"/>
      <c r="QV225" s="33"/>
      <c r="QW225" s="33"/>
      <c r="QX225" s="33"/>
      <c r="QY225" s="33"/>
      <c r="QZ225" s="33"/>
      <c r="RA225" s="33"/>
      <c r="RB225" s="33"/>
      <c r="RC225" s="33"/>
      <c r="RD225" s="33"/>
      <c r="RE225" s="33"/>
      <c r="RF225" s="33"/>
      <c r="RG225" s="33"/>
      <c r="RH225" s="33"/>
      <c r="RI225" s="33"/>
      <c r="RJ225" s="33"/>
      <c r="RK225" s="33"/>
      <c r="RL225" s="33"/>
      <c r="RM225" s="33"/>
      <c r="RN225" s="33"/>
      <c r="RO225" s="33"/>
      <c r="RP225" s="33"/>
      <c r="RQ225" s="33"/>
      <c r="RR225" s="33"/>
      <c r="RS225" s="33"/>
      <c r="RT225" s="33"/>
      <c r="RU225" s="33"/>
      <c r="RV225" s="33"/>
      <c r="RW225" s="33"/>
      <c r="RX225" s="33"/>
      <c r="RY225" s="33"/>
      <c r="RZ225" s="33"/>
      <c r="SA225" s="33"/>
      <c r="SB225" s="33"/>
      <c r="SC225" s="33"/>
      <c r="SD225" s="33"/>
      <c r="SE225" s="33"/>
      <c r="SF225" s="33"/>
      <c r="SG225" s="33"/>
      <c r="SH225" s="33"/>
      <c r="SI225" s="33"/>
      <c r="SJ225" s="33"/>
      <c r="SK225" s="33"/>
      <c r="SL225" s="33"/>
      <c r="SM225" s="33"/>
      <c r="SN225" s="33"/>
      <c r="SO225" s="33"/>
      <c r="SP225" s="33"/>
      <c r="SQ225" s="33"/>
      <c r="SR225" s="33"/>
      <c r="SS225" s="33"/>
      <c r="ST225" s="33"/>
      <c r="SU225" s="33"/>
      <c r="SV225" s="33"/>
      <c r="SW225" s="33"/>
      <c r="SX225" s="33"/>
      <c r="SY225" s="33"/>
      <c r="SZ225" s="33"/>
      <c r="TA225" s="33"/>
      <c r="TB225" s="33"/>
      <c r="TC225" s="33"/>
      <c r="TD225" s="33"/>
      <c r="TE225" s="33"/>
      <c r="TF225" s="33"/>
      <c r="TG225" s="33"/>
    </row>
    <row r="226" spans="1:527" s="34" customFormat="1" ht="84" customHeight="1" x14ac:dyDescent="0.25">
      <c r="A226" s="95"/>
      <c r="B226" s="108"/>
      <c r="C226" s="108"/>
      <c r="D226" s="76" t="s">
        <v>539</v>
      </c>
      <c r="E226" s="97">
        <f>E254</f>
        <v>1527346</v>
      </c>
      <c r="F226" s="97">
        <f t="shared" ref="F226:P226" si="102">F254</f>
        <v>1527346</v>
      </c>
      <c r="G226" s="97">
        <f t="shared" si="102"/>
        <v>0</v>
      </c>
      <c r="H226" s="97">
        <f t="shared" si="102"/>
        <v>0</v>
      </c>
      <c r="I226" s="97">
        <f t="shared" si="102"/>
        <v>0</v>
      </c>
      <c r="J226" s="97">
        <f t="shared" si="102"/>
        <v>0</v>
      </c>
      <c r="K226" s="97">
        <f t="shared" si="102"/>
        <v>0</v>
      </c>
      <c r="L226" s="97">
        <f t="shared" si="102"/>
        <v>0</v>
      </c>
      <c r="M226" s="97">
        <f t="shared" si="102"/>
        <v>0</v>
      </c>
      <c r="N226" s="97">
        <f t="shared" si="102"/>
        <v>0</v>
      </c>
      <c r="O226" s="97">
        <f t="shared" si="102"/>
        <v>0</v>
      </c>
      <c r="P226" s="97">
        <f t="shared" si="102"/>
        <v>1527346</v>
      </c>
      <c r="Q226" s="33"/>
      <c r="R226" s="32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  <c r="SQ226" s="33"/>
      <c r="SR226" s="33"/>
      <c r="SS226" s="33"/>
      <c r="ST226" s="33"/>
      <c r="SU226" s="33"/>
      <c r="SV226" s="33"/>
      <c r="SW226" s="33"/>
      <c r="SX226" s="33"/>
      <c r="SY226" s="33"/>
      <c r="SZ226" s="33"/>
      <c r="TA226" s="33"/>
      <c r="TB226" s="33"/>
      <c r="TC226" s="33"/>
      <c r="TD226" s="33"/>
      <c r="TE226" s="33"/>
      <c r="TF226" s="33"/>
      <c r="TG226" s="33"/>
    </row>
    <row r="227" spans="1:527" s="34" customFormat="1" ht="61.5" customHeight="1" x14ac:dyDescent="0.25">
      <c r="A227" s="95"/>
      <c r="B227" s="108"/>
      <c r="C227" s="108"/>
      <c r="D227" s="76" t="s">
        <v>388</v>
      </c>
      <c r="E227" s="97">
        <f>E249</f>
        <v>0</v>
      </c>
      <c r="F227" s="97">
        <f t="shared" ref="F227:P227" si="103">F249</f>
        <v>0</v>
      </c>
      <c r="G227" s="97">
        <f t="shared" si="103"/>
        <v>0</v>
      </c>
      <c r="H227" s="97">
        <f t="shared" si="103"/>
        <v>0</v>
      </c>
      <c r="I227" s="97">
        <f t="shared" si="103"/>
        <v>0</v>
      </c>
      <c r="J227" s="97">
        <f t="shared" si="103"/>
        <v>11377714</v>
      </c>
      <c r="K227" s="97">
        <f t="shared" si="103"/>
        <v>11377714</v>
      </c>
      <c r="L227" s="97">
        <f t="shared" si="103"/>
        <v>0</v>
      </c>
      <c r="M227" s="97">
        <f t="shared" si="103"/>
        <v>0</v>
      </c>
      <c r="N227" s="97">
        <f t="shared" si="103"/>
        <v>0</v>
      </c>
      <c r="O227" s="97">
        <f t="shared" si="103"/>
        <v>11377714</v>
      </c>
      <c r="P227" s="97">
        <f t="shared" si="103"/>
        <v>11377714</v>
      </c>
      <c r="Q227" s="33"/>
      <c r="R227" s="32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</row>
    <row r="228" spans="1:527" s="34" customFormat="1" ht="141.75" x14ac:dyDescent="0.25">
      <c r="A228" s="95"/>
      <c r="B228" s="108"/>
      <c r="C228" s="108"/>
      <c r="D228" s="144" t="s">
        <v>619</v>
      </c>
      <c r="E228" s="97">
        <f>E240</f>
        <v>0</v>
      </c>
      <c r="F228" s="97">
        <f t="shared" ref="F228:P228" si="104">F240</f>
        <v>0</v>
      </c>
      <c r="G228" s="97">
        <f t="shared" si="104"/>
        <v>0</v>
      </c>
      <c r="H228" s="97">
        <f t="shared" si="104"/>
        <v>0</v>
      </c>
      <c r="I228" s="97">
        <f t="shared" si="104"/>
        <v>0</v>
      </c>
      <c r="J228" s="97">
        <f t="shared" si="104"/>
        <v>0</v>
      </c>
      <c r="K228" s="97">
        <f t="shared" si="104"/>
        <v>0</v>
      </c>
      <c r="L228" s="97">
        <f t="shared" si="104"/>
        <v>0</v>
      </c>
      <c r="M228" s="97">
        <f t="shared" si="104"/>
        <v>0</v>
      </c>
      <c r="N228" s="97">
        <f t="shared" si="104"/>
        <v>0</v>
      </c>
      <c r="O228" s="97">
        <f t="shared" si="104"/>
        <v>0</v>
      </c>
      <c r="P228" s="97">
        <f t="shared" si="104"/>
        <v>0</v>
      </c>
      <c r="Q228" s="33"/>
      <c r="R228" s="32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  <c r="TG228" s="33"/>
    </row>
    <row r="229" spans="1:527" s="34" customFormat="1" ht="15.75" x14ac:dyDescent="0.25">
      <c r="A229" s="95"/>
      <c r="B229" s="108"/>
      <c r="C229" s="108"/>
      <c r="D229" s="82" t="s">
        <v>393</v>
      </c>
      <c r="E229" s="97">
        <f>E251+E256</f>
        <v>200000</v>
      </c>
      <c r="F229" s="97">
        <f t="shared" ref="F229:P229" si="105">F251+F256</f>
        <v>200000</v>
      </c>
      <c r="G229" s="97">
        <f t="shared" si="105"/>
        <v>0</v>
      </c>
      <c r="H229" s="97">
        <f t="shared" si="105"/>
        <v>0</v>
      </c>
      <c r="I229" s="97">
        <f t="shared" si="105"/>
        <v>0</v>
      </c>
      <c r="J229" s="97">
        <f t="shared" si="105"/>
        <v>200000</v>
      </c>
      <c r="K229" s="97">
        <f t="shared" si="105"/>
        <v>200000</v>
      </c>
      <c r="L229" s="97">
        <f t="shared" si="105"/>
        <v>0</v>
      </c>
      <c r="M229" s="97">
        <f t="shared" si="105"/>
        <v>0</v>
      </c>
      <c r="N229" s="97">
        <f t="shared" si="105"/>
        <v>0</v>
      </c>
      <c r="O229" s="97">
        <f t="shared" si="105"/>
        <v>200000</v>
      </c>
      <c r="P229" s="97">
        <f t="shared" si="105"/>
        <v>400000</v>
      </c>
      <c r="Q229" s="33"/>
      <c r="R229" s="32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  <c r="SQ229" s="33"/>
      <c r="SR229" s="33"/>
      <c r="SS229" s="33"/>
      <c r="ST229" s="33"/>
      <c r="SU229" s="33"/>
      <c r="SV229" s="33"/>
      <c r="SW229" s="33"/>
      <c r="SX229" s="33"/>
      <c r="SY229" s="33"/>
      <c r="SZ229" s="33"/>
      <c r="TA229" s="33"/>
      <c r="TB229" s="33"/>
      <c r="TC229" s="33"/>
      <c r="TD229" s="33"/>
      <c r="TE229" s="33"/>
      <c r="TF229" s="33"/>
      <c r="TG229" s="33"/>
    </row>
    <row r="230" spans="1:527" s="34" customFormat="1" ht="15.75" x14ac:dyDescent="0.25">
      <c r="A230" s="95"/>
      <c r="B230" s="108"/>
      <c r="C230" s="108"/>
      <c r="D230" s="82" t="s">
        <v>419</v>
      </c>
      <c r="E230" s="97">
        <f>E260</f>
        <v>0</v>
      </c>
      <c r="F230" s="97">
        <f t="shared" ref="F230:P230" si="106">F260</f>
        <v>0</v>
      </c>
      <c r="G230" s="97">
        <f t="shared" si="106"/>
        <v>0</v>
      </c>
      <c r="H230" s="97">
        <f t="shared" si="106"/>
        <v>0</v>
      </c>
      <c r="I230" s="97">
        <f t="shared" si="106"/>
        <v>0</v>
      </c>
      <c r="J230" s="97">
        <f t="shared" si="106"/>
        <v>26250000</v>
      </c>
      <c r="K230" s="97">
        <f t="shared" si="106"/>
        <v>26250000</v>
      </c>
      <c r="L230" s="97">
        <f t="shared" si="106"/>
        <v>0</v>
      </c>
      <c r="M230" s="97">
        <f t="shared" si="106"/>
        <v>0</v>
      </c>
      <c r="N230" s="97">
        <f t="shared" si="106"/>
        <v>0</v>
      </c>
      <c r="O230" s="97">
        <f t="shared" si="106"/>
        <v>26250000</v>
      </c>
      <c r="P230" s="97">
        <f t="shared" si="106"/>
        <v>26250000</v>
      </c>
      <c r="Q230" s="33"/>
      <c r="R230" s="32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  <c r="TF230" s="33"/>
      <c r="TG230" s="33"/>
    </row>
    <row r="231" spans="1:527" s="22" customFormat="1" ht="47.25" x14ac:dyDescent="0.25">
      <c r="A231" s="59" t="s">
        <v>196</v>
      </c>
      <c r="B231" s="59" t="str">
        <f>'дод 7'!A19</f>
        <v>0160</v>
      </c>
      <c r="C231" s="59" t="str">
        <f>'дод 7'!B19</f>
        <v>0111</v>
      </c>
      <c r="D231" s="93" t="s">
        <v>493</v>
      </c>
      <c r="E231" s="98">
        <f t="shared" ref="E231:E266" si="107">F231+I231</f>
        <v>14495155</v>
      </c>
      <c r="F231" s="98">
        <f>14436900+5575-23920+76600</f>
        <v>14495155</v>
      </c>
      <c r="G231" s="98">
        <f>11274000-19600</f>
        <v>11254400</v>
      </c>
      <c r="H231" s="98">
        <f>203100+5575+76600</f>
        <v>285275</v>
      </c>
      <c r="I231" s="98"/>
      <c r="J231" s="98">
        <f>L231+O231</f>
        <v>0</v>
      </c>
      <c r="K231" s="98"/>
      <c r="L231" s="98"/>
      <c r="M231" s="98"/>
      <c r="N231" s="98"/>
      <c r="O231" s="98"/>
      <c r="P231" s="98">
        <f t="shared" ref="P231:P266" si="108">E231+J231</f>
        <v>14495155</v>
      </c>
      <c r="Q231" s="23"/>
      <c r="R231" s="32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</row>
    <row r="232" spans="1:527" s="22" customFormat="1" ht="23.25" customHeight="1" x14ac:dyDescent="0.25">
      <c r="A232" s="59" t="s">
        <v>542</v>
      </c>
      <c r="B232" s="59" t="s">
        <v>45</v>
      </c>
      <c r="C232" s="59" t="s">
        <v>93</v>
      </c>
      <c r="D232" s="93" t="s">
        <v>242</v>
      </c>
      <c r="E232" s="98">
        <f t="shared" si="107"/>
        <v>600000</v>
      </c>
      <c r="F232" s="98">
        <f>1000000-400000</f>
        <v>600000</v>
      </c>
      <c r="G232" s="98"/>
      <c r="H232" s="98"/>
      <c r="I232" s="98"/>
      <c r="J232" s="98">
        <f>L232+O232</f>
        <v>0</v>
      </c>
      <c r="K232" s="98"/>
      <c r="L232" s="98"/>
      <c r="M232" s="98"/>
      <c r="N232" s="98"/>
      <c r="O232" s="98"/>
      <c r="P232" s="98">
        <f t="shared" si="108"/>
        <v>600000</v>
      </c>
      <c r="Q232" s="23"/>
      <c r="R232" s="32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</row>
    <row r="233" spans="1:527" s="22" customFormat="1" ht="15.75" hidden="1" x14ac:dyDescent="0.25">
      <c r="A233" s="102" t="s">
        <v>302</v>
      </c>
      <c r="B233" s="42" t="str">
        <f>'дод 7'!A131</f>
        <v>3210</v>
      </c>
      <c r="C233" s="42" t="str">
        <f>'дод 7'!B131</f>
        <v>1050</v>
      </c>
      <c r="D233" s="36" t="str">
        <f>'дод 7'!C131</f>
        <v>Організація та проведення громадських робіт</v>
      </c>
      <c r="E233" s="98">
        <f t="shared" si="107"/>
        <v>0</v>
      </c>
      <c r="F233" s="98">
        <f>200000-40000-160000</f>
        <v>0</v>
      </c>
      <c r="G233" s="98"/>
      <c r="H233" s="98"/>
      <c r="I233" s="98"/>
      <c r="J233" s="98">
        <f t="shared" ref="J233:J266" si="109">L233+O233</f>
        <v>0</v>
      </c>
      <c r="K233" s="98"/>
      <c r="L233" s="98"/>
      <c r="M233" s="98"/>
      <c r="N233" s="98"/>
      <c r="O233" s="98"/>
      <c r="P233" s="98">
        <f t="shared" si="108"/>
        <v>0</v>
      </c>
      <c r="Q233" s="23"/>
      <c r="R233" s="32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33.75" customHeight="1" x14ac:dyDescent="0.25">
      <c r="A234" s="59" t="s">
        <v>197</v>
      </c>
      <c r="B234" s="92" t="str">
        <f>'дод 7'!A157</f>
        <v>6011</v>
      </c>
      <c r="C234" s="92" t="str">
        <f>'дод 7'!B157</f>
        <v>0610</v>
      </c>
      <c r="D234" s="60" t="str">
        <f>'дод 7'!C157</f>
        <v>Експлуатація та технічне обслуговування житлового фонду</v>
      </c>
      <c r="E234" s="98">
        <f t="shared" si="107"/>
        <v>0</v>
      </c>
      <c r="F234" s="98"/>
      <c r="G234" s="98"/>
      <c r="H234" s="98"/>
      <c r="I234" s="98"/>
      <c r="J234" s="98">
        <f t="shared" si="109"/>
        <v>9020843.5199999996</v>
      </c>
      <c r="K234" s="98">
        <f>7054092-807126.65+807126.65+172300+40000+154400+169950+593700+23900-19300+37614+100560+126700+49900+62000+204157+49000+650100-124900+49900-365100+44300+162056-80000-50197-84660+49950-9687.74-23505.06-32594.45-20271.23</f>
        <v>8984363.5199999996</v>
      </c>
      <c r="L234" s="98"/>
      <c r="M234" s="98"/>
      <c r="N234" s="98"/>
      <c r="O234" s="98">
        <f>7090572-807126.65+807126.65+172300+40000+154400+169950+593700+23900-19300+37614+100560+126700+49900+62000+204157+49000+650100-124900+49900-365100+44300+162056-80000-50197-84660+49950-9687.74-23505.06-32594.45-20271.23</f>
        <v>9020843.5199999996</v>
      </c>
      <c r="P234" s="98">
        <f t="shared" si="108"/>
        <v>9020843.5199999996</v>
      </c>
      <c r="Q234" s="23"/>
      <c r="R234" s="32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31.5" x14ac:dyDescent="0.25">
      <c r="A235" s="59" t="s">
        <v>198</v>
      </c>
      <c r="B235" s="92" t="str">
        <f>'дод 7'!A158</f>
        <v>6013</v>
      </c>
      <c r="C235" s="92" t="str">
        <f>'дод 7'!B158</f>
        <v>0620</v>
      </c>
      <c r="D235" s="60" t="str">
        <f>'дод 7'!C158</f>
        <v>Забезпечення діяльності водопровідно-каналізаційного господарства</v>
      </c>
      <c r="E235" s="98">
        <f t="shared" si="107"/>
        <v>29081568</v>
      </c>
      <c r="F235" s="98">
        <f>576568+5000</f>
        <v>581568</v>
      </c>
      <c r="G235" s="98"/>
      <c r="H235" s="98"/>
      <c r="I235" s="98">
        <v>28500000</v>
      </c>
      <c r="J235" s="98">
        <f t="shared" si="109"/>
        <v>200000</v>
      </c>
      <c r="K235" s="98">
        <f>230000-30000</f>
        <v>200000</v>
      </c>
      <c r="L235" s="98"/>
      <c r="M235" s="98"/>
      <c r="N235" s="98"/>
      <c r="O235" s="98">
        <f>230000-30000</f>
        <v>200000</v>
      </c>
      <c r="P235" s="98">
        <f t="shared" si="108"/>
        <v>29281568</v>
      </c>
      <c r="Q235" s="23"/>
      <c r="R235" s="32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33" customHeight="1" x14ac:dyDescent="0.25">
      <c r="A236" s="59" t="s">
        <v>259</v>
      </c>
      <c r="B236" s="92" t="str">
        <f>'дод 7'!A159</f>
        <v>6015</v>
      </c>
      <c r="C236" s="92" t="str">
        <f>'дод 7'!B159</f>
        <v>0620</v>
      </c>
      <c r="D236" s="60" t="str">
        <f>'дод 7'!C159</f>
        <v>Забезпечення надійної та безперебійної експлуатації ліфтів</v>
      </c>
      <c r="E236" s="98">
        <f t="shared" si="107"/>
        <v>71280</v>
      </c>
      <c r="F236" s="98">
        <v>71280</v>
      </c>
      <c r="G236" s="98"/>
      <c r="H236" s="98"/>
      <c r="I236" s="98"/>
      <c r="J236" s="98">
        <f t="shared" si="109"/>
        <v>32295150</v>
      </c>
      <c r="K236" s="98">
        <f>6600000-96212+96212+4439600+1450000+700000+590000+232000-200000-200000+50000+318000+80000+592000+16000+65000+17450000+447450+835000+75000-115000-234900-977000+32000</f>
        <v>32245150</v>
      </c>
      <c r="L236" s="98"/>
      <c r="M236" s="98"/>
      <c r="N236" s="98"/>
      <c r="O236" s="98">
        <f>6650000-96212+96212+4439600+1450000+700000+590000+232000-200000-200000+50000+318000+80000+592000+16000+65000+17450000+447450+835000+75000-115000-234900-977000+32000</f>
        <v>32295150</v>
      </c>
      <c r="P236" s="98">
        <f t="shared" si="108"/>
        <v>32366430</v>
      </c>
      <c r="Q236" s="23"/>
      <c r="R236" s="32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32.25" customHeight="1" x14ac:dyDescent="0.25">
      <c r="A237" s="59" t="s">
        <v>262</v>
      </c>
      <c r="B237" s="92" t="str">
        <f>'дод 7'!A160</f>
        <v>6017</v>
      </c>
      <c r="C237" s="92" t="str">
        <f>'дод 7'!B160</f>
        <v>0620</v>
      </c>
      <c r="D237" s="60" t="str">
        <f>'дод 7'!C160</f>
        <v>Інша діяльність, пов’язана з експлуатацією об’єктів житлово-комунального господарства</v>
      </c>
      <c r="E237" s="98">
        <f t="shared" si="107"/>
        <v>100000</v>
      </c>
      <c r="F237" s="98">
        <v>100000</v>
      </c>
      <c r="G237" s="98"/>
      <c r="H237" s="98"/>
      <c r="I237" s="98"/>
      <c r="J237" s="98">
        <f t="shared" si="109"/>
        <v>0</v>
      </c>
      <c r="K237" s="98"/>
      <c r="L237" s="98"/>
      <c r="M237" s="98"/>
      <c r="N237" s="98"/>
      <c r="O237" s="98"/>
      <c r="P237" s="98">
        <f t="shared" si="108"/>
        <v>100000</v>
      </c>
      <c r="Q237" s="23"/>
      <c r="R237" s="32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2" customFormat="1" ht="47.25" x14ac:dyDescent="0.25">
      <c r="A238" s="59" t="s">
        <v>199</v>
      </c>
      <c r="B238" s="92" t="str">
        <f>'дод 7'!A161</f>
        <v>6020</v>
      </c>
      <c r="C238" s="92" t="str">
        <f>'дод 7'!B161</f>
        <v>0620</v>
      </c>
      <c r="D238" s="60" t="str">
        <f>'дод 7'!C161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38" s="98">
        <f t="shared" si="107"/>
        <v>2815132.48</v>
      </c>
      <c r="F238" s="98"/>
      <c r="G238" s="98"/>
      <c r="H238" s="98"/>
      <c r="I238" s="98">
        <f>1786258.48+1028874</f>
        <v>2815132.48</v>
      </c>
      <c r="J238" s="98">
        <f t="shared" si="109"/>
        <v>85000</v>
      </c>
      <c r="K238" s="98">
        <f>85000</f>
        <v>85000</v>
      </c>
      <c r="L238" s="98"/>
      <c r="M238" s="98"/>
      <c r="N238" s="98"/>
      <c r="O238" s="98">
        <f>85000</f>
        <v>85000</v>
      </c>
      <c r="P238" s="98">
        <f t="shared" si="108"/>
        <v>2900132.48</v>
      </c>
      <c r="Q238" s="23"/>
      <c r="R238" s="32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</row>
    <row r="239" spans="1:527" s="22" customFormat="1" ht="24.75" customHeight="1" x14ac:dyDescent="0.25">
      <c r="A239" s="59" t="s">
        <v>200</v>
      </c>
      <c r="B239" s="92" t="str">
        <f>'дод 7'!A162</f>
        <v>6030</v>
      </c>
      <c r="C239" s="92" t="str">
        <f>'дод 7'!B162</f>
        <v>0620</v>
      </c>
      <c r="D239" s="60" t="str">
        <f>'дод 7'!C162</f>
        <v>Організація благоустрою населених пунктів</v>
      </c>
      <c r="E239" s="98">
        <f t="shared" si="107"/>
        <v>240932362.25999999</v>
      </c>
      <c r="F239" s="98">
        <f>245778703.78+17600-5000000+9687.74+23505.06+32594.45+20271.23</f>
        <v>240882362.25999999</v>
      </c>
      <c r="G239" s="98"/>
      <c r="H239" s="98">
        <v>37647943</v>
      </c>
      <c r="I239" s="98">
        <v>50000</v>
      </c>
      <c r="J239" s="98">
        <f t="shared" si="109"/>
        <v>40081277.079999991</v>
      </c>
      <c r="K239" s="98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+7000000-280705-889330-1410095+800000-28294.5+49900</f>
        <v>40081277.079999991</v>
      </c>
      <c r="L239" s="112"/>
      <c r="M239" s="98"/>
      <c r="N239" s="98"/>
      <c r="O239" s="98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+7000000-280705-889330-1410095+800000-28294.5+49900</f>
        <v>40081277.079999991</v>
      </c>
      <c r="P239" s="98">
        <f t="shared" si="108"/>
        <v>281013639.33999997</v>
      </c>
      <c r="Q239" s="23"/>
      <c r="R239" s="32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</row>
    <row r="240" spans="1:527" s="22" customFormat="1" ht="94.5" hidden="1" x14ac:dyDescent="0.25">
      <c r="A240" s="59" t="s">
        <v>613</v>
      </c>
      <c r="B240" s="92">
        <v>6083</v>
      </c>
      <c r="C240" s="59" t="s">
        <v>68</v>
      </c>
      <c r="D240" s="11" t="s">
        <v>438</v>
      </c>
      <c r="E240" s="98">
        <f>F240+I240</f>
        <v>0</v>
      </c>
      <c r="F240" s="98"/>
      <c r="G240" s="98"/>
      <c r="H240" s="98"/>
      <c r="I240" s="98"/>
      <c r="J240" s="98">
        <f t="shared" si="109"/>
        <v>0</v>
      </c>
      <c r="K240" s="98">
        <f>615000+90587-705587</f>
        <v>0</v>
      </c>
      <c r="L240" s="98"/>
      <c r="M240" s="98"/>
      <c r="N240" s="98"/>
      <c r="O240" s="98">
        <f>615000+90587-705587</f>
        <v>0</v>
      </c>
      <c r="P240" s="98">
        <f>E240+J240</f>
        <v>0</v>
      </c>
      <c r="Q240" s="23"/>
      <c r="R240" s="32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</row>
    <row r="241" spans="1:527" s="22" customFormat="1" ht="141.75" hidden="1" x14ac:dyDescent="0.25">
      <c r="A241" s="83"/>
      <c r="B241" s="110"/>
      <c r="C241" s="83"/>
      <c r="D241" s="89" t="s">
        <v>619</v>
      </c>
      <c r="E241" s="98">
        <f>F241+I241</f>
        <v>0</v>
      </c>
      <c r="F241" s="100"/>
      <c r="G241" s="100"/>
      <c r="H241" s="100"/>
      <c r="I241" s="100"/>
      <c r="J241" s="98">
        <f t="shared" si="109"/>
        <v>0</v>
      </c>
      <c r="K241" s="100">
        <f>615000+90587-705587</f>
        <v>0</v>
      </c>
      <c r="L241" s="100"/>
      <c r="M241" s="100"/>
      <c r="N241" s="100"/>
      <c r="O241" s="100">
        <f>615000+90587-705587</f>
        <v>0</v>
      </c>
      <c r="P241" s="98">
        <f>E241+J241</f>
        <v>0</v>
      </c>
      <c r="Q241" s="23"/>
      <c r="R241" s="32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</row>
    <row r="242" spans="1:527" s="22" customFormat="1" ht="31.5" customHeight="1" x14ac:dyDescent="0.25">
      <c r="A242" s="59" t="s">
        <v>252</v>
      </c>
      <c r="B242" s="92" t="str">
        <f>'дод 7'!A166</f>
        <v>6090</v>
      </c>
      <c r="C242" s="92" t="str">
        <f>'дод 7'!B166</f>
        <v>0640</v>
      </c>
      <c r="D242" s="60" t="str">
        <f>'дод 7'!C166</f>
        <v>Інша діяльність у сфері житлово-комунального господарства</v>
      </c>
      <c r="E242" s="98">
        <f t="shared" si="107"/>
        <v>6243530.0099999998</v>
      </c>
      <c r="F242" s="98">
        <f>6934142.01-1027972.83-5720+150000</f>
        <v>6050449.1799999997</v>
      </c>
      <c r="G242" s="98"/>
      <c r="H242" s="98">
        <v>49590</v>
      </c>
      <c r="I242" s="98">
        <f>300000+48982-5901.17-150000</f>
        <v>193080.83000000002</v>
      </c>
      <c r="J242" s="98">
        <f t="shared" si="109"/>
        <v>1785000</v>
      </c>
      <c r="K242" s="98"/>
      <c r="L242" s="98">
        <v>1785000</v>
      </c>
      <c r="M242" s="98"/>
      <c r="N242" s="98"/>
      <c r="O242" s="98"/>
      <c r="P242" s="98">
        <f t="shared" si="108"/>
        <v>8028530.0099999998</v>
      </c>
      <c r="Q242" s="23"/>
      <c r="R242" s="32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</row>
    <row r="243" spans="1:527" s="22" customFormat="1" ht="34.5" x14ac:dyDescent="0.25">
      <c r="A243" s="59" t="s">
        <v>271</v>
      </c>
      <c r="B243" s="92" t="str">
        <f>'дод 7'!A179</f>
        <v>7310</v>
      </c>
      <c r="C243" s="92" t="str">
        <f>'дод 7'!B179</f>
        <v>0443</v>
      </c>
      <c r="D243" s="6" t="s">
        <v>551</v>
      </c>
      <c r="E243" s="98">
        <f t="shared" si="107"/>
        <v>0</v>
      </c>
      <c r="F243" s="98"/>
      <c r="G243" s="98"/>
      <c r="H243" s="98"/>
      <c r="I243" s="98"/>
      <c r="J243" s="98">
        <f t="shared" si="109"/>
        <v>26134591.07</v>
      </c>
      <c r="K243" s="98">
        <f>19836513+300000-38050+50000+200000-169950-49900-49900+49900-49900+85000-200000-3000000+600000-33000+1500000+600000+5700078.07-1389000-319295-65500+2577595</f>
        <v>26134591.07</v>
      </c>
      <c r="L243" s="98"/>
      <c r="M243" s="98"/>
      <c r="N243" s="98"/>
      <c r="O243" s="98">
        <f>19836513+300000-38050+50000+200000-169950-49900-49900+49900-49900+85000-200000-3000000+600000-33000+1500000+600000+5700078.07-1389000-319295-65500+2577595</f>
        <v>26134591.07</v>
      </c>
      <c r="P243" s="98">
        <f t="shared" si="108"/>
        <v>26134591.07</v>
      </c>
      <c r="Q243" s="23"/>
      <c r="R243" s="32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</row>
    <row r="244" spans="1:527" s="22" customFormat="1" ht="21" customHeight="1" x14ac:dyDescent="0.25">
      <c r="A244" s="59" t="s">
        <v>273</v>
      </c>
      <c r="B244" s="92" t="str">
        <f>'дод 7'!A187</f>
        <v>7330</v>
      </c>
      <c r="C244" s="92" t="str">
        <f>'дод 7'!B187</f>
        <v>0443</v>
      </c>
      <c r="D244" s="6" t="s">
        <v>546</v>
      </c>
      <c r="E244" s="98">
        <f t="shared" si="107"/>
        <v>0</v>
      </c>
      <c r="F244" s="98"/>
      <c r="G244" s="98"/>
      <c r="H244" s="98"/>
      <c r="I244" s="98"/>
      <c r="J244" s="98">
        <f t="shared" si="109"/>
        <v>19404605.579999998</v>
      </c>
      <c r="K244" s="98">
        <f>22088598+49900-407389.42-200000+3500000-4000000+500000+30000+250000+49900-70000+1000000-726244-230045-3300000+990000+151656+1300000-1300000+50000-190000+300000-1201200+240000+104000+20000+115000+50000+240430</f>
        <v>19404605.579999998</v>
      </c>
      <c r="L244" s="98"/>
      <c r="M244" s="98"/>
      <c r="N244" s="98"/>
      <c r="O244" s="98">
        <f>22088598+49900-407389.42-200000+3500000-4000000+500000+30000+250000+49900-70000+1000000-726244-230045-3300000+990000+151656+1300000-1300000+50000-190000+300000-1201200+240000+104000+20000+115000+50000+240430</f>
        <v>19404605.579999998</v>
      </c>
      <c r="P244" s="98">
        <f t="shared" si="108"/>
        <v>19404605.579999998</v>
      </c>
      <c r="Q244" s="23"/>
      <c r="R244" s="32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2" customFormat="1" ht="33" customHeight="1" x14ac:dyDescent="0.25">
      <c r="A245" s="59" t="s">
        <v>201</v>
      </c>
      <c r="B245" s="92">
        <v>7340</v>
      </c>
      <c r="C245" s="92" t="str">
        <f>'дод 7'!B186</f>
        <v>0443</v>
      </c>
      <c r="D245" s="60" t="str">
        <f>'дод 7'!C188</f>
        <v>Проектування, реставрація та охорона пам'яток архітектури</v>
      </c>
      <c r="E245" s="98">
        <f t="shared" ref="E245" si="110">F245+I245</f>
        <v>0</v>
      </c>
      <c r="F245" s="98"/>
      <c r="G245" s="98"/>
      <c r="H245" s="98"/>
      <c r="I245" s="98"/>
      <c r="J245" s="98">
        <f t="shared" ref="J245" si="111">L245+O245</f>
        <v>3250000</v>
      </c>
      <c r="K245" s="98">
        <f>3250000</f>
        <v>3250000</v>
      </c>
      <c r="L245" s="98"/>
      <c r="M245" s="98"/>
      <c r="N245" s="98"/>
      <c r="O245" s="98">
        <f>3250000</f>
        <v>3250000</v>
      </c>
      <c r="P245" s="98">
        <f t="shared" ref="P245" si="112">E245+J245</f>
        <v>3250000</v>
      </c>
      <c r="Q245" s="23"/>
      <c r="R245" s="32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</row>
    <row r="246" spans="1:527" s="22" customFormat="1" ht="49.5" hidden="1" customHeight="1" x14ac:dyDescent="0.25">
      <c r="A246" s="59" t="s">
        <v>370</v>
      </c>
      <c r="B246" s="92">
        <f>'дод 7'!A190</f>
        <v>7361</v>
      </c>
      <c r="C246" s="92" t="str">
        <f>'дод 7'!B190</f>
        <v>0490</v>
      </c>
      <c r="D246" s="60" t="str">
        <f>'дод 7'!C190</f>
        <v>Співфінансування інвестиційних проектів, що реалізуються за рахунок коштів державного фонду регіонального розвитку</v>
      </c>
      <c r="E246" s="98">
        <f t="shared" si="107"/>
        <v>0</v>
      </c>
      <c r="F246" s="98"/>
      <c r="G246" s="98"/>
      <c r="H246" s="98"/>
      <c r="I246" s="98"/>
      <c r="J246" s="98">
        <f t="shared" si="109"/>
        <v>0</v>
      </c>
      <c r="K246" s="98"/>
      <c r="L246" s="98"/>
      <c r="M246" s="98"/>
      <c r="N246" s="98"/>
      <c r="O246" s="98"/>
      <c r="P246" s="98">
        <f t="shared" si="108"/>
        <v>0</v>
      </c>
      <c r="Q246" s="23"/>
      <c r="R246" s="32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2" customFormat="1" ht="30" hidden="1" customHeight="1" x14ac:dyDescent="0.25">
      <c r="A247" s="59">
        <v>1217362</v>
      </c>
      <c r="B247" s="92">
        <f>'дод 7'!A191</f>
        <v>7362</v>
      </c>
      <c r="C247" s="92" t="str">
        <f>'дод 7'!B191</f>
        <v>0490</v>
      </c>
      <c r="D247" s="60" t="str">
        <f>'дод 7'!C191</f>
        <v>Виконання інвестиційних проектів в рамках підтримки розвитку об'єднаних територіальних громад</v>
      </c>
      <c r="E247" s="98">
        <f t="shared" si="107"/>
        <v>0</v>
      </c>
      <c r="F247" s="98"/>
      <c r="G247" s="98"/>
      <c r="H247" s="98"/>
      <c r="I247" s="98"/>
      <c r="J247" s="98">
        <f t="shared" si="109"/>
        <v>0</v>
      </c>
      <c r="K247" s="98"/>
      <c r="L247" s="98"/>
      <c r="M247" s="98"/>
      <c r="N247" s="98"/>
      <c r="O247" s="98"/>
      <c r="P247" s="98">
        <f t="shared" si="108"/>
        <v>0</v>
      </c>
      <c r="Q247" s="23"/>
      <c r="R247" s="32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</row>
    <row r="248" spans="1:527" s="22" customFormat="1" ht="47.25" x14ac:dyDescent="0.25">
      <c r="A248" s="59" t="s">
        <v>368</v>
      </c>
      <c r="B248" s="92">
        <v>7363</v>
      </c>
      <c r="C248" s="37" t="s">
        <v>82</v>
      </c>
      <c r="D248" s="36" t="s">
        <v>398</v>
      </c>
      <c r="E248" s="98">
        <f t="shared" si="107"/>
        <v>0</v>
      </c>
      <c r="F248" s="98"/>
      <c r="G248" s="98"/>
      <c r="H248" s="98"/>
      <c r="I248" s="98"/>
      <c r="J248" s="98">
        <f t="shared" si="109"/>
        <v>15377714</v>
      </c>
      <c r="K248" s="98">
        <f>2800000+5000000+5359984+400000+200000+2655000-2387270+600000+500000+250000</f>
        <v>15377714</v>
      </c>
      <c r="L248" s="98"/>
      <c r="M248" s="98"/>
      <c r="N248" s="98"/>
      <c r="O248" s="98">
        <f>2800000+5000000+5359984+400000+200000+2655000-2387270+600000+500000+250000</f>
        <v>15377714</v>
      </c>
      <c r="P248" s="98">
        <f t="shared" si="108"/>
        <v>15377714</v>
      </c>
      <c r="Q248" s="23"/>
      <c r="R248" s="32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</row>
    <row r="249" spans="1:527" s="24" customFormat="1" ht="50.25" customHeight="1" x14ac:dyDescent="0.25">
      <c r="A249" s="83"/>
      <c r="B249" s="110"/>
      <c r="C249" s="110"/>
      <c r="D249" s="86" t="s">
        <v>388</v>
      </c>
      <c r="E249" s="100">
        <f t="shared" si="107"/>
        <v>0</v>
      </c>
      <c r="F249" s="100"/>
      <c r="G249" s="100"/>
      <c r="H249" s="100"/>
      <c r="I249" s="100"/>
      <c r="J249" s="100">
        <f t="shared" si="109"/>
        <v>11377714</v>
      </c>
      <c r="K249" s="100">
        <f>5000000+5359984+2655000-2387270+750000</f>
        <v>11377714</v>
      </c>
      <c r="L249" s="100"/>
      <c r="M249" s="100"/>
      <c r="N249" s="100"/>
      <c r="O249" s="100">
        <f>5000000+5359984+2655000-2387270+750000</f>
        <v>11377714</v>
      </c>
      <c r="P249" s="100">
        <f t="shared" si="108"/>
        <v>11377714</v>
      </c>
      <c r="Q249" s="30"/>
      <c r="R249" s="32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  <c r="LU249" s="30"/>
      <c r="LV249" s="30"/>
      <c r="LW249" s="30"/>
      <c r="LX249" s="30"/>
      <c r="LY249" s="30"/>
      <c r="LZ249" s="30"/>
      <c r="MA249" s="30"/>
      <c r="MB249" s="30"/>
      <c r="MC249" s="30"/>
      <c r="MD249" s="30"/>
      <c r="ME249" s="30"/>
      <c r="MF249" s="30"/>
      <c r="MG249" s="30"/>
      <c r="MH249" s="30"/>
      <c r="MI249" s="30"/>
      <c r="MJ249" s="30"/>
      <c r="MK249" s="30"/>
      <c r="ML249" s="30"/>
      <c r="MM249" s="30"/>
      <c r="MN249" s="30"/>
      <c r="MO249" s="30"/>
      <c r="MP249" s="30"/>
      <c r="MQ249" s="30"/>
      <c r="MR249" s="30"/>
      <c r="MS249" s="30"/>
      <c r="MT249" s="30"/>
      <c r="MU249" s="30"/>
      <c r="MV249" s="30"/>
      <c r="MW249" s="30"/>
      <c r="MX249" s="30"/>
      <c r="MY249" s="30"/>
      <c r="MZ249" s="30"/>
      <c r="NA249" s="30"/>
      <c r="NB249" s="30"/>
      <c r="NC249" s="30"/>
      <c r="ND249" s="30"/>
      <c r="NE249" s="30"/>
      <c r="NF249" s="30"/>
      <c r="NG249" s="30"/>
      <c r="NH249" s="30"/>
      <c r="NI249" s="30"/>
      <c r="NJ249" s="30"/>
      <c r="NK249" s="30"/>
      <c r="NL249" s="30"/>
      <c r="NM249" s="30"/>
      <c r="NN249" s="30"/>
      <c r="NO249" s="30"/>
      <c r="NP249" s="30"/>
      <c r="NQ249" s="30"/>
      <c r="NR249" s="30"/>
      <c r="NS249" s="30"/>
      <c r="NT249" s="30"/>
      <c r="NU249" s="30"/>
      <c r="NV249" s="30"/>
      <c r="NW249" s="30"/>
      <c r="NX249" s="30"/>
      <c r="NY249" s="30"/>
      <c r="NZ249" s="30"/>
      <c r="OA249" s="30"/>
      <c r="OB249" s="30"/>
      <c r="OC249" s="30"/>
      <c r="OD249" s="30"/>
      <c r="OE249" s="30"/>
      <c r="OF249" s="30"/>
      <c r="OG249" s="30"/>
      <c r="OH249" s="30"/>
      <c r="OI249" s="30"/>
      <c r="OJ249" s="30"/>
      <c r="OK249" s="30"/>
      <c r="OL249" s="30"/>
      <c r="OM249" s="30"/>
      <c r="ON249" s="30"/>
      <c r="OO249" s="30"/>
      <c r="OP249" s="30"/>
      <c r="OQ249" s="30"/>
      <c r="OR249" s="30"/>
      <c r="OS249" s="30"/>
      <c r="OT249" s="30"/>
      <c r="OU249" s="30"/>
      <c r="OV249" s="30"/>
      <c r="OW249" s="30"/>
      <c r="OX249" s="30"/>
      <c r="OY249" s="30"/>
      <c r="OZ249" s="30"/>
      <c r="PA249" s="30"/>
      <c r="PB249" s="30"/>
      <c r="PC249" s="30"/>
      <c r="PD249" s="30"/>
      <c r="PE249" s="30"/>
      <c r="PF249" s="30"/>
      <c r="PG249" s="30"/>
      <c r="PH249" s="30"/>
      <c r="PI249" s="30"/>
      <c r="PJ249" s="30"/>
      <c r="PK249" s="30"/>
      <c r="PL249" s="30"/>
      <c r="PM249" s="30"/>
      <c r="PN249" s="30"/>
      <c r="PO249" s="30"/>
      <c r="PP249" s="30"/>
      <c r="PQ249" s="30"/>
      <c r="PR249" s="30"/>
      <c r="PS249" s="30"/>
      <c r="PT249" s="30"/>
      <c r="PU249" s="30"/>
      <c r="PV249" s="30"/>
      <c r="PW249" s="30"/>
      <c r="PX249" s="30"/>
      <c r="PY249" s="30"/>
      <c r="PZ249" s="30"/>
      <c r="QA249" s="30"/>
      <c r="QB249" s="30"/>
      <c r="QC249" s="30"/>
      <c r="QD249" s="30"/>
      <c r="QE249" s="30"/>
      <c r="QF249" s="30"/>
      <c r="QG249" s="30"/>
      <c r="QH249" s="30"/>
      <c r="QI249" s="30"/>
      <c r="QJ249" s="30"/>
      <c r="QK249" s="30"/>
      <c r="QL249" s="30"/>
      <c r="QM249" s="30"/>
      <c r="QN249" s="30"/>
      <c r="QO249" s="30"/>
      <c r="QP249" s="30"/>
      <c r="QQ249" s="30"/>
      <c r="QR249" s="30"/>
      <c r="QS249" s="30"/>
      <c r="QT249" s="30"/>
      <c r="QU249" s="30"/>
      <c r="QV249" s="30"/>
      <c r="QW249" s="30"/>
      <c r="QX249" s="30"/>
      <c r="QY249" s="30"/>
      <c r="QZ249" s="30"/>
      <c r="RA249" s="30"/>
      <c r="RB249" s="30"/>
      <c r="RC249" s="30"/>
      <c r="RD249" s="30"/>
      <c r="RE249" s="30"/>
      <c r="RF249" s="30"/>
      <c r="RG249" s="30"/>
      <c r="RH249" s="30"/>
      <c r="RI249" s="30"/>
      <c r="RJ249" s="30"/>
      <c r="RK249" s="30"/>
      <c r="RL249" s="30"/>
      <c r="RM249" s="30"/>
      <c r="RN249" s="30"/>
      <c r="RO249" s="30"/>
      <c r="RP249" s="30"/>
      <c r="RQ249" s="30"/>
      <c r="RR249" s="30"/>
      <c r="RS249" s="30"/>
      <c r="RT249" s="30"/>
      <c r="RU249" s="30"/>
      <c r="RV249" s="30"/>
      <c r="RW249" s="30"/>
      <c r="RX249" s="30"/>
      <c r="RY249" s="30"/>
      <c r="RZ249" s="30"/>
      <c r="SA249" s="30"/>
      <c r="SB249" s="30"/>
      <c r="SC249" s="30"/>
      <c r="SD249" s="30"/>
      <c r="SE249" s="30"/>
      <c r="SF249" s="30"/>
      <c r="SG249" s="30"/>
      <c r="SH249" s="30"/>
      <c r="SI249" s="30"/>
      <c r="SJ249" s="30"/>
      <c r="SK249" s="30"/>
      <c r="SL249" s="30"/>
      <c r="SM249" s="30"/>
      <c r="SN249" s="30"/>
      <c r="SO249" s="30"/>
      <c r="SP249" s="30"/>
      <c r="SQ249" s="30"/>
      <c r="SR249" s="30"/>
      <c r="SS249" s="30"/>
      <c r="ST249" s="30"/>
      <c r="SU249" s="30"/>
      <c r="SV249" s="30"/>
      <c r="SW249" s="30"/>
      <c r="SX249" s="30"/>
      <c r="SY249" s="30"/>
      <c r="SZ249" s="30"/>
      <c r="TA249" s="30"/>
      <c r="TB249" s="30"/>
      <c r="TC249" s="30"/>
      <c r="TD249" s="30"/>
      <c r="TE249" s="30"/>
      <c r="TF249" s="30"/>
      <c r="TG249" s="30"/>
    </row>
    <row r="250" spans="1:527" s="24" customFormat="1" ht="31.5" x14ac:dyDescent="0.25">
      <c r="A250" s="59" t="s">
        <v>587</v>
      </c>
      <c r="B250" s="92">
        <v>7368</v>
      </c>
      <c r="C250" s="37" t="s">
        <v>82</v>
      </c>
      <c r="D250" s="36" t="s">
        <v>588</v>
      </c>
      <c r="E250" s="98">
        <f t="shared" si="107"/>
        <v>0</v>
      </c>
      <c r="F250" s="100"/>
      <c r="G250" s="100"/>
      <c r="H250" s="100"/>
      <c r="I250" s="100"/>
      <c r="J250" s="98">
        <f t="shared" si="109"/>
        <v>200000</v>
      </c>
      <c r="K250" s="98">
        <v>200000</v>
      </c>
      <c r="L250" s="98"/>
      <c r="M250" s="98"/>
      <c r="N250" s="98"/>
      <c r="O250" s="98">
        <v>200000</v>
      </c>
      <c r="P250" s="98">
        <f t="shared" si="108"/>
        <v>200000</v>
      </c>
      <c r="Q250" s="30"/>
      <c r="R250" s="32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  <c r="IW250" s="30"/>
      <c r="IX250" s="30"/>
      <c r="IY250" s="30"/>
      <c r="IZ250" s="30"/>
      <c r="JA250" s="30"/>
      <c r="JB250" s="30"/>
      <c r="JC250" s="30"/>
      <c r="JD250" s="30"/>
      <c r="JE250" s="30"/>
      <c r="JF250" s="30"/>
      <c r="JG250" s="30"/>
      <c r="JH250" s="30"/>
      <c r="JI250" s="30"/>
      <c r="JJ250" s="30"/>
      <c r="JK250" s="30"/>
      <c r="JL250" s="30"/>
      <c r="JM250" s="30"/>
      <c r="JN250" s="30"/>
      <c r="JO250" s="30"/>
      <c r="JP250" s="30"/>
      <c r="JQ250" s="30"/>
      <c r="JR250" s="30"/>
      <c r="JS250" s="30"/>
      <c r="JT250" s="30"/>
      <c r="JU250" s="30"/>
      <c r="JV250" s="30"/>
      <c r="JW250" s="30"/>
      <c r="JX250" s="30"/>
      <c r="JY250" s="30"/>
      <c r="JZ250" s="30"/>
      <c r="KA250" s="30"/>
      <c r="KB250" s="30"/>
      <c r="KC250" s="30"/>
      <c r="KD250" s="30"/>
      <c r="KE250" s="30"/>
      <c r="KF250" s="30"/>
      <c r="KG250" s="30"/>
      <c r="KH250" s="30"/>
      <c r="KI250" s="30"/>
      <c r="KJ250" s="30"/>
      <c r="KK250" s="30"/>
      <c r="KL250" s="30"/>
      <c r="KM250" s="30"/>
      <c r="KN250" s="30"/>
      <c r="KO250" s="30"/>
      <c r="KP250" s="30"/>
      <c r="KQ250" s="30"/>
      <c r="KR250" s="30"/>
      <c r="KS250" s="30"/>
      <c r="KT250" s="30"/>
      <c r="KU250" s="30"/>
      <c r="KV250" s="30"/>
      <c r="KW250" s="30"/>
      <c r="KX250" s="30"/>
      <c r="KY250" s="30"/>
      <c r="KZ250" s="30"/>
      <c r="LA250" s="30"/>
      <c r="LB250" s="30"/>
      <c r="LC250" s="30"/>
      <c r="LD250" s="30"/>
      <c r="LE250" s="30"/>
      <c r="LF250" s="30"/>
      <c r="LG250" s="30"/>
      <c r="LH250" s="30"/>
      <c r="LI250" s="30"/>
      <c r="LJ250" s="30"/>
      <c r="LK250" s="30"/>
      <c r="LL250" s="30"/>
      <c r="LM250" s="30"/>
      <c r="LN250" s="30"/>
      <c r="LO250" s="30"/>
      <c r="LP250" s="30"/>
      <c r="LQ250" s="30"/>
      <c r="LR250" s="30"/>
      <c r="LS250" s="30"/>
      <c r="LT250" s="30"/>
      <c r="LU250" s="30"/>
      <c r="LV250" s="30"/>
      <c r="LW250" s="30"/>
      <c r="LX250" s="30"/>
      <c r="LY250" s="30"/>
      <c r="LZ250" s="30"/>
      <c r="MA250" s="30"/>
      <c r="MB250" s="30"/>
      <c r="MC250" s="30"/>
      <c r="MD250" s="30"/>
      <c r="ME250" s="30"/>
      <c r="MF250" s="30"/>
      <c r="MG250" s="30"/>
      <c r="MH250" s="30"/>
      <c r="MI250" s="30"/>
      <c r="MJ250" s="30"/>
      <c r="MK250" s="30"/>
      <c r="ML250" s="30"/>
      <c r="MM250" s="30"/>
      <c r="MN250" s="30"/>
      <c r="MO250" s="30"/>
      <c r="MP250" s="30"/>
      <c r="MQ250" s="30"/>
      <c r="MR250" s="30"/>
      <c r="MS250" s="30"/>
      <c r="MT250" s="30"/>
      <c r="MU250" s="30"/>
      <c r="MV250" s="30"/>
      <c r="MW250" s="30"/>
      <c r="MX250" s="30"/>
      <c r="MY250" s="30"/>
      <c r="MZ250" s="30"/>
      <c r="NA250" s="30"/>
      <c r="NB250" s="30"/>
      <c r="NC250" s="30"/>
      <c r="ND250" s="30"/>
      <c r="NE250" s="30"/>
      <c r="NF250" s="30"/>
      <c r="NG250" s="30"/>
      <c r="NH250" s="30"/>
      <c r="NI250" s="30"/>
      <c r="NJ250" s="30"/>
      <c r="NK250" s="30"/>
      <c r="NL250" s="30"/>
      <c r="NM250" s="30"/>
      <c r="NN250" s="30"/>
      <c r="NO250" s="30"/>
      <c r="NP250" s="30"/>
      <c r="NQ250" s="30"/>
      <c r="NR250" s="30"/>
      <c r="NS250" s="30"/>
      <c r="NT250" s="30"/>
      <c r="NU250" s="30"/>
      <c r="NV250" s="30"/>
      <c r="NW250" s="30"/>
      <c r="NX250" s="30"/>
      <c r="NY250" s="30"/>
      <c r="NZ250" s="30"/>
      <c r="OA250" s="30"/>
      <c r="OB250" s="30"/>
      <c r="OC250" s="30"/>
      <c r="OD250" s="30"/>
      <c r="OE250" s="30"/>
      <c r="OF250" s="30"/>
      <c r="OG250" s="30"/>
      <c r="OH250" s="30"/>
      <c r="OI250" s="30"/>
      <c r="OJ250" s="30"/>
      <c r="OK250" s="30"/>
      <c r="OL250" s="30"/>
      <c r="OM250" s="30"/>
      <c r="ON250" s="30"/>
      <c r="OO250" s="30"/>
      <c r="OP250" s="30"/>
      <c r="OQ250" s="30"/>
      <c r="OR250" s="30"/>
      <c r="OS250" s="30"/>
      <c r="OT250" s="30"/>
      <c r="OU250" s="30"/>
      <c r="OV250" s="30"/>
      <c r="OW250" s="30"/>
      <c r="OX250" s="30"/>
      <c r="OY250" s="30"/>
      <c r="OZ250" s="30"/>
      <c r="PA250" s="30"/>
      <c r="PB250" s="30"/>
      <c r="PC250" s="30"/>
      <c r="PD250" s="30"/>
      <c r="PE250" s="30"/>
      <c r="PF250" s="30"/>
      <c r="PG250" s="30"/>
      <c r="PH250" s="30"/>
      <c r="PI250" s="30"/>
      <c r="PJ250" s="30"/>
      <c r="PK250" s="30"/>
      <c r="PL250" s="30"/>
      <c r="PM250" s="30"/>
      <c r="PN250" s="30"/>
      <c r="PO250" s="30"/>
      <c r="PP250" s="30"/>
      <c r="PQ250" s="30"/>
      <c r="PR250" s="30"/>
      <c r="PS250" s="30"/>
      <c r="PT250" s="30"/>
      <c r="PU250" s="30"/>
      <c r="PV250" s="30"/>
      <c r="PW250" s="30"/>
      <c r="PX250" s="30"/>
      <c r="PY250" s="30"/>
      <c r="PZ250" s="30"/>
      <c r="QA250" s="30"/>
      <c r="QB250" s="30"/>
      <c r="QC250" s="30"/>
      <c r="QD250" s="30"/>
      <c r="QE250" s="30"/>
      <c r="QF250" s="30"/>
      <c r="QG250" s="30"/>
      <c r="QH250" s="30"/>
      <c r="QI250" s="30"/>
      <c r="QJ250" s="30"/>
      <c r="QK250" s="30"/>
      <c r="QL250" s="30"/>
      <c r="QM250" s="30"/>
      <c r="QN250" s="30"/>
      <c r="QO250" s="30"/>
      <c r="QP250" s="30"/>
      <c r="QQ250" s="30"/>
      <c r="QR250" s="30"/>
      <c r="QS250" s="30"/>
      <c r="QT250" s="30"/>
      <c r="QU250" s="30"/>
      <c r="QV250" s="30"/>
      <c r="QW250" s="30"/>
      <c r="QX250" s="30"/>
      <c r="QY250" s="30"/>
      <c r="QZ250" s="30"/>
      <c r="RA250" s="30"/>
      <c r="RB250" s="30"/>
      <c r="RC250" s="30"/>
      <c r="RD250" s="30"/>
      <c r="RE250" s="30"/>
      <c r="RF250" s="30"/>
      <c r="RG250" s="30"/>
      <c r="RH250" s="30"/>
      <c r="RI250" s="30"/>
      <c r="RJ250" s="30"/>
      <c r="RK250" s="30"/>
      <c r="RL250" s="30"/>
      <c r="RM250" s="30"/>
      <c r="RN250" s="30"/>
      <c r="RO250" s="30"/>
      <c r="RP250" s="30"/>
      <c r="RQ250" s="30"/>
      <c r="RR250" s="30"/>
      <c r="RS250" s="30"/>
      <c r="RT250" s="30"/>
      <c r="RU250" s="30"/>
      <c r="RV250" s="30"/>
      <c r="RW250" s="30"/>
      <c r="RX250" s="30"/>
      <c r="RY250" s="30"/>
      <c r="RZ250" s="30"/>
      <c r="SA250" s="30"/>
      <c r="SB250" s="30"/>
      <c r="SC250" s="30"/>
      <c r="SD250" s="30"/>
      <c r="SE250" s="30"/>
      <c r="SF250" s="30"/>
      <c r="SG250" s="30"/>
      <c r="SH250" s="30"/>
      <c r="SI250" s="30"/>
      <c r="SJ250" s="30"/>
      <c r="SK250" s="30"/>
      <c r="SL250" s="30"/>
      <c r="SM250" s="30"/>
      <c r="SN250" s="30"/>
      <c r="SO250" s="30"/>
      <c r="SP250" s="30"/>
      <c r="SQ250" s="30"/>
      <c r="SR250" s="30"/>
      <c r="SS250" s="30"/>
      <c r="ST250" s="30"/>
      <c r="SU250" s="30"/>
      <c r="SV250" s="30"/>
      <c r="SW250" s="30"/>
      <c r="SX250" s="30"/>
      <c r="SY250" s="30"/>
      <c r="SZ250" s="30"/>
      <c r="TA250" s="30"/>
      <c r="TB250" s="30"/>
      <c r="TC250" s="30"/>
      <c r="TD250" s="30"/>
      <c r="TE250" s="30"/>
      <c r="TF250" s="30"/>
      <c r="TG250" s="30"/>
    </row>
    <row r="251" spans="1:527" s="24" customFormat="1" ht="15.75" x14ac:dyDescent="0.25">
      <c r="A251" s="83"/>
      <c r="B251" s="110"/>
      <c r="C251" s="110"/>
      <c r="D251" s="84" t="s">
        <v>393</v>
      </c>
      <c r="E251" s="100">
        <f t="shared" si="107"/>
        <v>0</v>
      </c>
      <c r="F251" s="100"/>
      <c r="G251" s="100"/>
      <c r="H251" s="100"/>
      <c r="I251" s="100"/>
      <c r="J251" s="100">
        <f t="shared" si="109"/>
        <v>200000</v>
      </c>
      <c r="K251" s="100">
        <v>200000</v>
      </c>
      <c r="L251" s="100"/>
      <c r="M251" s="100"/>
      <c r="N251" s="100"/>
      <c r="O251" s="100">
        <v>200000</v>
      </c>
      <c r="P251" s="100">
        <f t="shared" si="108"/>
        <v>200000</v>
      </c>
      <c r="Q251" s="30"/>
      <c r="R251" s="32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  <c r="LU251" s="30"/>
      <c r="LV251" s="30"/>
      <c r="LW251" s="30"/>
      <c r="LX251" s="30"/>
      <c r="LY251" s="30"/>
      <c r="LZ251" s="30"/>
      <c r="MA251" s="30"/>
      <c r="MB251" s="30"/>
      <c r="MC251" s="30"/>
      <c r="MD251" s="30"/>
      <c r="ME251" s="30"/>
      <c r="MF251" s="30"/>
      <c r="MG251" s="30"/>
      <c r="MH251" s="30"/>
      <c r="MI251" s="30"/>
      <c r="MJ251" s="30"/>
      <c r="MK251" s="30"/>
      <c r="ML251" s="30"/>
      <c r="MM251" s="30"/>
      <c r="MN251" s="30"/>
      <c r="MO251" s="30"/>
      <c r="MP251" s="30"/>
      <c r="MQ251" s="30"/>
      <c r="MR251" s="30"/>
      <c r="MS251" s="30"/>
      <c r="MT251" s="30"/>
      <c r="MU251" s="30"/>
      <c r="MV251" s="30"/>
      <c r="MW251" s="30"/>
      <c r="MX251" s="30"/>
      <c r="MY251" s="30"/>
      <c r="MZ251" s="30"/>
      <c r="NA251" s="30"/>
      <c r="NB251" s="30"/>
      <c r="NC251" s="30"/>
      <c r="ND251" s="30"/>
      <c r="NE251" s="30"/>
      <c r="NF251" s="30"/>
      <c r="NG251" s="30"/>
      <c r="NH251" s="30"/>
      <c r="NI251" s="30"/>
      <c r="NJ251" s="30"/>
      <c r="NK251" s="30"/>
      <c r="NL251" s="30"/>
      <c r="NM251" s="30"/>
      <c r="NN251" s="30"/>
      <c r="NO251" s="30"/>
      <c r="NP251" s="30"/>
      <c r="NQ251" s="30"/>
      <c r="NR251" s="30"/>
      <c r="NS251" s="30"/>
      <c r="NT251" s="30"/>
      <c r="NU251" s="30"/>
      <c r="NV251" s="30"/>
      <c r="NW251" s="30"/>
      <c r="NX251" s="30"/>
      <c r="NY251" s="30"/>
      <c r="NZ251" s="30"/>
      <c r="OA251" s="30"/>
      <c r="OB251" s="30"/>
      <c r="OC251" s="30"/>
      <c r="OD251" s="30"/>
      <c r="OE251" s="30"/>
      <c r="OF251" s="30"/>
      <c r="OG251" s="30"/>
      <c r="OH251" s="30"/>
      <c r="OI251" s="30"/>
      <c r="OJ251" s="30"/>
      <c r="OK251" s="30"/>
      <c r="OL251" s="30"/>
      <c r="OM251" s="30"/>
      <c r="ON251" s="30"/>
      <c r="OO251" s="30"/>
      <c r="OP251" s="30"/>
      <c r="OQ251" s="30"/>
      <c r="OR251" s="30"/>
      <c r="OS251" s="30"/>
      <c r="OT251" s="30"/>
      <c r="OU251" s="30"/>
      <c r="OV251" s="30"/>
      <c r="OW251" s="30"/>
      <c r="OX251" s="30"/>
      <c r="OY251" s="30"/>
      <c r="OZ251" s="30"/>
      <c r="PA251" s="30"/>
      <c r="PB251" s="30"/>
      <c r="PC251" s="30"/>
      <c r="PD251" s="30"/>
      <c r="PE251" s="30"/>
      <c r="PF251" s="30"/>
      <c r="PG251" s="30"/>
      <c r="PH251" s="30"/>
      <c r="PI251" s="30"/>
      <c r="PJ251" s="30"/>
      <c r="PK251" s="30"/>
      <c r="PL251" s="30"/>
      <c r="PM251" s="30"/>
      <c r="PN251" s="30"/>
      <c r="PO251" s="30"/>
      <c r="PP251" s="30"/>
      <c r="PQ251" s="30"/>
      <c r="PR251" s="30"/>
      <c r="PS251" s="30"/>
      <c r="PT251" s="30"/>
      <c r="PU251" s="30"/>
      <c r="PV251" s="30"/>
      <c r="PW251" s="30"/>
      <c r="PX251" s="30"/>
      <c r="PY251" s="30"/>
      <c r="PZ251" s="30"/>
      <c r="QA251" s="30"/>
      <c r="QB251" s="30"/>
      <c r="QC251" s="30"/>
      <c r="QD251" s="30"/>
      <c r="QE251" s="30"/>
      <c r="QF251" s="30"/>
      <c r="QG251" s="30"/>
      <c r="QH251" s="30"/>
      <c r="QI251" s="30"/>
      <c r="QJ251" s="30"/>
      <c r="QK251" s="30"/>
      <c r="QL251" s="30"/>
      <c r="QM251" s="30"/>
      <c r="QN251" s="30"/>
      <c r="QO251" s="30"/>
      <c r="QP251" s="30"/>
      <c r="QQ251" s="30"/>
      <c r="QR251" s="30"/>
      <c r="QS251" s="30"/>
      <c r="QT251" s="30"/>
      <c r="QU251" s="30"/>
      <c r="QV251" s="30"/>
      <c r="QW251" s="30"/>
      <c r="QX251" s="30"/>
      <c r="QY251" s="30"/>
      <c r="QZ251" s="30"/>
      <c r="RA251" s="30"/>
      <c r="RB251" s="30"/>
      <c r="RC251" s="30"/>
      <c r="RD251" s="30"/>
      <c r="RE251" s="30"/>
      <c r="RF251" s="30"/>
      <c r="RG251" s="30"/>
      <c r="RH251" s="30"/>
      <c r="RI251" s="30"/>
      <c r="RJ251" s="30"/>
      <c r="RK251" s="30"/>
      <c r="RL251" s="30"/>
      <c r="RM251" s="30"/>
      <c r="RN251" s="30"/>
      <c r="RO251" s="30"/>
      <c r="RP251" s="30"/>
      <c r="RQ251" s="30"/>
      <c r="RR251" s="30"/>
      <c r="RS251" s="30"/>
      <c r="RT251" s="30"/>
      <c r="RU251" s="30"/>
      <c r="RV251" s="30"/>
      <c r="RW251" s="30"/>
      <c r="RX251" s="30"/>
      <c r="RY251" s="30"/>
      <c r="RZ251" s="30"/>
      <c r="SA251" s="30"/>
      <c r="SB251" s="30"/>
      <c r="SC251" s="30"/>
      <c r="SD251" s="30"/>
      <c r="SE251" s="30"/>
      <c r="SF251" s="30"/>
      <c r="SG251" s="30"/>
      <c r="SH251" s="30"/>
      <c r="SI251" s="30"/>
      <c r="SJ251" s="30"/>
      <c r="SK251" s="30"/>
      <c r="SL251" s="30"/>
      <c r="SM251" s="30"/>
      <c r="SN251" s="30"/>
      <c r="SO251" s="30"/>
      <c r="SP251" s="30"/>
      <c r="SQ251" s="30"/>
      <c r="SR251" s="30"/>
      <c r="SS251" s="30"/>
      <c r="ST251" s="30"/>
      <c r="SU251" s="30"/>
      <c r="SV251" s="30"/>
      <c r="SW251" s="30"/>
      <c r="SX251" s="30"/>
      <c r="SY251" s="30"/>
      <c r="SZ251" s="30"/>
      <c r="TA251" s="30"/>
      <c r="TB251" s="30"/>
      <c r="TC251" s="30"/>
      <c r="TD251" s="30"/>
      <c r="TE251" s="30"/>
      <c r="TF251" s="30"/>
      <c r="TG251" s="30"/>
    </row>
    <row r="252" spans="1:527" s="22" customFormat="1" ht="47.25" x14ac:dyDescent="0.25">
      <c r="A252" s="59" t="s">
        <v>374</v>
      </c>
      <c r="B252" s="92">
        <f>'дод 7'!A205</f>
        <v>7462</v>
      </c>
      <c r="C252" s="59" t="s">
        <v>400</v>
      </c>
      <c r="D252" s="116" t="s">
        <v>399</v>
      </c>
      <c r="E252" s="98">
        <f t="shared" ref="E252:E257" si="113">F252+I252</f>
        <v>1527346</v>
      </c>
      <c r="F252" s="98">
        <v>1527346</v>
      </c>
      <c r="G252" s="98"/>
      <c r="H252" s="98"/>
      <c r="I252" s="98"/>
      <c r="J252" s="98">
        <f t="shared" ref="J252:J257" si="114">L252+O252</f>
        <v>12100000</v>
      </c>
      <c r="K252" s="98"/>
      <c r="L252" s="98">
        <f>4600000+7500000</f>
        <v>12100000</v>
      </c>
      <c r="M252" s="98"/>
      <c r="N252" s="98"/>
      <c r="O252" s="98"/>
      <c r="P252" s="98">
        <f t="shared" ref="P252:P257" si="115">E252+J252</f>
        <v>13627346</v>
      </c>
      <c r="Q252" s="23"/>
      <c r="R252" s="32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</row>
    <row r="253" spans="1:527" s="24" customFormat="1" ht="110.25" x14ac:dyDescent="0.25">
      <c r="A253" s="83"/>
      <c r="B253" s="110"/>
      <c r="C253" s="110"/>
      <c r="D253" s="86" t="s">
        <v>397</v>
      </c>
      <c r="E253" s="100">
        <f t="shared" si="113"/>
        <v>0</v>
      </c>
      <c r="F253" s="100"/>
      <c r="G253" s="100"/>
      <c r="H253" s="100"/>
      <c r="I253" s="100"/>
      <c r="J253" s="100">
        <f t="shared" si="114"/>
        <v>12100000</v>
      </c>
      <c r="K253" s="100"/>
      <c r="L253" s="100">
        <f>4600000+7500000</f>
        <v>12100000</v>
      </c>
      <c r="M253" s="100"/>
      <c r="N253" s="100"/>
      <c r="O253" s="100"/>
      <c r="P253" s="100">
        <f t="shared" si="115"/>
        <v>12100000</v>
      </c>
      <c r="Q253" s="30"/>
      <c r="R253" s="32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  <c r="LU253" s="30"/>
      <c r="LV253" s="30"/>
      <c r="LW253" s="30"/>
      <c r="LX253" s="30"/>
      <c r="LY253" s="30"/>
      <c r="LZ253" s="30"/>
      <c r="MA253" s="30"/>
      <c r="MB253" s="30"/>
      <c r="MC253" s="30"/>
      <c r="MD253" s="30"/>
      <c r="ME253" s="30"/>
      <c r="MF253" s="30"/>
      <c r="MG253" s="30"/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30"/>
      <c r="MW253" s="30"/>
      <c r="MX253" s="30"/>
      <c r="MY253" s="30"/>
      <c r="MZ253" s="30"/>
      <c r="NA253" s="30"/>
      <c r="NB253" s="30"/>
      <c r="NC253" s="30"/>
      <c r="ND253" s="30"/>
      <c r="NE253" s="30"/>
      <c r="NF253" s="30"/>
      <c r="NG253" s="30"/>
      <c r="NH253" s="30"/>
      <c r="NI253" s="30"/>
      <c r="NJ253" s="30"/>
      <c r="NK253" s="30"/>
      <c r="NL253" s="30"/>
      <c r="NM253" s="30"/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30"/>
      <c r="NY253" s="30"/>
      <c r="NZ253" s="30"/>
      <c r="OA253" s="30"/>
      <c r="OB253" s="30"/>
      <c r="OC253" s="30"/>
      <c r="OD253" s="30"/>
      <c r="OE253" s="30"/>
      <c r="OF253" s="30"/>
      <c r="OG253" s="30"/>
      <c r="OH253" s="30"/>
      <c r="OI253" s="30"/>
      <c r="OJ253" s="30"/>
      <c r="OK253" s="30"/>
      <c r="OL253" s="30"/>
      <c r="OM253" s="30"/>
      <c r="ON253" s="30"/>
      <c r="OO253" s="30"/>
      <c r="OP253" s="30"/>
      <c r="OQ253" s="30"/>
      <c r="OR253" s="30"/>
      <c r="OS253" s="30"/>
      <c r="OT253" s="30"/>
      <c r="OU253" s="30"/>
      <c r="OV253" s="30"/>
      <c r="OW253" s="30"/>
      <c r="OX253" s="30"/>
      <c r="OY253" s="30"/>
      <c r="OZ253" s="30"/>
      <c r="PA253" s="30"/>
      <c r="PB253" s="30"/>
      <c r="PC253" s="30"/>
      <c r="PD253" s="30"/>
      <c r="PE253" s="30"/>
      <c r="PF253" s="30"/>
      <c r="PG253" s="30"/>
      <c r="PH253" s="30"/>
      <c r="PI253" s="30"/>
      <c r="PJ253" s="30"/>
      <c r="PK253" s="30"/>
      <c r="PL253" s="30"/>
      <c r="PM253" s="30"/>
      <c r="PN253" s="30"/>
      <c r="PO253" s="30"/>
      <c r="PP253" s="30"/>
      <c r="PQ253" s="30"/>
      <c r="PR253" s="30"/>
      <c r="PS253" s="30"/>
      <c r="PT253" s="30"/>
      <c r="PU253" s="30"/>
      <c r="PV253" s="30"/>
      <c r="PW253" s="30"/>
      <c r="PX253" s="30"/>
      <c r="PY253" s="30"/>
      <c r="PZ253" s="30"/>
      <c r="QA253" s="30"/>
      <c r="QB253" s="30"/>
      <c r="QC253" s="30"/>
      <c r="QD253" s="30"/>
      <c r="QE253" s="30"/>
      <c r="QF253" s="30"/>
      <c r="QG253" s="30"/>
      <c r="QH253" s="30"/>
      <c r="QI253" s="30"/>
      <c r="QJ253" s="30"/>
      <c r="QK253" s="30"/>
      <c r="QL253" s="30"/>
      <c r="QM253" s="30"/>
      <c r="QN253" s="30"/>
      <c r="QO253" s="30"/>
      <c r="QP253" s="30"/>
      <c r="QQ253" s="30"/>
      <c r="QR253" s="30"/>
      <c r="QS253" s="30"/>
      <c r="QT253" s="30"/>
      <c r="QU253" s="30"/>
      <c r="QV253" s="30"/>
      <c r="QW253" s="30"/>
      <c r="QX253" s="30"/>
      <c r="QY253" s="30"/>
      <c r="QZ253" s="30"/>
      <c r="RA253" s="30"/>
      <c r="RB253" s="30"/>
      <c r="RC253" s="30"/>
      <c r="RD253" s="30"/>
      <c r="RE253" s="30"/>
      <c r="RF253" s="30"/>
      <c r="RG253" s="30"/>
      <c r="RH253" s="30"/>
      <c r="RI253" s="30"/>
      <c r="RJ253" s="30"/>
      <c r="RK253" s="30"/>
      <c r="RL253" s="30"/>
      <c r="RM253" s="30"/>
      <c r="RN253" s="30"/>
      <c r="RO253" s="30"/>
      <c r="RP253" s="30"/>
      <c r="RQ253" s="30"/>
      <c r="RR253" s="30"/>
      <c r="RS253" s="30"/>
      <c r="RT253" s="30"/>
      <c r="RU253" s="30"/>
      <c r="RV253" s="30"/>
      <c r="RW253" s="30"/>
      <c r="RX253" s="30"/>
      <c r="RY253" s="30"/>
      <c r="RZ253" s="30"/>
      <c r="SA253" s="30"/>
      <c r="SB253" s="30"/>
      <c r="SC253" s="30"/>
      <c r="SD253" s="30"/>
      <c r="SE253" s="30"/>
      <c r="SF253" s="30"/>
      <c r="SG253" s="30"/>
      <c r="SH253" s="30"/>
      <c r="SI253" s="30"/>
      <c r="SJ253" s="30"/>
      <c r="SK253" s="30"/>
      <c r="SL253" s="30"/>
      <c r="SM253" s="30"/>
      <c r="SN253" s="30"/>
      <c r="SO253" s="30"/>
      <c r="SP253" s="30"/>
      <c r="SQ253" s="30"/>
      <c r="SR253" s="30"/>
      <c r="SS253" s="30"/>
      <c r="ST253" s="30"/>
      <c r="SU253" s="30"/>
      <c r="SV253" s="30"/>
      <c r="SW253" s="30"/>
      <c r="SX253" s="30"/>
      <c r="SY253" s="30"/>
      <c r="SZ253" s="30"/>
      <c r="TA253" s="30"/>
      <c r="TB253" s="30"/>
      <c r="TC253" s="30"/>
      <c r="TD253" s="30"/>
      <c r="TE253" s="30"/>
      <c r="TF253" s="30"/>
      <c r="TG253" s="30"/>
    </row>
    <row r="254" spans="1:527" s="24" customFormat="1" ht="78.75" x14ac:dyDescent="0.25">
      <c r="A254" s="83"/>
      <c r="B254" s="110"/>
      <c r="C254" s="83"/>
      <c r="D254" s="86" t="s">
        <v>539</v>
      </c>
      <c r="E254" s="100">
        <f t="shared" si="113"/>
        <v>1527346</v>
      </c>
      <c r="F254" s="100">
        <v>1527346</v>
      </c>
      <c r="G254" s="100"/>
      <c r="H254" s="100"/>
      <c r="I254" s="100"/>
      <c r="J254" s="100">
        <f t="shared" si="114"/>
        <v>0</v>
      </c>
      <c r="K254" s="100"/>
      <c r="L254" s="100"/>
      <c r="M254" s="100"/>
      <c r="N254" s="100"/>
      <c r="O254" s="100"/>
      <c r="P254" s="100">
        <f t="shared" si="115"/>
        <v>1527346</v>
      </c>
      <c r="Q254" s="30"/>
      <c r="R254" s="32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  <c r="SQ254" s="30"/>
      <c r="SR254" s="30"/>
      <c r="SS254" s="30"/>
      <c r="ST254" s="30"/>
      <c r="SU254" s="30"/>
      <c r="SV254" s="30"/>
      <c r="SW254" s="30"/>
      <c r="SX254" s="30"/>
      <c r="SY254" s="30"/>
      <c r="SZ254" s="30"/>
      <c r="TA254" s="30"/>
      <c r="TB254" s="30"/>
      <c r="TC254" s="30"/>
      <c r="TD254" s="30"/>
      <c r="TE254" s="30"/>
      <c r="TF254" s="30"/>
      <c r="TG254" s="30"/>
    </row>
    <row r="255" spans="1:527" s="24" customFormat="1" ht="47.25" x14ac:dyDescent="0.25">
      <c r="A255" s="59" t="s">
        <v>585</v>
      </c>
      <c r="B255" s="92">
        <v>7463</v>
      </c>
      <c r="C255" s="59" t="s">
        <v>400</v>
      </c>
      <c r="D255" s="116" t="s">
        <v>586</v>
      </c>
      <c r="E255" s="98">
        <f t="shared" si="113"/>
        <v>200000</v>
      </c>
      <c r="F255" s="98">
        <v>200000</v>
      </c>
      <c r="G255" s="100"/>
      <c r="H255" s="100"/>
      <c r="I255" s="100"/>
      <c r="J255" s="98">
        <f t="shared" si="114"/>
        <v>0</v>
      </c>
      <c r="K255" s="100"/>
      <c r="L255" s="100"/>
      <c r="M255" s="100"/>
      <c r="N255" s="100"/>
      <c r="O255" s="100"/>
      <c r="P255" s="98">
        <f t="shared" si="115"/>
        <v>200000</v>
      </c>
      <c r="Q255" s="30"/>
      <c r="R255" s="32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  <c r="TF255" s="30"/>
      <c r="TG255" s="30"/>
    </row>
    <row r="256" spans="1:527" s="24" customFormat="1" ht="15.75" x14ac:dyDescent="0.25">
      <c r="A256" s="83"/>
      <c r="B256" s="110"/>
      <c r="C256" s="83"/>
      <c r="D256" s="84" t="s">
        <v>393</v>
      </c>
      <c r="E256" s="100">
        <f t="shared" si="113"/>
        <v>200000</v>
      </c>
      <c r="F256" s="100">
        <v>200000</v>
      </c>
      <c r="G256" s="100"/>
      <c r="H256" s="100"/>
      <c r="I256" s="100"/>
      <c r="J256" s="100">
        <f t="shared" si="114"/>
        <v>0</v>
      </c>
      <c r="K256" s="100"/>
      <c r="L256" s="100"/>
      <c r="M256" s="100"/>
      <c r="N256" s="100"/>
      <c r="O256" s="100"/>
      <c r="P256" s="100">
        <f t="shared" si="115"/>
        <v>200000</v>
      </c>
      <c r="Q256" s="30"/>
      <c r="R256" s="32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  <c r="LU256" s="30"/>
      <c r="LV256" s="30"/>
      <c r="LW256" s="30"/>
      <c r="LX256" s="30"/>
      <c r="LY256" s="30"/>
      <c r="LZ256" s="30"/>
      <c r="MA256" s="30"/>
      <c r="MB256" s="30"/>
      <c r="MC256" s="30"/>
      <c r="MD256" s="30"/>
      <c r="ME256" s="30"/>
      <c r="MF256" s="30"/>
      <c r="MG256" s="30"/>
      <c r="MH256" s="30"/>
      <c r="MI256" s="30"/>
      <c r="MJ256" s="30"/>
      <c r="MK256" s="30"/>
      <c r="ML256" s="30"/>
      <c r="MM256" s="30"/>
      <c r="MN256" s="30"/>
      <c r="MO256" s="30"/>
      <c r="MP256" s="30"/>
      <c r="MQ256" s="30"/>
      <c r="MR256" s="30"/>
      <c r="MS256" s="30"/>
      <c r="MT256" s="30"/>
      <c r="MU256" s="30"/>
      <c r="MV256" s="30"/>
      <c r="MW256" s="30"/>
      <c r="MX256" s="30"/>
      <c r="MY256" s="30"/>
      <c r="MZ256" s="30"/>
      <c r="NA256" s="30"/>
      <c r="NB256" s="30"/>
      <c r="NC256" s="30"/>
      <c r="ND256" s="30"/>
      <c r="NE256" s="30"/>
      <c r="NF256" s="30"/>
      <c r="NG256" s="30"/>
      <c r="NH256" s="30"/>
      <c r="NI256" s="30"/>
      <c r="NJ256" s="30"/>
      <c r="NK256" s="30"/>
      <c r="NL256" s="30"/>
      <c r="NM256" s="30"/>
      <c r="NN256" s="30"/>
      <c r="NO256" s="30"/>
      <c r="NP256" s="30"/>
      <c r="NQ256" s="30"/>
      <c r="NR256" s="30"/>
      <c r="NS256" s="30"/>
      <c r="NT256" s="30"/>
      <c r="NU256" s="30"/>
      <c r="NV256" s="30"/>
      <c r="NW256" s="30"/>
      <c r="NX256" s="30"/>
      <c r="NY256" s="30"/>
      <c r="NZ256" s="30"/>
      <c r="OA256" s="30"/>
      <c r="OB256" s="30"/>
      <c r="OC256" s="30"/>
      <c r="OD256" s="30"/>
      <c r="OE256" s="30"/>
      <c r="OF256" s="30"/>
      <c r="OG256" s="30"/>
      <c r="OH256" s="30"/>
      <c r="OI256" s="30"/>
      <c r="OJ256" s="30"/>
      <c r="OK256" s="30"/>
      <c r="OL256" s="30"/>
      <c r="OM256" s="30"/>
      <c r="ON256" s="30"/>
      <c r="OO256" s="30"/>
      <c r="OP256" s="30"/>
      <c r="OQ256" s="30"/>
      <c r="OR256" s="30"/>
      <c r="OS256" s="30"/>
      <c r="OT256" s="30"/>
      <c r="OU256" s="30"/>
      <c r="OV256" s="30"/>
      <c r="OW256" s="30"/>
      <c r="OX256" s="30"/>
      <c r="OY256" s="30"/>
      <c r="OZ256" s="30"/>
      <c r="PA256" s="30"/>
      <c r="PB256" s="30"/>
      <c r="PC256" s="30"/>
      <c r="PD256" s="30"/>
      <c r="PE256" s="30"/>
      <c r="PF256" s="30"/>
      <c r="PG256" s="30"/>
      <c r="PH256" s="30"/>
      <c r="PI256" s="30"/>
      <c r="PJ256" s="30"/>
      <c r="PK256" s="30"/>
      <c r="PL256" s="30"/>
      <c r="PM256" s="30"/>
      <c r="PN256" s="30"/>
      <c r="PO256" s="30"/>
      <c r="PP256" s="30"/>
      <c r="PQ256" s="30"/>
      <c r="PR256" s="30"/>
      <c r="PS256" s="30"/>
      <c r="PT256" s="30"/>
      <c r="PU256" s="30"/>
      <c r="PV256" s="30"/>
      <c r="PW256" s="30"/>
      <c r="PX256" s="30"/>
      <c r="PY256" s="30"/>
      <c r="PZ256" s="30"/>
      <c r="QA256" s="30"/>
      <c r="QB256" s="30"/>
      <c r="QC256" s="30"/>
      <c r="QD256" s="30"/>
      <c r="QE256" s="30"/>
      <c r="QF256" s="30"/>
      <c r="QG256" s="30"/>
      <c r="QH256" s="30"/>
      <c r="QI256" s="30"/>
      <c r="QJ256" s="30"/>
      <c r="QK256" s="30"/>
      <c r="QL256" s="30"/>
      <c r="QM256" s="30"/>
      <c r="QN256" s="30"/>
      <c r="QO256" s="30"/>
      <c r="QP256" s="30"/>
      <c r="QQ256" s="30"/>
      <c r="QR256" s="30"/>
      <c r="QS256" s="30"/>
      <c r="QT256" s="30"/>
      <c r="QU256" s="30"/>
      <c r="QV256" s="30"/>
      <c r="QW256" s="30"/>
      <c r="QX256" s="30"/>
      <c r="QY256" s="30"/>
      <c r="QZ256" s="30"/>
      <c r="RA256" s="30"/>
      <c r="RB256" s="30"/>
      <c r="RC256" s="30"/>
      <c r="RD256" s="30"/>
      <c r="RE256" s="30"/>
      <c r="RF256" s="30"/>
      <c r="RG256" s="30"/>
      <c r="RH256" s="30"/>
      <c r="RI256" s="30"/>
      <c r="RJ256" s="30"/>
      <c r="RK256" s="30"/>
      <c r="RL256" s="30"/>
      <c r="RM256" s="30"/>
      <c r="RN256" s="30"/>
      <c r="RO256" s="30"/>
      <c r="RP256" s="30"/>
      <c r="RQ256" s="30"/>
      <c r="RR256" s="30"/>
      <c r="RS256" s="30"/>
      <c r="RT256" s="30"/>
      <c r="RU256" s="30"/>
      <c r="RV256" s="30"/>
      <c r="RW256" s="30"/>
      <c r="RX256" s="30"/>
      <c r="RY256" s="30"/>
      <c r="RZ256" s="30"/>
      <c r="SA256" s="30"/>
      <c r="SB256" s="30"/>
      <c r="SC256" s="30"/>
      <c r="SD256" s="30"/>
      <c r="SE256" s="30"/>
      <c r="SF256" s="30"/>
      <c r="SG256" s="30"/>
      <c r="SH256" s="30"/>
      <c r="SI256" s="30"/>
      <c r="SJ256" s="30"/>
      <c r="SK256" s="30"/>
      <c r="SL256" s="30"/>
      <c r="SM256" s="30"/>
      <c r="SN256" s="30"/>
      <c r="SO256" s="30"/>
      <c r="SP256" s="30"/>
      <c r="SQ256" s="30"/>
      <c r="SR256" s="30"/>
      <c r="SS256" s="30"/>
      <c r="ST256" s="30"/>
      <c r="SU256" s="30"/>
      <c r="SV256" s="30"/>
      <c r="SW256" s="30"/>
      <c r="SX256" s="30"/>
      <c r="SY256" s="30"/>
      <c r="SZ256" s="30"/>
      <c r="TA256" s="30"/>
      <c r="TB256" s="30"/>
      <c r="TC256" s="30"/>
      <c r="TD256" s="30"/>
      <c r="TE256" s="30"/>
      <c r="TF256" s="30"/>
      <c r="TG256" s="30"/>
    </row>
    <row r="257" spans="1:527" s="24" customFormat="1" ht="31.5" hidden="1" x14ac:dyDescent="0.25">
      <c r="A257" s="59" t="s">
        <v>429</v>
      </c>
      <c r="B257" s="92">
        <v>7530</v>
      </c>
      <c r="C257" s="59" t="s">
        <v>236</v>
      </c>
      <c r="D257" s="93" t="s">
        <v>234</v>
      </c>
      <c r="E257" s="98">
        <f t="shared" si="113"/>
        <v>0</v>
      </c>
      <c r="F257" s="98"/>
      <c r="G257" s="100"/>
      <c r="H257" s="100"/>
      <c r="I257" s="100"/>
      <c r="J257" s="98">
        <f t="shared" si="114"/>
        <v>0</v>
      </c>
      <c r="K257" s="98"/>
      <c r="L257" s="98"/>
      <c r="M257" s="98"/>
      <c r="N257" s="98"/>
      <c r="O257" s="98"/>
      <c r="P257" s="98">
        <f t="shared" si="115"/>
        <v>0</v>
      </c>
      <c r="Q257" s="30"/>
      <c r="R257" s="32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  <c r="TF257" s="30"/>
      <c r="TG257" s="30"/>
    </row>
    <row r="258" spans="1:527" s="22" customFormat="1" ht="20.25" customHeight="1" x14ac:dyDescent="0.25">
      <c r="A258" s="59" t="s">
        <v>202</v>
      </c>
      <c r="B258" s="92" t="str">
        <f>'дод 7'!A218</f>
        <v>7640</v>
      </c>
      <c r="C258" s="59" t="str">
        <f>'дод 7'!B218</f>
        <v>0470</v>
      </c>
      <c r="D258" s="60" t="s">
        <v>422</v>
      </c>
      <c r="E258" s="98">
        <f t="shared" si="107"/>
        <v>1882610</v>
      </c>
      <c r="F258" s="98">
        <f>700000-100000</f>
        <v>600000</v>
      </c>
      <c r="G258" s="98"/>
      <c r="H258" s="98"/>
      <c r="I258" s="98">
        <f>1500000+500000-42090-560000-30300-85000</f>
        <v>1282610</v>
      </c>
      <c r="J258" s="98">
        <f t="shared" si="109"/>
        <v>0</v>
      </c>
      <c r="K258" s="98"/>
      <c r="L258" s="98"/>
      <c r="M258" s="98"/>
      <c r="N258" s="98"/>
      <c r="O258" s="98"/>
      <c r="P258" s="98">
        <f t="shared" si="108"/>
        <v>1882610</v>
      </c>
      <c r="Q258" s="23"/>
      <c r="R258" s="32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</row>
    <row r="259" spans="1:527" s="22" customFormat="1" ht="39" customHeight="1" x14ac:dyDescent="0.25">
      <c r="A259" s="59" t="s">
        <v>331</v>
      </c>
      <c r="B259" s="92" t="str">
        <f>'дод 7'!A222</f>
        <v>7670</v>
      </c>
      <c r="C259" s="59" t="str">
        <f>'дод 7'!B222</f>
        <v>0490</v>
      </c>
      <c r="D259" s="60" t="str">
        <f>'дод 7'!C222</f>
        <v>Внески до статутного капіталу суб’єктів господарювання, у т. ч. за рахунок:</v>
      </c>
      <c r="E259" s="98">
        <f t="shared" si="107"/>
        <v>0</v>
      </c>
      <c r="F259" s="98"/>
      <c r="G259" s="98"/>
      <c r="H259" s="98"/>
      <c r="I259" s="98"/>
      <c r="J259" s="98">
        <f t="shared" si="109"/>
        <v>26745000</v>
      </c>
      <c r="K259" s="98">
        <f>46790000-20000000-45000</f>
        <v>26745000</v>
      </c>
      <c r="L259" s="98"/>
      <c r="M259" s="98"/>
      <c r="N259" s="98"/>
      <c r="O259" s="98">
        <f>46790000-20000000-45000</f>
        <v>26745000</v>
      </c>
      <c r="P259" s="98">
        <f t="shared" si="108"/>
        <v>26745000</v>
      </c>
      <c r="Q259" s="23"/>
      <c r="R259" s="32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</row>
    <row r="260" spans="1:527" s="24" customFormat="1" ht="18.75" customHeight="1" x14ac:dyDescent="0.25">
      <c r="A260" s="83"/>
      <c r="B260" s="110"/>
      <c r="C260" s="110"/>
      <c r="D260" s="84" t="s">
        <v>419</v>
      </c>
      <c r="E260" s="100">
        <f t="shared" si="107"/>
        <v>0</v>
      </c>
      <c r="F260" s="100"/>
      <c r="G260" s="100"/>
      <c r="H260" s="100"/>
      <c r="I260" s="100"/>
      <c r="J260" s="100">
        <f t="shared" si="109"/>
        <v>26250000</v>
      </c>
      <c r="K260" s="100">
        <v>26250000</v>
      </c>
      <c r="L260" s="100"/>
      <c r="M260" s="100"/>
      <c r="N260" s="100"/>
      <c r="O260" s="100">
        <v>26250000</v>
      </c>
      <c r="P260" s="100">
        <f t="shared" si="108"/>
        <v>26250000</v>
      </c>
      <c r="Q260" s="30"/>
      <c r="R260" s="32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  <c r="TF260" s="30"/>
      <c r="TG260" s="30"/>
    </row>
    <row r="261" spans="1:527" s="22" customFormat="1" ht="126" x14ac:dyDescent="0.25">
      <c r="A261" s="102" t="s">
        <v>300</v>
      </c>
      <c r="B261" s="42">
        <v>7691</v>
      </c>
      <c r="C261" s="42" t="s">
        <v>82</v>
      </c>
      <c r="D261" s="36" t="str">
        <f>'дод 7'!C225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1" s="98">
        <f t="shared" si="107"/>
        <v>0</v>
      </c>
      <c r="F261" s="98"/>
      <c r="G261" s="98"/>
      <c r="H261" s="98"/>
      <c r="I261" s="98"/>
      <c r="J261" s="98">
        <f t="shared" si="109"/>
        <v>2205686.5699999998</v>
      </c>
      <c r="K261" s="98"/>
      <c r="L261" s="98">
        <f>169598+128488.57</f>
        <v>298086.57</v>
      </c>
      <c r="M261" s="98"/>
      <c r="N261" s="98"/>
      <c r="O261" s="98">
        <f>1900000+7600</f>
        <v>1907600</v>
      </c>
      <c r="P261" s="98">
        <f t="shared" si="108"/>
        <v>2205686.5699999998</v>
      </c>
      <c r="Q261" s="23"/>
      <c r="R261" s="32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</row>
    <row r="262" spans="1:527" s="22" customFormat="1" ht="31.5" x14ac:dyDescent="0.25">
      <c r="A262" s="102" t="s">
        <v>380</v>
      </c>
      <c r="B262" s="42" t="str">
        <f>'дод 7'!A233</f>
        <v>8110</v>
      </c>
      <c r="C262" s="42" t="str">
        <f>'дод 7'!B233</f>
        <v>0320</v>
      </c>
      <c r="D262" s="103" t="str">
        <f>'дод 7'!C233</f>
        <v>Заходи із запобігання та ліквідації надзвичайних ситуацій та наслідків стихійного лиха</v>
      </c>
      <c r="E262" s="98">
        <f t="shared" ref="E262" si="116">F262+I262</f>
        <v>677493.87</v>
      </c>
      <c r="F262" s="98">
        <v>677493.87</v>
      </c>
      <c r="G262" s="98"/>
      <c r="H262" s="98"/>
      <c r="I262" s="98"/>
      <c r="J262" s="98">
        <f t="shared" ref="J262" si="117">L262+O262</f>
        <v>0</v>
      </c>
      <c r="K262" s="98"/>
      <c r="L262" s="98"/>
      <c r="M262" s="98"/>
      <c r="N262" s="98"/>
      <c r="O262" s="98"/>
      <c r="P262" s="98">
        <f t="shared" ref="P262" si="118">E262+J262</f>
        <v>677493.87</v>
      </c>
      <c r="Q262" s="23"/>
      <c r="R262" s="32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</row>
    <row r="263" spans="1:527" s="22" customFormat="1" ht="15.75" hidden="1" customHeight="1" x14ac:dyDescent="0.25">
      <c r="A263" s="102" t="s">
        <v>379</v>
      </c>
      <c r="B263" s="42" t="str">
        <f>'дод 7'!A237</f>
        <v>8230</v>
      </c>
      <c r="C263" s="42" t="str">
        <f>'дод 7'!B237</f>
        <v>0380</v>
      </c>
      <c r="D263" s="103" t="str">
        <f>'дод 7'!C237</f>
        <v>Інші заходи громадського порядку та безпеки</v>
      </c>
      <c r="E263" s="98">
        <f t="shared" ref="E263" si="119">F263+I263</f>
        <v>0</v>
      </c>
      <c r="F263" s="98"/>
      <c r="G263" s="98"/>
      <c r="H263" s="98"/>
      <c r="I263" s="98"/>
      <c r="J263" s="98">
        <f t="shared" ref="J263" si="120">L263+O263</f>
        <v>0</v>
      </c>
      <c r="K263" s="98"/>
      <c r="L263" s="98"/>
      <c r="M263" s="98"/>
      <c r="N263" s="98"/>
      <c r="O263" s="98"/>
      <c r="P263" s="98">
        <f t="shared" ref="P263" si="121">E263+J263</f>
        <v>0</v>
      </c>
      <c r="Q263" s="23"/>
      <c r="R263" s="32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2" customFormat="1" ht="35.25" customHeight="1" x14ac:dyDescent="0.25">
      <c r="A264" s="59" t="s">
        <v>203</v>
      </c>
      <c r="B264" s="92" t="str">
        <f>'дод 7'!A240</f>
        <v>8340</v>
      </c>
      <c r="C264" s="92" t="str">
        <f>'дод 7'!B240</f>
        <v>0540</v>
      </c>
      <c r="D264" s="60" t="str">
        <f>'дод 7'!C240</f>
        <v>Природоохоронні заходи за рахунок цільових фондів</v>
      </c>
      <c r="E264" s="98">
        <f t="shared" si="107"/>
        <v>0</v>
      </c>
      <c r="F264" s="98"/>
      <c r="G264" s="98"/>
      <c r="H264" s="98"/>
      <c r="I264" s="98"/>
      <c r="J264" s="98">
        <f t="shared" si="109"/>
        <v>2949600</v>
      </c>
      <c r="K264" s="98"/>
      <c r="L264" s="98">
        <f>1442000+186000+21600</f>
        <v>1649600</v>
      </c>
      <c r="M264" s="98"/>
      <c r="N264" s="98"/>
      <c r="O264" s="98">
        <v>1300000</v>
      </c>
      <c r="P264" s="98">
        <f t="shared" si="108"/>
        <v>2949600</v>
      </c>
      <c r="Q264" s="23"/>
      <c r="R264" s="32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</row>
    <row r="265" spans="1:527" s="22" customFormat="1" ht="78.75" x14ac:dyDescent="0.25">
      <c r="A265" s="59" t="s">
        <v>571</v>
      </c>
      <c r="B265" s="92">
        <v>9730</v>
      </c>
      <c r="C265" s="59" t="s">
        <v>45</v>
      </c>
      <c r="D265" s="60" t="s">
        <v>572</v>
      </c>
      <c r="E265" s="98">
        <f t="shared" si="107"/>
        <v>0</v>
      </c>
      <c r="F265" s="98">
        <f>25000000-25000000</f>
        <v>0</v>
      </c>
      <c r="G265" s="98"/>
      <c r="H265" s="98"/>
      <c r="I265" s="98"/>
      <c r="J265" s="98">
        <f t="shared" si="109"/>
        <v>0</v>
      </c>
      <c r="K265" s="98"/>
      <c r="L265" s="98"/>
      <c r="M265" s="98"/>
      <c r="N265" s="98"/>
      <c r="O265" s="98"/>
      <c r="P265" s="98">
        <f t="shared" si="108"/>
        <v>0</v>
      </c>
      <c r="Q265" s="23"/>
      <c r="R265" s="32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</row>
    <row r="266" spans="1:527" s="22" customFormat="1" ht="20.25" customHeight="1" x14ac:dyDescent="0.25">
      <c r="A266" s="59" t="s">
        <v>204</v>
      </c>
      <c r="B266" s="92" t="str">
        <f>'дод 7'!A256</f>
        <v>9770</v>
      </c>
      <c r="C266" s="92" t="str">
        <f>'дод 7'!B256</f>
        <v>0180</v>
      </c>
      <c r="D266" s="60" t="str">
        <f>'дод 7'!C256</f>
        <v>Інші субвенції з місцевого бюджету</v>
      </c>
      <c r="E266" s="98">
        <f t="shared" si="107"/>
        <v>8550000</v>
      </c>
      <c r="F266" s="98">
        <f>4000000+4550000</f>
        <v>8550000</v>
      </c>
      <c r="G266" s="98"/>
      <c r="H266" s="98"/>
      <c r="I266" s="98"/>
      <c r="J266" s="98">
        <f t="shared" si="109"/>
        <v>6450000</v>
      </c>
      <c r="K266" s="98">
        <f>7000000-4000000+3450000</f>
        <v>6450000</v>
      </c>
      <c r="L266" s="98"/>
      <c r="M266" s="98"/>
      <c r="N266" s="98"/>
      <c r="O266" s="98">
        <f>7000000-4000000+3450000</f>
        <v>6450000</v>
      </c>
      <c r="P266" s="98">
        <f t="shared" si="108"/>
        <v>15000000</v>
      </c>
      <c r="Q266" s="23"/>
      <c r="R266" s="32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</row>
    <row r="267" spans="1:527" s="27" customFormat="1" ht="33.75" customHeight="1" x14ac:dyDescent="0.25">
      <c r="A267" s="109" t="s">
        <v>27</v>
      </c>
      <c r="B267" s="111"/>
      <c r="C267" s="111"/>
      <c r="D267" s="106" t="s">
        <v>34</v>
      </c>
      <c r="E267" s="94">
        <f>E268</f>
        <v>6537039</v>
      </c>
      <c r="F267" s="94">
        <f t="shared" ref="F267:J268" si="122">F268</f>
        <v>6537039</v>
      </c>
      <c r="G267" s="94">
        <f t="shared" si="122"/>
        <v>5070500</v>
      </c>
      <c r="H267" s="94">
        <f t="shared" si="122"/>
        <v>120439</v>
      </c>
      <c r="I267" s="94">
        <f t="shared" si="122"/>
        <v>0</v>
      </c>
      <c r="J267" s="94">
        <f t="shared" si="122"/>
        <v>0</v>
      </c>
      <c r="K267" s="94">
        <f t="shared" ref="K267:K268" si="123">K268</f>
        <v>0</v>
      </c>
      <c r="L267" s="94">
        <f t="shared" ref="L267:L268" si="124">L268</f>
        <v>0</v>
      </c>
      <c r="M267" s="94">
        <f t="shared" ref="M267:M268" si="125">M268</f>
        <v>0</v>
      </c>
      <c r="N267" s="94">
        <f t="shared" ref="N267:N268" si="126">N268</f>
        <v>0</v>
      </c>
      <c r="O267" s="94">
        <f t="shared" ref="O267:P268" si="127">O268</f>
        <v>0</v>
      </c>
      <c r="P267" s="94">
        <f t="shared" si="127"/>
        <v>6537039</v>
      </c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  <c r="IP267" s="32"/>
      <c r="IQ267" s="32"/>
      <c r="IR267" s="32"/>
      <c r="IS267" s="32"/>
      <c r="IT267" s="32"/>
      <c r="IU267" s="32"/>
      <c r="IV267" s="32"/>
      <c r="IW267" s="32"/>
      <c r="IX267" s="32"/>
      <c r="IY267" s="32"/>
      <c r="IZ267" s="32"/>
      <c r="JA267" s="32"/>
      <c r="JB267" s="32"/>
      <c r="JC267" s="32"/>
      <c r="JD267" s="32"/>
      <c r="JE267" s="32"/>
      <c r="JF267" s="32"/>
      <c r="JG267" s="32"/>
      <c r="JH267" s="32"/>
      <c r="JI267" s="32"/>
      <c r="JJ267" s="32"/>
      <c r="JK267" s="32"/>
      <c r="JL267" s="32"/>
      <c r="JM267" s="32"/>
      <c r="JN267" s="32"/>
      <c r="JO267" s="32"/>
      <c r="JP267" s="32"/>
      <c r="JQ267" s="32"/>
      <c r="JR267" s="32"/>
      <c r="JS267" s="32"/>
      <c r="JT267" s="32"/>
      <c r="JU267" s="32"/>
      <c r="JV267" s="32"/>
      <c r="JW267" s="32"/>
      <c r="JX267" s="32"/>
      <c r="JY267" s="32"/>
      <c r="JZ267" s="32"/>
      <c r="KA267" s="32"/>
      <c r="KB267" s="32"/>
      <c r="KC267" s="32"/>
      <c r="KD267" s="32"/>
      <c r="KE267" s="32"/>
      <c r="KF267" s="32"/>
      <c r="KG267" s="32"/>
      <c r="KH267" s="32"/>
      <c r="KI267" s="32"/>
      <c r="KJ267" s="32"/>
      <c r="KK267" s="32"/>
      <c r="KL267" s="32"/>
      <c r="KM267" s="32"/>
      <c r="KN267" s="32"/>
      <c r="KO267" s="32"/>
      <c r="KP267" s="32"/>
      <c r="KQ267" s="32"/>
      <c r="KR267" s="32"/>
      <c r="KS267" s="32"/>
      <c r="KT267" s="32"/>
      <c r="KU267" s="32"/>
      <c r="KV267" s="32"/>
      <c r="KW267" s="32"/>
      <c r="KX267" s="32"/>
      <c r="KY267" s="32"/>
      <c r="KZ267" s="32"/>
      <c r="LA267" s="32"/>
      <c r="LB267" s="32"/>
      <c r="LC267" s="32"/>
      <c r="LD267" s="32"/>
      <c r="LE267" s="32"/>
      <c r="LF267" s="32"/>
      <c r="LG267" s="32"/>
      <c r="LH267" s="32"/>
      <c r="LI267" s="32"/>
      <c r="LJ267" s="32"/>
      <c r="LK267" s="32"/>
      <c r="LL267" s="32"/>
      <c r="LM267" s="32"/>
      <c r="LN267" s="32"/>
      <c r="LO267" s="32"/>
      <c r="LP267" s="32"/>
      <c r="LQ267" s="32"/>
      <c r="LR267" s="32"/>
      <c r="LS267" s="32"/>
      <c r="LT267" s="32"/>
      <c r="LU267" s="32"/>
      <c r="LV267" s="32"/>
      <c r="LW267" s="32"/>
      <c r="LX267" s="32"/>
      <c r="LY267" s="32"/>
      <c r="LZ267" s="32"/>
      <c r="MA267" s="32"/>
      <c r="MB267" s="32"/>
      <c r="MC267" s="32"/>
      <c r="MD267" s="32"/>
      <c r="ME267" s="32"/>
      <c r="MF267" s="32"/>
      <c r="MG267" s="32"/>
      <c r="MH267" s="32"/>
      <c r="MI267" s="32"/>
      <c r="MJ267" s="32"/>
      <c r="MK267" s="32"/>
      <c r="ML267" s="32"/>
      <c r="MM267" s="32"/>
      <c r="MN267" s="32"/>
      <c r="MO267" s="32"/>
      <c r="MP267" s="32"/>
      <c r="MQ267" s="32"/>
      <c r="MR267" s="32"/>
      <c r="MS267" s="32"/>
      <c r="MT267" s="32"/>
      <c r="MU267" s="32"/>
      <c r="MV267" s="32"/>
      <c r="MW267" s="32"/>
      <c r="MX267" s="32"/>
      <c r="MY267" s="32"/>
      <c r="MZ267" s="32"/>
      <c r="NA267" s="32"/>
      <c r="NB267" s="32"/>
      <c r="NC267" s="32"/>
      <c r="ND267" s="32"/>
      <c r="NE267" s="32"/>
      <c r="NF267" s="32"/>
      <c r="NG267" s="32"/>
      <c r="NH267" s="32"/>
      <c r="NI267" s="32"/>
      <c r="NJ267" s="32"/>
      <c r="NK267" s="32"/>
      <c r="NL267" s="32"/>
      <c r="NM267" s="32"/>
      <c r="NN267" s="32"/>
      <c r="NO267" s="32"/>
      <c r="NP267" s="32"/>
      <c r="NQ267" s="32"/>
      <c r="NR267" s="32"/>
      <c r="NS267" s="32"/>
      <c r="NT267" s="32"/>
      <c r="NU267" s="32"/>
      <c r="NV267" s="32"/>
      <c r="NW267" s="32"/>
      <c r="NX267" s="32"/>
      <c r="NY267" s="32"/>
      <c r="NZ267" s="32"/>
      <c r="OA267" s="32"/>
      <c r="OB267" s="32"/>
      <c r="OC267" s="32"/>
      <c r="OD267" s="32"/>
      <c r="OE267" s="32"/>
      <c r="OF267" s="32"/>
      <c r="OG267" s="32"/>
      <c r="OH267" s="32"/>
      <c r="OI267" s="32"/>
      <c r="OJ267" s="32"/>
      <c r="OK267" s="32"/>
      <c r="OL267" s="32"/>
      <c r="OM267" s="32"/>
      <c r="ON267" s="32"/>
      <c r="OO267" s="32"/>
      <c r="OP267" s="32"/>
      <c r="OQ267" s="32"/>
      <c r="OR267" s="32"/>
      <c r="OS267" s="32"/>
      <c r="OT267" s="32"/>
      <c r="OU267" s="32"/>
      <c r="OV267" s="32"/>
      <c r="OW267" s="32"/>
      <c r="OX267" s="32"/>
      <c r="OY267" s="32"/>
      <c r="OZ267" s="32"/>
      <c r="PA267" s="32"/>
      <c r="PB267" s="32"/>
      <c r="PC267" s="32"/>
      <c r="PD267" s="32"/>
      <c r="PE267" s="32"/>
      <c r="PF267" s="32"/>
      <c r="PG267" s="32"/>
      <c r="PH267" s="32"/>
      <c r="PI267" s="32"/>
      <c r="PJ267" s="32"/>
      <c r="PK267" s="32"/>
      <c r="PL267" s="32"/>
      <c r="PM267" s="32"/>
      <c r="PN267" s="32"/>
      <c r="PO267" s="32"/>
      <c r="PP267" s="32"/>
      <c r="PQ267" s="32"/>
      <c r="PR267" s="32"/>
      <c r="PS267" s="32"/>
      <c r="PT267" s="32"/>
      <c r="PU267" s="32"/>
      <c r="PV267" s="32"/>
      <c r="PW267" s="32"/>
      <c r="PX267" s="32"/>
      <c r="PY267" s="32"/>
      <c r="PZ267" s="32"/>
      <c r="QA267" s="32"/>
      <c r="QB267" s="32"/>
      <c r="QC267" s="32"/>
      <c r="QD267" s="32"/>
      <c r="QE267" s="32"/>
      <c r="QF267" s="32"/>
      <c r="QG267" s="32"/>
      <c r="QH267" s="32"/>
      <c r="QI267" s="32"/>
      <c r="QJ267" s="32"/>
      <c r="QK267" s="32"/>
      <c r="QL267" s="32"/>
      <c r="QM267" s="32"/>
      <c r="QN267" s="32"/>
      <c r="QO267" s="32"/>
      <c r="QP267" s="32"/>
      <c r="QQ267" s="32"/>
      <c r="QR267" s="32"/>
      <c r="QS267" s="32"/>
      <c r="QT267" s="32"/>
      <c r="QU267" s="32"/>
      <c r="QV267" s="32"/>
      <c r="QW267" s="32"/>
      <c r="QX267" s="32"/>
      <c r="QY267" s="32"/>
      <c r="QZ267" s="32"/>
      <c r="RA267" s="32"/>
      <c r="RB267" s="32"/>
      <c r="RC267" s="32"/>
      <c r="RD267" s="32"/>
      <c r="RE267" s="32"/>
      <c r="RF267" s="32"/>
      <c r="RG267" s="32"/>
      <c r="RH267" s="32"/>
      <c r="RI267" s="32"/>
      <c r="RJ267" s="32"/>
      <c r="RK267" s="32"/>
      <c r="RL267" s="32"/>
      <c r="RM267" s="32"/>
      <c r="RN267" s="32"/>
      <c r="RO267" s="32"/>
      <c r="RP267" s="32"/>
      <c r="RQ267" s="32"/>
      <c r="RR267" s="32"/>
      <c r="RS267" s="32"/>
      <c r="RT267" s="32"/>
      <c r="RU267" s="32"/>
      <c r="RV267" s="32"/>
      <c r="RW267" s="32"/>
      <c r="RX267" s="32"/>
      <c r="RY267" s="32"/>
      <c r="RZ267" s="32"/>
      <c r="SA267" s="32"/>
      <c r="SB267" s="32"/>
      <c r="SC267" s="32"/>
      <c r="SD267" s="32"/>
      <c r="SE267" s="32"/>
      <c r="SF267" s="32"/>
      <c r="SG267" s="32"/>
      <c r="SH267" s="32"/>
      <c r="SI267" s="32"/>
      <c r="SJ267" s="32"/>
      <c r="SK267" s="32"/>
      <c r="SL267" s="32"/>
      <c r="SM267" s="32"/>
      <c r="SN267" s="32"/>
      <c r="SO267" s="32"/>
      <c r="SP267" s="32"/>
      <c r="SQ267" s="32"/>
      <c r="SR267" s="32"/>
      <c r="SS267" s="32"/>
      <c r="ST267" s="32"/>
      <c r="SU267" s="32"/>
      <c r="SV267" s="32"/>
      <c r="SW267" s="32"/>
      <c r="SX267" s="32"/>
      <c r="SY267" s="32"/>
      <c r="SZ267" s="32"/>
      <c r="TA267" s="32"/>
      <c r="TB267" s="32"/>
      <c r="TC267" s="32"/>
      <c r="TD267" s="32"/>
      <c r="TE267" s="32"/>
      <c r="TF267" s="32"/>
      <c r="TG267" s="32"/>
    </row>
    <row r="268" spans="1:527" s="34" customFormat="1" ht="36.75" customHeight="1" x14ac:dyDescent="0.25">
      <c r="A268" s="95" t="s">
        <v>118</v>
      </c>
      <c r="B268" s="108"/>
      <c r="C268" s="108"/>
      <c r="D268" s="76" t="s">
        <v>34</v>
      </c>
      <c r="E268" s="97">
        <f>E269</f>
        <v>6537039</v>
      </c>
      <c r="F268" s="97">
        <f t="shared" si="122"/>
        <v>6537039</v>
      </c>
      <c r="G268" s="97">
        <f t="shared" si="122"/>
        <v>5070500</v>
      </c>
      <c r="H268" s="97">
        <f t="shared" si="122"/>
        <v>120439</v>
      </c>
      <c r="I268" s="97">
        <f t="shared" si="122"/>
        <v>0</v>
      </c>
      <c r="J268" s="97">
        <f t="shared" si="122"/>
        <v>0</v>
      </c>
      <c r="K268" s="97">
        <f t="shared" si="123"/>
        <v>0</v>
      </c>
      <c r="L268" s="97">
        <f t="shared" si="124"/>
        <v>0</v>
      </c>
      <c r="M268" s="97">
        <f t="shared" si="125"/>
        <v>0</v>
      </c>
      <c r="N268" s="97">
        <f t="shared" si="126"/>
        <v>0</v>
      </c>
      <c r="O268" s="97">
        <f t="shared" si="127"/>
        <v>0</v>
      </c>
      <c r="P268" s="97">
        <f t="shared" si="127"/>
        <v>6537039</v>
      </c>
      <c r="Q268" s="33"/>
      <c r="R268" s="32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33"/>
      <c r="HU268" s="33"/>
      <c r="HV268" s="33"/>
      <c r="HW268" s="33"/>
      <c r="HX268" s="33"/>
      <c r="HY268" s="33"/>
      <c r="HZ268" s="33"/>
      <c r="IA268" s="33"/>
      <c r="IB268" s="33"/>
      <c r="IC268" s="33"/>
      <c r="ID268" s="33"/>
      <c r="IE268" s="33"/>
      <c r="IF268" s="33"/>
      <c r="IG268" s="33"/>
      <c r="IH268" s="33"/>
      <c r="II268" s="33"/>
      <c r="IJ268" s="33"/>
      <c r="IK268" s="33"/>
      <c r="IL268" s="33"/>
      <c r="IM268" s="33"/>
      <c r="IN268" s="33"/>
      <c r="IO268" s="33"/>
      <c r="IP268" s="33"/>
      <c r="IQ268" s="33"/>
      <c r="IR268" s="33"/>
      <c r="IS268" s="33"/>
      <c r="IT268" s="33"/>
      <c r="IU268" s="33"/>
      <c r="IV268" s="33"/>
      <c r="IW268" s="33"/>
      <c r="IX268" s="33"/>
      <c r="IY268" s="33"/>
      <c r="IZ268" s="33"/>
      <c r="JA268" s="33"/>
      <c r="JB268" s="33"/>
      <c r="JC268" s="33"/>
      <c r="JD268" s="33"/>
      <c r="JE268" s="33"/>
      <c r="JF268" s="33"/>
      <c r="JG268" s="33"/>
      <c r="JH268" s="33"/>
      <c r="JI268" s="33"/>
      <c r="JJ268" s="33"/>
      <c r="JK268" s="33"/>
      <c r="JL268" s="33"/>
      <c r="JM268" s="33"/>
      <c r="JN268" s="33"/>
      <c r="JO268" s="33"/>
      <c r="JP268" s="33"/>
      <c r="JQ268" s="33"/>
      <c r="JR268" s="33"/>
      <c r="JS268" s="33"/>
      <c r="JT268" s="33"/>
      <c r="JU268" s="33"/>
      <c r="JV268" s="33"/>
      <c r="JW268" s="33"/>
      <c r="JX268" s="33"/>
      <c r="JY268" s="33"/>
      <c r="JZ268" s="33"/>
      <c r="KA268" s="33"/>
      <c r="KB268" s="33"/>
      <c r="KC268" s="33"/>
      <c r="KD268" s="33"/>
      <c r="KE268" s="33"/>
      <c r="KF268" s="33"/>
      <c r="KG268" s="33"/>
      <c r="KH268" s="33"/>
      <c r="KI268" s="33"/>
      <c r="KJ268" s="33"/>
      <c r="KK268" s="33"/>
      <c r="KL268" s="33"/>
      <c r="KM268" s="33"/>
      <c r="KN268" s="33"/>
      <c r="KO268" s="33"/>
      <c r="KP268" s="33"/>
      <c r="KQ268" s="33"/>
      <c r="KR268" s="33"/>
      <c r="KS268" s="33"/>
      <c r="KT268" s="33"/>
      <c r="KU268" s="33"/>
      <c r="KV268" s="33"/>
      <c r="KW268" s="33"/>
      <c r="KX268" s="33"/>
      <c r="KY268" s="33"/>
      <c r="KZ268" s="33"/>
      <c r="LA268" s="33"/>
      <c r="LB268" s="33"/>
      <c r="LC268" s="33"/>
      <c r="LD268" s="33"/>
      <c r="LE268" s="33"/>
      <c r="LF268" s="33"/>
      <c r="LG268" s="33"/>
      <c r="LH268" s="33"/>
      <c r="LI268" s="33"/>
      <c r="LJ268" s="33"/>
      <c r="LK268" s="33"/>
      <c r="LL268" s="33"/>
      <c r="LM268" s="33"/>
      <c r="LN268" s="33"/>
      <c r="LO268" s="33"/>
      <c r="LP268" s="33"/>
      <c r="LQ268" s="33"/>
      <c r="LR268" s="33"/>
      <c r="LS268" s="33"/>
      <c r="LT268" s="33"/>
      <c r="LU268" s="33"/>
      <c r="LV268" s="33"/>
      <c r="LW268" s="33"/>
      <c r="LX268" s="33"/>
      <c r="LY268" s="33"/>
      <c r="LZ268" s="33"/>
      <c r="MA268" s="33"/>
      <c r="MB268" s="33"/>
      <c r="MC268" s="33"/>
      <c r="MD268" s="33"/>
      <c r="ME268" s="33"/>
      <c r="MF268" s="33"/>
      <c r="MG268" s="33"/>
      <c r="MH268" s="33"/>
      <c r="MI268" s="33"/>
      <c r="MJ268" s="33"/>
      <c r="MK268" s="33"/>
      <c r="ML268" s="33"/>
      <c r="MM268" s="33"/>
      <c r="MN268" s="33"/>
      <c r="MO268" s="33"/>
      <c r="MP268" s="33"/>
      <c r="MQ268" s="33"/>
      <c r="MR268" s="33"/>
      <c r="MS268" s="33"/>
      <c r="MT268" s="33"/>
      <c r="MU268" s="33"/>
      <c r="MV268" s="33"/>
      <c r="MW268" s="33"/>
      <c r="MX268" s="33"/>
      <c r="MY268" s="33"/>
      <c r="MZ268" s="33"/>
      <c r="NA268" s="33"/>
      <c r="NB268" s="33"/>
      <c r="NC268" s="33"/>
      <c r="ND268" s="33"/>
      <c r="NE268" s="33"/>
      <c r="NF268" s="33"/>
      <c r="NG268" s="33"/>
      <c r="NH268" s="33"/>
      <c r="NI268" s="33"/>
      <c r="NJ268" s="33"/>
      <c r="NK268" s="33"/>
      <c r="NL268" s="33"/>
      <c r="NM268" s="33"/>
      <c r="NN268" s="33"/>
      <c r="NO268" s="33"/>
      <c r="NP268" s="33"/>
      <c r="NQ268" s="33"/>
      <c r="NR268" s="33"/>
      <c r="NS268" s="33"/>
      <c r="NT268" s="33"/>
      <c r="NU268" s="33"/>
      <c r="NV268" s="33"/>
      <c r="NW268" s="33"/>
      <c r="NX268" s="33"/>
      <c r="NY268" s="33"/>
      <c r="NZ268" s="33"/>
      <c r="OA268" s="33"/>
      <c r="OB268" s="33"/>
      <c r="OC268" s="33"/>
      <c r="OD268" s="33"/>
      <c r="OE268" s="33"/>
      <c r="OF268" s="33"/>
      <c r="OG268" s="33"/>
      <c r="OH268" s="33"/>
      <c r="OI268" s="33"/>
      <c r="OJ268" s="33"/>
      <c r="OK268" s="33"/>
      <c r="OL268" s="33"/>
      <c r="OM268" s="33"/>
      <c r="ON268" s="33"/>
      <c r="OO268" s="33"/>
      <c r="OP268" s="33"/>
      <c r="OQ268" s="33"/>
      <c r="OR268" s="33"/>
      <c r="OS268" s="33"/>
      <c r="OT268" s="33"/>
      <c r="OU268" s="33"/>
      <c r="OV268" s="33"/>
      <c r="OW268" s="33"/>
      <c r="OX268" s="33"/>
      <c r="OY268" s="33"/>
      <c r="OZ268" s="33"/>
      <c r="PA268" s="33"/>
      <c r="PB268" s="33"/>
      <c r="PC268" s="33"/>
      <c r="PD268" s="33"/>
      <c r="PE268" s="33"/>
      <c r="PF268" s="33"/>
      <c r="PG268" s="33"/>
      <c r="PH268" s="33"/>
      <c r="PI268" s="33"/>
      <c r="PJ268" s="33"/>
      <c r="PK268" s="33"/>
      <c r="PL268" s="33"/>
      <c r="PM268" s="33"/>
      <c r="PN268" s="33"/>
      <c r="PO268" s="33"/>
      <c r="PP268" s="33"/>
      <c r="PQ268" s="33"/>
      <c r="PR268" s="33"/>
      <c r="PS268" s="33"/>
      <c r="PT268" s="33"/>
      <c r="PU268" s="33"/>
      <c r="PV268" s="33"/>
      <c r="PW268" s="33"/>
      <c r="PX268" s="33"/>
      <c r="PY268" s="33"/>
      <c r="PZ268" s="33"/>
      <c r="QA268" s="33"/>
      <c r="QB268" s="33"/>
      <c r="QC268" s="33"/>
      <c r="QD268" s="33"/>
      <c r="QE268" s="33"/>
      <c r="QF268" s="33"/>
      <c r="QG268" s="33"/>
      <c r="QH268" s="33"/>
      <c r="QI268" s="33"/>
      <c r="QJ268" s="33"/>
      <c r="QK268" s="33"/>
      <c r="QL268" s="33"/>
      <c r="QM268" s="33"/>
      <c r="QN268" s="33"/>
      <c r="QO268" s="33"/>
      <c r="QP268" s="33"/>
      <c r="QQ268" s="33"/>
      <c r="QR268" s="33"/>
      <c r="QS268" s="33"/>
      <c r="QT268" s="33"/>
      <c r="QU268" s="33"/>
      <c r="QV268" s="33"/>
      <c r="QW268" s="33"/>
      <c r="QX268" s="33"/>
      <c r="QY268" s="33"/>
      <c r="QZ268" s="33"/>
      <c r="RA268" s="33"/>
      <c r="RB268" s="33"/>
      <c r="RC268" s="33"/>
      <c r="RD268" s="33"/>
      <c r="RE268" s="33"/>
      <c r="RF268" s="33"/>
      <c r="RG268" s="33"/>
      <c r="RH268" s="33"/>
      <c r="RI268" s="33"/>
      <c r="RJ268" s="33"/>
      <c r="RK268" s="33"/>
      <c r="RL268" s="33"/>
      <c r="RM268" s="33"/>
      <c r="RN268" s="33"/>
      <c r="RO268" s="33"/>
      <c r="RP268" s="33"/>
      <c r="RQ268" s="33"/>
      <c r="RR268" s="33"/>
      <c r="RS268" s="33"/>
      <c r="RT268" s="33"/>
      <c r="RU268" s="33"/>
      <c r="RV268" s="33"/>
      <c r="RW268" s="33"/>
      <c r="RX268" s="33"/>
      <c r="RY268" s="33"/>
      <c r="RZ268" s="33"/>
      <c r="SA268" s="33"/>
      <c r="SB268" s="33"/>
      <c r="SC268" s="33"/>
      <c r="SD268" s="33"/>
      <c r="SE268" s="33"/>
      <c r="SF268" s="33"/>
      <c r="SG268" s="33"/>
      <c r="SH268" s="33"/>
      <c r="SI268" s="33"/>
      <c r="SJ268" s="33"/>
      <c r="SK268" s="33"/>
      <c r="SL268" s="33"/>
      <c r="SM268" s="33"/>
      <c r="SN268" s="33"/>
      <c r="SO268" s="33"/>
      <c r="SP268" s="33"/>
      <c r="SQ268" s="33"/>
      <c r="SR268" s="33"/>
      <c r="SS268" s="33"/>
      <c r="ST268" s="33"/>
      <c r="SU268" s="33"/>
      <c r="SV268" s="33"/>
      <c r="SW268" s="33"/>
      <c r="SX268" s="33"/>
      <c r="SY268" s="33"/>
      <c r="SZ268" s="33"/>
      <c r="TA268" s="33"/>
      <c r="TB268" s="33"/>
      <c r="TC268" s="33"/>
      <c r="TD268" s="33"/>
      <c r="TE268" s="33"/>
      <c r="TF268" s="33"/>
      <c r="TG268" s="33"/>
    </row>
    <row r="269" spans="1:527" s="22" customFormat="1" ht="47.25" x14ac:dyDescent="0.25">
      <c r="A269" s="59" t="s">
        <v>0</v>
      </c>
      <c r="B269" s="92" t="str">
        <f>'дод 7'!A19</f>
        <v>0160</v>
      </c>
      <c r="C269" s="92" t="str">
        <f>'дод 7'!B19</f>
        <v>0111</v>
      </c>
      <c r="D269" s="36" t="s">
        <v>493</v>
      </c>
      <c r="E269" s="98">
        <f>F269+I269</f>
        <v>6537039</v>
      </c>
      <c r="F269" s="98">
        <f>6378200+8000+26619+111020+13200</f>
        <v>6537039</v>
      </c>
      <c r="G269" s="98">
        <f>5019800+91000-40300</f>
        <v>5070500</v>
      </c>
      <c r="H269" s="98">
        <f>75700+26619+13200+4920</f>
        <v>120439</v>
      </c>
      <c r="I269" s="98"/>
      <c r="J269" s="98">
        <f>L269+O269</f>
        <v>0</v>
      </c>
      <c r="K269" s="98">
        <f>8000-8000</f>
        <v>0</v>
      </c>
      <c r="L269" s="98"/>
      <c r="M269" s="98"/>
      <c r="N269" s="98"/>
      <c r="O269" s="98">
        <f>8000-8000</f>
        <v>0</v>
      </c>
      <c r="P269" s="98">
        <f>E269+J269</f>
        <v>6537039</v>
      </c>
      <c r="Q269" s="23"/>
      <c r="R269" s="32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</row>
    <row r="270" spans="1:527" s="27" customFormat="1" ht="52.5" customHeight="1" x14ac:dyDescent="0.25">
      <c r="A270" s="109" t="s">
        <v>28</v>
      </c>
      <c r="B270" s="111"/>
      <c r="C270" s="111"/>
      <c r="D270" s="106" t="s">
        <v>33</v>
      </c>
      <c r="E270" s="94">
        <f>E271</f>
        <v>3721421.1500000004</v>
      </c>
      <c r="F270" s="94">
        <f t="shared" ref="F270:J270" si="128">F271</f>
        <v>3721421.1500000004</v>
      </c>
      <c r="G270" s="94">
        <f t="shared" si="128"/>
        <v>2559400</v>
      </c>
      <c r="H270" s="94">
        <f t="shared" si="128"/>
        <v>0</v>
      </c>
      <c r="I270" s="94">
        <f t="shared" si="128"/>
        <v>0</v>
      </c>
      <c r="J270" s="94">
        <f t="shared" si="128"/>
        <v>285199104.5</v>
      </c>
      <c r="K270" s="94">
        <f t="shared" ref="K270" si="129">K271</f>
        <v>271753821.85000002</v>
      </c>
      <c r="L270" s="94">
        <f t="shared" ref="L270" si="130">L271</f>
        <v>1900000</v>
      </c>
      <c r="M270" s="94">
        <f t="shared" ref="M270" si="131">M271</f>
        <v>1332000</v>
      </c>
      <c r="N270" s="94">
        <f t="shared" ref="N270" si="132">N271</f>
        <v>71500</v>
      </c>
      <c r="O270" s="94">
        <f t="shared" ref="O270:P270" si="133">O271</f>
        <v>283299104.5</v>
      </c>
      <c r="P270" s="94">
        <f t="shared" si="133"/>
        <v>288920525.64999998</v>
      </c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  <c r="FK270" s="32"/>
      <c r="FL270" s="32"/>
      <c r="FM270" s="32"/>
      <c r="FN270" s="32"/>
      <c r="FO270" s="32"/>
      <c r="FP270" s="32"/>
      <c r="FQ270" s="32"/>
      <c r="FR270" s="32"/>
      <c r="FS270" s="32"/>
      <c r="FT270" s="32"/>
      <c r="FU270" s="32"/>
      <c r="FV270" s="32"/>
      <c r="FW270" s="32"/>
      <c r="FX270" s="32"/>
      <c r="FY270" s="32"/>
      <c r="FZ270" s="32"/>
      <c r="GA270" s="32"/>
      <c r="GB270" s="32"/>
      <c r="GC270" s="32"/>
      <c r="GD270" s="32"/>
      <c r="GE270" s="32"/>
      <c r="GF270" s="32"/>
      <c r="GG270" s="32"/>
      <c r="GH270" s="32"/>
      <c r="GI270" s="32"/>
      <c r="GJ270" s="32"/>
      <c r="GK270" s="32"/>
      <c r="GL270" s="32"/>
      <c r="GM270" s="32"/>
      <c r="GN270" s="32"/>
      <c r="GO270" s="32"/>
      <c r="GP270" s="32"/>
      <c r="GQ270" s="32"/>
      <c r="GR270" s="32"/>
      <c r="GS270" s="32"/>
      <c r="GT270" s="32"/>
      <c r="GU270" s="32"/>
      <c r="GV270" s="32"/>
      <c r="GW270" s="32"/>
      <c r="GX270" s="32"/>
      <c r="GY270" s="32"/>
      <c r="GZ270" s="32"/>
      <c r="HA270" s="32"/>
      <c r="HB270" s="32"/>
      <c r="HC270" s="32"/>
      <c r="HD270" s="32"/>
      <c r="HE270" s="32"/>
      <c r="HF270" s="32"/>
      <c r="HG270" s="32"/>
      <c r="HH270" s="32"/>
      <c r="HI270" s="32"/>
      <c r="HJ270" s="32"/>
      <c r="HK270" s="32"/>
      <c r="HL270" s="32"/>
      <c r="HM270" s="32"/>
      <c r="HN270" s="32"/>
      <c r="HO270" s="32"/>
      <c r="HP270" s="32"/>
      <c r="HQ270" s="32"/>
      <c r="HR270" s="32"/>
      <c r="HS270" s="32"/>
      <c r="HT270" s="32"/>
      <c r="HU270" s="32"/>
      <c r="HV270" s="32"/>
      <c r="HW270" s="32"/>
      <c r="HX270" s="32"/>
      <c r="HY270" s="32"/>
      <c r="HZ270" s="32"/>
      <c r="IA270" s="32"/>
      <c r="IB270" s="32"/>
      <c r="IC270" s="32"/>
      <c r="ID270" s="32"/>
      <c r="IE270" s="32"/>
      <c r="IF270" s="32"/>
      <c r="IG270" s="32"/>
      <c r="IH270" s="32"/>
      <c r="II270" s="32"/>
      <c r="IJ270" s="32"/>
      <c r="IK270" s="32"/>
      <c r="IL270" s="32"/>
      <c r="IM270" s="32"/>
      <c r="IN270" s="32"/>
      <c r="IO270" s="32"/>
      <c r="IP270" s="32"/>
      <c r="IQ270" s="32"/>
      <c r="IR270" s="32"/>
      <c r="IS270" s="32"/>
      <c r="IT270" s="32"/>
      <c r="IU270" s="32"/>
      <c r="IV270" s="32"/>
      <c r="IW270" s="32"/>
      <c r="IX270" s="32"/>
      <c r="IY270" s="32"/>
      <c r="IZ270" s="32"/>
      <c r="JA270" s="32"/>
      <c r="JB270" s="32"/>
      <c r="JC270" s="32"/>
      <c r="JD270" s="32"/>
      <c r="JE270" s="32"/>
      <c r="JF270" s="32"/>
      <c r="JG270" s="32"/>
      <c r="JH270" s="32"/>
      <c r="JI270" s="32"/>
      <c r="JJ270" s="32"/>
      <c r="JK270" s="32"/>
      <c r="JL270" s="32"/>
      <c r="JM270" s="32"/>
      <c r="JN270" s="32"/>
      <c r="JO270" s="32"/>
      <c r="JP270" s="32"/>
      <c r="JQ270" s="32"/>
      <c r="JR270" s="32"/>
      <c r="JS270" s="32"/>
      <c r="JT270" s="32"/>
      <c r="JU270" s="32"/>
      <c r="JV270" s="32"/>
      <c r="JW270" s="32"/>
      <c r="JX270" s="32"/>
      <c r="JY270" s="32"/>
      <c r="JZ270" s="32"/>
      <c r="KA270" s="32"/>
      <c r="KB270" s="32"/>
      <c r="KC270" s="32"/>
      <c r="KD270" s="32"/>
      <c r="KE270" s="32"/>
      <c r="KF270" s="32"/>
      <c r="KG270" s="32"/>
      <c r="KH270" s="32"/>
      <c r="KI270" s="32"/>
      <c r="KJ270" s="32"/>
      <c r="KK270" s="32"/>
      <c r="KL270" s="32"/>
      <c r="KM270" s="32"/>
      <c r="KN270" s="32"/>
      <c r="KO270" s="32"/>
      <c r="KP270" s="32"/>
      <c r="KQ270" s="32"/>
      <c r="KR270" s="32"/>
      <c r="KS270" s="32"/>
      <c r="KT270" s="32"/>
      <c r="KU270" s="32"/>
      <c r="KV270" s="32"/>
      <c r="KW270" s="32"/>
      <c r="KX270" s="32"/>
      <c r="KY270" s="32"/>
      <c r="KZ270" s="32"/>
      <c r="LA270" s="32"/>
      <c r="LB270" s="32"/>
      <c r="LC270" s="32"/>
      <c r="LD270" s="32"/>
      <c r="LE270" s="32"/>
      <c r="LF270" s="32"/>
      <c r="LG270" s="32"/>
      <c r="LH270" s="32"/>
      <c r="LI270" s="32"/>
      <c r="LJ270" s="32"/>
      <c r="LK270" s="32"/>
      <c r="LL270" s="32"/>
      <c r="LM270" s="32"/>
      <c r="LN270" s="32"/>
      <c r="LO270" s="32"/>
      <c r="LP270" s="32"/>
      <c r="LQ270" s="32"/>
      <c r="LR270" s="32"/>
      <c r="LS270" s="32"/>
      <c r="LT270" s="32"/>
      <c r="LU270" s="32"/>
      <c r="LV270" s="32"/>
      <c r="LW270" s="32"/>
      <c r="LX270" s="32"/>
      <c r="LY270" s="32"/>
      <c r="LZ270" s="32"/>
      <c r="MA270" s="32"/>
      <c r="MB270" s="32"/>
      <c r="MC270" s="32"/>
      <c r="MD270" s="32"/>
      <c r="ME270" s="32"/>
      <c r="MF270" s="32"/>
      <c r="MG270" s="32"/>
      <c r="MH270" s="32"/>
      <c r="MI270" s="32"/>
      <c r="MJ270" s="32"/>
      <c r="MK270" s="32"/>
      <c r="ML270" s="32"/>
      <c r="MM270" s="32"/>
      <c r="MN270" s="32"/>
      <c r="MO270" s="32"/>
      <c r="MP270" s="32"/>
      <c r="MQ270" s="32"/>
      <c r="MR270" s="32"/>
      <c r="MS270" s="32"/>
      <c r="MT270" s="32"/>
      <c r="MU270" s="32"/>
      <c r="MV270" s="32"/>
      <c r="MW270" s="32"/>
      <c r="MX270" s="32"/>
      <c r="MY270" s="32"/>
      <c r="MZ270" s="32"/>
      <c r="NA270" s="32"/>
      <c r="NB270" s="32"/>
      <c r="NC270" s="32"/>
      <c r="ND270" s="32"/>
      <c r="NE270" s="32"/>
      <c r="NF270" s="32"/>
      <c r="NG270" s="32"/>
      <c r="NH270" s="32"/>
      <c r="NI270" s="32"/>
      <c r="NJ270" s="32"/>
      <c r="NK270" s="32"/>
      <c r="NL270" s="32"/>
      <c r="NM270" s="32"/>
      <c r="NN270" s="32"/>
      <c r="NO270" s="32"/>
      <c r="NP270" s="32"/>
      <c r="NQ270" s="32"/>
      <c r="NR270" s="32"/>
      <c r="NS270" s="32"/>
      <c r="NT270" s="32"/>
      <c r="NU270" s="32"/>
      <c r="NV270" s="32"/>
      <c r="NW270" s="32"/>
      <c r="NX270" s="32"/>
      <c r="NY270" s="32"/>
      <c r="NZ270" s="32"/>
      <c r="OA270" s="32"/>
      <c r="OB270" s="32"/>
      <c r="OC270" s="32"/>
      <c r="OD270" s="32"/>
      <c r="OE270" s="32"/>
      <c r="OF270" s="32"/>
      <c r="OG270" s="32"/>
      <c r="OH270" s="32"/>
      <c r="OI270" s="32"/>
      <c r="OJ270" s="32"/>
      <c r="OK270" s="32"/>
      <c r="OL270" s="32"/>
      <c r="OM270" s="32"/>
      <c r="ON270" s="32"/>
      <c r="OO270" s="32"/>
      <c r="OP270" s="32"/>
      <c r="OQ270" s="32"/>
      <c r="OR270" s="32"/>
      <c r="OS270" s="32"/>
      <c r="OT270" s="32"/>
      <c r="OU270" s="32"/>
      <c r="OV270" s="32"/>
      <c r="OW270" s="32"/>
      <c r="OX270" s="32"/>
      <c r="OY270" s="32"/>
      <c r="OZ270" s="32"/>
      <c r="PA270" s="32"/>
      <c r="PB270" s="32"/>
      <c r="PC270" s="32"/>
      <c r="PD270" s="32"/>
      <c r="PE270" s="32"/>
      <c r="PF270" s="32"/>
      <c r="PG270" s="32"/>
      <c r="PH270" s="32"/>
      <c r="PI270" s="32"/>
      <c r="PJ270" s="32"/>
      <c r="PK270" s="32"/>
      <c r="PL270" s="32"/>
      <c r="PM270" s="32"/>
      <c r="PN270" s="32"/>
      <c r="PO270" s="32"/>
      <c r="PP270" s="32"/>
      <c r="PQ270" s="32"/>
      <c r="PR270" s="32"/>
      <c r="PS270" s="32"/>
      <c r="PT270" s="32"/>
      <c r="PU270" s="32"/>
      <c r="PV270" s="32"/>
      <c r="PW270" s="32"/>
      <c r="PX270" s="32"/>
      <c r="PY270" s="32"/>
      <c r="PZ270" s="32"/>
      <c r="QA270" s="32"/>
      <c r="QB270" s="32"/>
      <c r="QC270" s="32"/>
      <c r="QD270" s="32"/>
      <c r="QE270" s="32"/>
      <c r="QF270" s="32"/>
      <c r="QG270" s="32"/>
      <c r="QH270" s="32"/>
      <c r="QI270" s="32"/>
      <c r="QJ270" s="32"/>
      <c r="QK270" s="32"/>
      <c r="QL270" s="32"/>
      <c r="QM270" s="32"/>
      <c r="QN270" s="32"/>
      <c r="QO270" s="32"/>
      <c r="QP270" s="32"/>
      <c r="QQ270" s="32"/>
      <c r="QR270" s="32"/>
      <c r="QS270" s="32"/>
      <c r="QT270" s="32"/>
      <c r="QU270" s="32"/>
      <c r="QV270" s="32"/>
      <c r="QW270" s="32"/>
      <c r="QX270" s="32"/>
      <c r="QY270" s="32"/>
      <c r="QZ270" s="32"/>
      <c r="RA270" s="32"/>
      <c r="RB270" s="32"/>
      <c r="RC270" s="32"/>
      <c r="RD270" s="32"/>
      <c r="RE270" s="32"/>
      <c r="RF270" s="32"/>
      <c r="RG270" s="32"/>
      <c r="RH270" s="32"/>
      <c r="RI270" s="32"/>
      <c r="RJ270" s="32"/>
      <c r="RK270" s="32"/>
      <c r="RL270" s="32"/>
      <c r="RM270" s="32"/>
      <c r="RN270" s="32"/>
      <c r="RO270" s="32"/>
      <c r="RP270" s="32"/>
      <c r="RQ270" s="32"/>
      <c r="RR270" s="32"/>
      <c r="RS270" s="32"/>
      <c r="RT270" s="32"/>
      <c r="RU270" s="32"/>
      <c r="RV270" s="32"/>
      <c r="RW270" s="32"/>
      <c r="RX270" s="32"/>
      <c r="RY270" s="32"/>
      <c r="RZ270" s="32"/>
      <c r="SA270" s="32"/>
      <c r="SB270" s="32"/>
      <c r="SC270" s="32"/>
      <c r="SD270" s="32"/>
      <c r="SE270" s="32"/>
      <c r="SF270" s="32"/>
      <c r="SG270" s="32"/>
      <c r="SH270" s="32"/>
      <c r="SI270" s="32"/>
      <c r="SJ270" s="32"/>
      <c r="SK270" s="32"/>
      <c r="SL270" s="32"/>
      <c r="SM270" s="32"/>
      <c r="SN270" s="32"/>
      <c r="SO270" s="32"/>
      <c r="SP270" s="32"/>
      <c r="SQ270" s="32"/>
      <c r="SR270" s="32"/>
      <c r="SS270" s="32"/>
      <c r="ST270" s="32"/>
      <c r="SU270" s="32"/>
      <c r="SV270" s="32"/>
      <c r="SW270" s="32"/>
      <c r="SX270" s="32"/>
      <c r="SY270" s="32"/>
      <c r="SZ270" s="32"/>
      <c r="TA270" s="32"/>
      <c r="TB270" s="32"/>
      <c r="TC270" s="32"/>
      <c r="TD270" s="32"/>
      <c r="TE270" s="32"/>
      <c r="TF270" s="32"/>
      <c r="TG270" s="32"/>
    </row>
    <row r="271" spans="1:527" s="34" customFormat="1" ht="47.25" x14ac:dyDescent="0.25">
      <c r="A271" s="95" t="s">
        <v>29</v>
      </c>
      <c r="B271" s="108"/>
      <c r="C271" s="108"/>
      <c r="D271" s="76" t="s">
        <v>420</v>
      </c>
      <c r="E271" s="97">
        <f t="shared" ref="E271:P271" si="134">SUM(E274+E275+E276+E277+E278+E279+E280+E282+E283+E284+E285+E287+E288+E281+E290+E291)</f>
        <v>3721421.1500000004</v>
      </c>
      <c r="F271" s="97">
        <f t="shared" si="134"/>
        <v>3721421.1500000004</v>
      </c>
      <c r="G271" s="97">
        <f t="shared" si="134"/>
        <v>2559400</v>
      </c>
      <c r="H271" s="97">
        <f t="shared" si="134"/>
        <v>0</v>
      </c>
      <c r="I271" s="97">
        <f t="shared" si="134"/>
        <v>0</v>
      </c>
      <c r="J271" s="97">
        <f t="shared" si="134"/>
        <v>285199104.5</v>
      </c>
      <c r="K271" s="97">
        <f t="shared" si="134"/>
        <v>271753821.85000002</v>
      </c>
      <c r="L271" s="97">
        <f t="shared" si="134"/>
        <v>1900000</v>
      </c>
      <c r="M271" s="97">
        <f t="shared" si="134"/>
        <v>1332000</v>
      </c>
      <c r="N271" s="97">
        <f t="shared" si="134"/>
        <v>71500</v>
      </c>
      <c r="O271" s="97">
        <f t="shared" si="134"/>
        <v>283299104.5</v>
      </c>
      <c r="P271" s="97">
        <f t="shared" si="134"/>
        <v>288920525.64999998</v>
      </c>
      <c r="Q271" s="33"/>
      <c r="R271" s="32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  <c r="GE271" s="33"/>
      <c r="GF271" s="33"/>
      <c r="GG271" s="33"/>
      <c r="GH271" s="33"/>
      <c r="GI271" s="33"/>
      <c r="GJ271" s="33"/>
      <c r="GK271" s="33"/>
      <c r="GL271" s="33"/>
      <c r="GM271" s="33"/>
      <c r="GN271" s="33"/>
      <c r="GO271" s="33"/>
      <c r="GP271" s="33"/>
      <c r="GQ271" s="33"/>
      <c r="GR271" s="33"/>
      <c r="GS271" s="33"/>
      <c r="GT271" s="33"/>
      <c r="GU271" s="33"/>
      <c r="GV271" s="33"/>
      <c r="GW271" s="33"/>
      <c r="GX271" s="33"/>
      <c r="GY271" s="33"/>
      <c r="GZ271" s="33"/>
      <c r="HA271" s="33"/>
      <c r="HB271" s="33"/>
      <c r="HC271" s="33"/>
      <c r="HD271" s="33"/>
      <c r="HE271" s="33"/>
      <c r="HF271" s="33"/>
      <c r="HG271" s="33"/>
      <c r="HH271" s="33"/>
      <c r="HI271" s="33"/>
      <c r="HJ271" s="33"/>
      <c r="HK271" s="33"/>
      <c r="HL271" s="33"/>
      <c r="HM271" s="33"/>
      <c r="HN271" s="33"/>
      <c r="HO271" s="33"/>
      <c r="HP271" s="33"/>
      <c r="HQ271" s="33"/>
      <c r="HR271" s="33"/>
      <c r="HS271" s="33"/>
      <c r="HT271" s="33"/>
      <c r="HU271" s="33"/>
      <c r="HV271" s="33"/>
      <c r="HW271" s="33"/>
      <c r="HX271" s="33"/>
      <c r="HY271" s="33"/>
      <c r="HZ271" s="33"/>
      <c r="IA271" s="33"/>
      <c r="IB271" s="33"/>
      <c r="IC271" s="33"/>
      <c r="ID271" s="33"/>
      <c r="IE271" s="33"/>
      <c r="IF271" s="33"/>
      <c r="IG271" s="33"/>
      <c r="IH271" s="33"/>
      <c r="II271" s="33"/>
      <c r="IJ271" s="33"/>
      <c r="IK271" s="33"/>
      <c r="IL271" s="33"/>
      <c r="IM271" s="33"/>
      <c r="IN271" s="33"/>
      <c r="IO271" s="33"/>
      <c r="IP271" s="33"/>
      <c r="IQ271" s="33"/>
      <c r="IR271" s="33"/>
      <c r="IS271" s="33"/>
      <c r="IT271" s="33"/>
      <c r="IU271" s="33"/>
      <c r="IV271" s="33"/>
      <c r="IW271" s="33"/>
      <c r="IX271" s="33"/>
      <c r="IY271" s="33"/>
      <c r="IZ271" s="33"/>
      <c r="JA271" s="33"/>
      <c r="JB271" s="33"/>
      <c r="JC271" s="33"/>
      <c r="JD271" s="33"/>
      <c r="JE271" s="33"/>
      <c r="JF271" s="33"/>
      <c r="JG271" s="33"/>
      <c r="JH271" s="33"/>
      <c r="JI271" s="33"/>
      <c r="JJ271" s="33"/>
      <c r="JK271" s="33"/>
      <c r="JL271" s="33"/>
      <c r="JM271" s="33"/>
      <c r="JN271" s="33"/>
      <c r="JO271" s="33"/>
      <c r="JP271" s="33"/>
      <c r="JQ271" s="33"/>
      <c r="JR271" s="33"/>
      <c r="JS271" s="33"/>
      <c r="JT271" s="33"/>
      <c r="JU271" s="33"/>
      <c r="JV271" s="33"/>
      <c r="JW271" s="33"/>
      <c r="JX271" s="33"/>
      <c r="JY271" s="33"/>
      <c r="JZ271" s="33"/>
      <c r="KA271" s="33"/>
      <c r="KB271" s="33"/>
      <c r="KC271" s="33"/>
      <c r="KD271" s="33"/>
      <c r="KE271" s="33"/>
      <c r="KF271" s="33"/>
      <c r="KG271" s="33"/>
      <c r="KH271" s="33"/>
      <c r="KI271" s="33"/>
      <c r="KJ271" s="33"/>
      <c r="KK271" s="33"/>
      <c r="KL271" s="33"/>
      <c r="KM271" s="33"/>
      <c r="KN271" s="33"/>
      <c r="KO271" s="33"/>
      <c r="KP271" s="33"/>
      <c r="KQ271" s="33"/>
      <c r="KR271" s="33"/>
      <c r="KS271" s="33"/>
      <c r="KT271" s="33"/>
      <c r="KU271" s="33"/>
      <c r="KV271" s="33"/>
      <c r="KW271" s="33"/>
      <c r="KX271" s="33"/>
      <c r="KY271" s="33"/>
      <c r="KZ271" s="33"/>
      <c r="LA271" s="33"/>
      <c r="LB271" s="33"/>
      <c r="LC271" s="33"/>
      <c r="LD271" s="33"/>
      <c r="LE271" s="33"/>
      <c r="LF271" s="33"/>
      <c r="LG271" s="33"/>
      <c r="LH271" s="33"/>
      <c r="LI271" s="33"/>
      <c r="LJ271" s="33"/>
      <c r="LK271" s="33"/>
      <c r="LL271" s="33"/>
      <c r="LM271" s="33"/>
      <c r="LN271" s="33"/>
      <c r="LO271" s="33"/>
      <c r="LP271" s="33"/>
      <c r="LQ271" s="33"/>
      <c r="LR271" s="33"/>
      <c r="LS271" s="33"/>
      <c r="LT271" s="33"/>
      <c r="LU271" s="33"/>
      <c r="LV271" s="33"/>
      <c r="LW271" s="33"/>
      <c r="LX271" s="33"/>
      <c r="LY271" s="33"/>
      <c r="LZ271" s="33"/>
      <c r="MA271" s="33"/>
      <c r="MB271" s="33"/>
      <c r="MC271" s="33"/>
      <c r="MD271" s="33"/>
      <c r="ME271" s="33"/>
      <c r="MF271" s="33"/>
      <c r="MG271" s="33"/>
      <c r="MH271" s="33"/>
      <c r="MI271" s="33"/>
      <c r="MJ271" s="33"/>
      <c r="MK271" s="33"/>
      <c r="ML271" s="33"/>
      <c r="MM271" s="33"/>
      <c r="MN271" s="33"/>
      <c r="MO271" s="33"/>
      <c r="MP271" s="33"/>
      <c r="MQ271" s="33"/>
      <c r="MR271" s="33"/>
      <c r="MS271" s="33"/>
      <c r="MT271" s="33"/>
      <c r="MU271" s="33"/>
      <c r="MV271" s="33"/>
      <c r="MW271" s="33"/>
      <c r="MX271" s="33"/>
      <c r="MY271" s="33"/>
      <c r="MZ271" s="33"/>
      <c r="NA271" s="33"/>
      <c r="NB271" s="33"/>
      <c r="NC271" s="33"/>
      <c r="ND271" s="33"/>
      <c r="NE271" s="33"/>
      <c r="NF271" s="33"/>
      <c r="NG271" s="33"/>
      <c r="NH271" s="33"/>
      <c r="NI271" s="33"/>
      <c r="NJ271" s="33"/>
      <c r="NK271" s="33"/>
      <c r="NL271" s="33"/>
      <c r="NM271" s="33"/>
      <c r="NN271" s="33"/>
      <c r="NO271" s="33"/>
      <c r="NP271" s="33"/>
      <c r="NQ271" s="33"/>
      <c r="NR271" s="33"/>
      <c r="NS271" s="33"/>
      <c r="NT271" s="33"/>
      <c r="NU271" s="33"/>
      <c r="NV271" s="33"/>
      <c r="NW271" s="33"/>
      <c r="NX271" s="33"/>
      <c r="NY271" s="33"/>
      <c r="NZ271" s="33"/>
      <c r="OA271" s="33"/>
      <c r="OB271" s="33"/>
      <c r="OC271" s="33"/>
      <c r="OD271" s="33"/>
      <c r="OE271" s="33"/>
      <c r="OF271" s="33"/>
      <c r="OG271" s="33"/>
      <c r="OH271" s="33"/>
      <c r="OI271" s="33"/>
      <c r="OJ271" s="33"/>
      <c r="OK271" s="33"/>
      <c r="OL271" s="33"/>
      <c r="OM271" s="33"/>
      <c r="ON271" s="33"/>
      <c r="OO271" s="33"/>
      <c r="OP271" s="33"/>
      <c r="OQ271" s="33"/>
      <c r="OR271" s="33"/>
      <c r="OS271" s="33"/>
      <c r="OT271" s="33"/>
      <c r="OU271" s="33"/>
      <c r="OV271" s="33"/>
      <c r="OW271" s="33"/>
      <c r="OX271" s="33"/>
      <c r="OY271" s="33"/>
      <c r="OZ271" s="33"/>
      <c r="PA271" s="33"/>
      <c r="PB271" s="33"/>
      <c r="PC271" s="33"/>
      <c r="PD271" s="33"/>
      <c r="PE271" s="33"/>
      <c r="PF271" s="33"/>
      <c r="PG271" s="33"/>
      <c r="PH271" s="33"/>
      <c r="PI271" s="33"/>
      <c r="PJ271" s="33"/>
      <c r="PK271" s="33"/>
      <c r="PL271" s="33"/>
      <c r="PM271" s="33"/>
      <c r="PN271" s="33"/>
      <c r="PO271" s="33"/>
      <c r="PP271" s="33"/>
      <c r="PQ271" s="33"/>
      <c r="PR271" s="33"/>
      <c r="PS271" s="33"/>
      <c r="PT271" s="33"/>
      <c r="PU271" s="33"/>
      <c r="PV271" s="33"/>
      <c r="PW271" s="33"/>
      <c r="PX271" s="33"/>
      <c r="PY271" s="33"/>
      <c r="PZ271" s="33"/>
      <c r="QA271" s="33"/>
      <c r="QB271" s="33"/>
      <c r="QC271" s="33"/>
      <c r="QD271" s="33"/>
      <c r="QE271" s="33"/>
      <c r="QF271" s="33"/>
      <c r="QG271" s="33"/>
      <c r="QH271" s="33"/>
      <c r="QI271" s="33"/>
      <c r="QJ271" s="33"/>
      <c r="QK271" s="33"/>
      <c r="QL271" s="33"/>
      <c r="QM271" s="33"/>
      <c r="QN271" s="33"/>
      <c r="QO271" s="33"/>
      <c r="QP271" s="33"/>
      <c r="QQ271" s="33"/>
      <c r="QR271" s="33"/>
      <c r="QS271" s="33"/>
      <c r="QT271" s="33"/>
      <c r="QU271" s="33"/>
      <c r="QV271" s="33"/>
      <c r="QW271" s="33"/>
      <c r="QX271" s="33"/>
      <c r="QY271" s="33"/>
      <c r="QZ271" s="33"/>
      <c r="RA271" s="33"/>
      <c r="RB271" s="33"/>
      <c r="RC271" s="33"/>
      <c r="RD271" s="33"/>
      <c r="RE271" s="33"/>
      <c r="RF271" s="33"/>
      <c r="RG271" s="33"/>
      <c r="RH271" s="33"/>
      <c r="RI271" s="33"/>
      <c r="RJ271" s="33"/>
      <c r="RK271" s="33"/>
      <c r="RL271" s="33"/>
      <c r="RM271" s="33"/>
      <c r="RN271" s="33"/>
      <c r="RO271" s="33"/>
      <c r="RP271" s="33"/>
      <c r="RQ271" s="33"/>
      <c r="RR271" s="33"/>
      <c r="RS271" s="33"/>
      <c r="RT271" s="33"/>
      <c r="RU271" s="33"/>
      <c r="RV271" s="33"/>
      <c r="RW271" s="33"/>
      <c r="RX271" s="33"/>
      <c r="RY271" s="33"/>
      <c r="RZ271" s="33"/>
      <c r="SA271" s="33"/>
      <c r="SB271" s="33"/>
      <c r="SC271" s="33"/>
      <c r="SD271" s="33"/>
      <c r="SE271" s="33"/>
      <c r="SF271" s="33"/>
      <c r="SG271" s="33"/>
      <c r="SH271" s="33"/>
      <c r="SI271" s="33"/>
      <c r="SJ271" s="33"/>
      <c r="SK271" s="33"/>
      <c r="SL271" s="33"/>
      <c r="SM271" s="33"/>
      <c r="SN271" s="33"/>
      <c r="SO271" s="33"/>
      <c r="SP271" s="33"/>
      <c r="SQ271" s="33"/>
      <c r="SR271" s="33"/>
      <c r="SS271" s="33"/>
      <c r="ST271" s="33"/>
      <c r="SU271" s="33"/>
      <c r="SV271" s="33"/>
      <c r="SW271" s="33"/>
      <c r="SX271" s="33"/>
      <c r="SY271" s="33"/>
      <c r="SZ271" s="33"/>
      <c r="TA271" s="33"/>
      <c r="TB271" s="33"/>
      <c r="TC271" s="33"/>
      <c r="TD271" s="33"/>
      <c r="TE271" s="33"/>
      <c r="TF271" s="33"/>
      <c r="TG271" s="33"/>
    </row>
    <row r="272" spans="1:527" s="34" customFormat="1" ht="54" customHeight="1" x14ac:dyDescent="0.25">
      <c r="A272" s="95"/>
      <c r="B272" s="108"/>
      <c r="C272" s="108"/>
      <c r="D272" s="76" t="s">
        <v>388</v>
      </c>
      <c r="E272" s="97">
        <f>E286</f>
        <v>0</v>
      </c>
      <c r="F272" s="97">
        <f>F286</f>
        <v>0</v>
      </c>
      <c r="G272" s="97">
        <f t="shared" ref="G272:O272" si="135">G286</f>
        <v>0</v>
      </c>
      <c r="H272" s="97">
        <f t="shared" si="135"/>
        <v>0</v>
      </c>
      <c r="I272" s="97">
        <f t="shared" si="135"/>
        <v>0</v>
      </c>
      <c r="J272" s="97">
        <f>J286</f>
        <v>1200000</v>
      </c>
      <c r="K272" s="97">
        <f t="shared" si="135"/>
        <v>1200000</v>
      </c>
      <c r="L272" s="97">
        <f t="shared" si="135"/>
        <v>0</v>
      </c>
      <c r="M272" s="97">
        <f t="shared" si="135"/>
        <v>0</v>
      </c>
      <c r="N272" s="97">
        <f t="shared" si="135"/>
        <v>0</v>
      </c>
      <c r="O272" s="97">
        <f t="shared" si="135"/>
        <v>1200000</v>
      </c>
      <c r="P272" s="97">
        <f>P286</f>
        <v>1200000</v>
      </c>
      <c r="Q272" s="33"/>
      <c r="R272" s="32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  <c r="QA272" s="33"/>
      <c r="QB272" s="33"/>
      <c r="QC272" s="33"/>
      <c r="QD272" s="33"/>
      <c r="QE272" s="33"/>
      <c r="QF272" s="33"/>
      <c r="QG272" s="33"/>
      <c r="QH272" s="33"/>
      <c r="QI272" s="33"/>
      <c r="QJ272" s="33"/>
      <c r="QK272" s="33"/>
      <c r="QL272" s="33"/>
      <c r="QM272" s="33"/>
      <c r="QN272" s="33"/>
      <c r="QO272" s="33"/>
      <c r="QP272" s="33"/>
      <c r="QQ272" s="33"/>
      <c r="QR272" s="33"/>
      <c r="QS272" s="33"/>
      <c r="QT272" s="33"/>
      <c r="QU272" s="33"/>
      <c r="QV272" s="33"/>
      <c r="QW272" s="33"/>
      <c r="QX272" s="33"/>
      <c r="QY272" s="33"/>
      <c r="QZ272" s="33"/>
      <c r="RA272" s="33"/>
      <c r="RB272" s="33"/>
      <c r="RC272" s="33"/>
      <c r="RD272" s="33"/>
      <c r="RE272" s="33"/>
      <c r="RF272" s="33"/>
      <c r="RG272" s="33"/>
      <c r="RH272" s="33"/>
      <c r="RI272" s="33"/>
      <c r="RJ272" s="33"/>
      <c r="RK272" s="33"/>
      <c r="RL272" s="33"/>
      <c r="RM272" s="33"/>
      <c r="RN272" s="33"/>
      <c r="RO272" s="33"/>
      <c r="RP272" s="33"/>
      <c r="RQ272" s="33"/>
      <c r="RR272" s="33"/>
      <c r="RS272" s="33"/>
      <c r="RT272" s="33"/>
      <c r="RU272" s="33"/>
      <c r="RV272" s="33"/>
      <c r="RW272" s="33"/>
      <c r="RX272" s="33"/>
      <c r="RY272" s="33"/>
      <c r="RZ272" s="33"/>
      <c r="SA272" s="33"/>
      <c r="SB272" s="33"/>
      <c r="SC272" s="33"/>
      <c r="SD272" s="33"/>
      <c r="SE272" s="33"/>
      <c r="SF272" s="33"/>
      <c r="SG272" s="33"/>
      <c r="SH272" s="33"/>
      <c r="SI272" s="33"/>
      <c r="SJ272" s="33"/>
      <c r="SK272" s="33"/>
      <c r="SL272" s="33"/>
      <c r="SM272" s="33"/>
      <c r="SN272" s="33"/>
      <c r="SO272" s="33"/>
      <c r="SP272" s="33"/>
      <c r="SQ272" s="33"/>
      <c r="SR272" s="33"/>
      <c r="SS272" s="33"/>
      <c r="ST272" s="33"/>
      <c r="SU272" s="33"/>
      <c r="SV272" s="33"/>
      <c r="SW272" s="33"/>
      <c r="SX272" s="33"/>
      <c r="SY272" s="33"/>
      <c r="SZ272" s="33"/>
      <c r="TA272" s="33"/>
      <c r="TB272" s="33"/>
      <c r="TC272" s="33"/>
      <c r="TD272" s="33"/>
      <c r="TE272" s="33"/>
      <c r="TF272" s="33"/>
      <c r="TG272" s="33"/>
    </row>
    <row r="273" spans="1:527" s="34" customFormat="1" ht="17.25" customHeight="1" x14ac:dyDescent="0.25">
      <c r="A273" s="95"/>
      <c r="B273" s="108"/>
      <c r="C273" s="108"/>
      <c r="D273" s="82" t="s">
        <v>419</v>
      </c>
      <c r="E273" s="97">
        <f>E289</f>
        <v>0</v>
      </c>
      <c r="F273" s="97">
        <f t="shared" ref="F273:P273" si="136">F289</f>
        <v>0</v>
      </c>
      <c r="G273" s="97">
        <f t="shared" si="136"/>
        <v>0</v>
      </c>
      <c r="H273" s="97">
        <f t="shared" si="136"/>
        <v>0</v>
      </c>
      <c r="I273" s="97">
        <f t="shared" si="136"/>
        <v>0</v>
      </c>
      <c r="J273" s="97">
        <f t="shared" si="136"/>
        <v>96859595</v>
      </c>
      <c r="K273" s="97">
        <f t="shared" si="136"/>
        <v>96859595</v>
      </c>
      <c r="L273" s="97">
        <f t="shared" si="136"/>
        <v>0</v>
      </c>
      <c r="M273" s="97">
        <f t="shared" si="136"/>
        <v>0</v>
      </c>
      <c r="N273" s="97">
        <f t="shared" si="136"/>
        <v>0</v>
      </c>
      <c r="O273" s="97">
        <f t="shared" si="136"/>
        <v>96859595</v>
      </c>
      <c r="P273" s="97">
        <f t="shared" si="136"/>
        <v>96859595</v>
      </c>
      <c r="Q273" s="33"/>
      <c r="R273" s="32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  <c r="IU273" s="33"/>
      <c r="IV273" s="33"/>
      <c r="IW273" s="33"/>
      <c r="IX273" s="33"/>
      <c r="IY273" s="33"/>
      <c r="IZ273" s="33"/>
      <c r="JA273" s="33"/>
      <c r="JB273" s="33"/>
      <c r="JC273" s="33"/>
      <c r="JD273" s="33"/>
      <c r="JE273" s="33"/>
      <c r="JF273" s="33"/>
      <c r="JG273" s="33"/>
      <c r="JH273" s="33"/>
      <c r="JI273" s="33"/>
      <c r="JJ273" s="33"/>
      <c r="JK273" s="33"/>
      <c r="JL273" s="33"/>
      <c r="JM273" s="33"/>
      <c r="JN273" s="33"/>
      <c r="JO273" s="33"/>
      <c r="JP273" s="33"/>
      <c r="JQ273" s="33"/>
      <c r="JR273" s="33"/>
      <c r="JS273" s="33"/>
      <c r="JT273" s="33"/>
      <c r="JU273" s="33"/>
      <c r="JV273" s="33"/>
      <c r="JW273" s="33"/>
      <c r="JX273" s="33"/>
      <c r="JY273" s="33"/>
      <c r="JZ273" s="33"/>
      <c r="KA273" s="33"/>
      <c r="KB273" s="33"/>
      <c r="KC273" s="33"/>
      <c r="KD273" s="33"/>
      <c r="KE273" s="33"/>
      <c r="KF273" s="33"/>
      <c r="KG273" s="33"/>
      <c r="KH273" s="33"/>
      <c r="KI273" s="33"/>
      <c r="KJ273" s="33"/>
      <c r="KK273" s="33"/>
      <c r="KL273" s="33"/>
      <c r="KM273" s="33"/>
      <c r="KN273" s="33"/>
      <c r="KO273" s="33"/>
      <c r="KP273" s="33"/>
      <c r="KQ273" s="33"/>
      <c r="KR273" s="33"/>
      <c r="KS273" s="33"/>
      <c r="KT273" s="33"/>
      <c r="KU273" s="33"/>
      <c r="KV273" s="33"/>
      <c r="KW273" s="33"/>
      <c r="KX273" s="33"/>
      <c r="KY273" s="33"/>
      <c r="KZ273" s="33"/>
      <c r="LA273" s="33"/>
      <c r="LB273" s="33"/>
      <c r="LC273" s="33"/>
      <c r="LD273" s="33"/>
      <c r="LE273" s="33"/>
      <c r="LF273" s="33"/>
      <c r="LG273" s="33"/>
      <c r="LH273" s="33"/>
      <c r="LI273" s="33"/>
      <c r="LJ273" s="33"/>
      <c r="LK273" s="33"/>
      <c r="LL273" s="33"/>
      <c r="LM273" s="33"/>
      <c r="LN273" s="33"/>
      <c r="LO273" s="33"/>
      <c r="LP273" s="33"/>
      <c r="LQ273" s="33"/>
      <c r="LR273" s="33"/>
      <c r="LS273" s="33"/>
      <c r="LT273" s="33"/>
      <c r="LU273" s="33"/>
      <c r="LV273" s="33"/>
      <c r="LW273" s="33"/>
      <c r="LX273" s="33"/>
      <c r="LY273" s="33"/>
      <c r="LZ273" s="33"/>
      <c r="MA273" s="33"/>
      <c r="MB273" s="33"/>
      <c r="MC273" s="33"/>
      <c r="MD273" s="33"/>
      <c r="ME273" s="33"/>
      <c r="MF273" s="33"/>
      <c r="MG273" s="33"/>
      <c r="MH273" s="33"/>
      <c r="MI273" s="33"/>
      <c r="MJ273" s="33"/>
      <c r="MK273" s="33"/>
      <c r="ML273" s="33"/>
      <c r="MM273" s="33"/>
      <c r="MN273" s="33"/>
      <c r="MO273" s="33"/>
      <c r="MP273" s="33"/>
      <c r="MQ273" s="33"/>
      <c r="MR273" s="33"/>
      <c r="MS273" s="33"/>
      <c r="MT273" s="33"/>
      <c r="MU273" s="33"/>
      <c r="MV273" s="33"/>
      <c r="MW273" s="33"/>
      <c r="MX273" s="33"/>
      <c r="MY273" s="33"/>
      <c r="MZ273" s="33"/>
      <c r="NA273" s="33"/>
      <c r="NB273" s="33"/>
      <c r="NC273" s="33"/>
      <c r="ND273" s="33"/>
      <c r="NE273" s="33"/>
      <c r="NF273" s="33"/>
      <c r="NG273" s="33"/>
      <c r="NH273" s="33"/>
      <c r="NI273" s="33"/>
      <c r="NJ273" s="33"/>
      <c r="NK273" s="33"/>
      <c r="NL273" s="33"/>
      <c r="NM273" s="33"/>
      <c r="NN273" s="33"/>
      <c r="NO273" s="33"/>
      <c r="NP273" s="33"/>
      <c r="NQ273" s="33"/>
      <c r="NR273" s="33"/>
      <c r="NS273" s="33"/>
      <c r="NT273" s="33"/>
      <c r="NU273" s="33"/>
      <c r="NV273" s="33"/>
      <c r="NW273" s="33"/>
      <c r="NX273" s="33"/>
      <c r="NY273" s="33"/>
      <c r="NZ273" s="33"/>
      <c r="OA273" s="33"/>
      <c r="OB273" s="33"/>
      <c r="OC273" s="33"/>
      <c r="OD273" s="33"/>
      <c r="OE273" s="33"/>
      <c r="OF273" s="33"/>
      <c r="OG273" s="33"/>
      <c r="OH273" s="33"/>
      <c r="OI273" s="33"/>
      <c r="OJ273" s="33"/>
      <c r="OK273" s="33"/>
      <c r="OL273" s="33"/>
      <c r="OM273" s="33"/>
      <c r="ON273" s="33"/>
      <c r="OO273" s="33"/>
      <c r="OP273" s="33"/>
      <c r="OQ273" s="33"/>
      <c r="OR273" s="33"/>
      <c r="OS273" s="33"/>
      <c r="OT273" s="33"/>
      <c r="OU273" s="33"/>
      <c r="OV273" s="33"/>
      <c r="OW273" s="33"/>
      <c r="OX273" s="33"/>
      <c r="OY273" s="33"/>
      <c r="OZ273" s="33"/>
      <c r="PA273" s="33"/>
      <c r="PB273" s="33"/>
      <c r="PC273" s="33"/>
      <c r="PD273" s="33"/>
      <c r="PE273" s="33"/>
      <c r="PF273" s="33"/>
      <c r="PG273" s="33"/>
      <c r="PH273" s="33"/>
      <c r="PI273" s="33"/>
      <c r="PJ273" s="33"/>
      <c r="PK273" s="33"/>
      <c r="PL273" s="33"/>
      <c r="PM273" s="33"/>
      <c r="PN273" s="33"/>
      <c r="PO273" s="33"/>
      <c r="PP273" s="33"/>
      <c r="PQ273" s="33"/>
      <c r="PR273" s="33"/>
      <c r="PS273" s="33"/>
      <c r="PT273" s="33"/>
      <c r="PU273" s="33"/>
      <c r="PV273" s="33"/>
      <c r="PW273" s="33"/>
      <c r="PX273" s="33"/>
      <c r="PY273" s="33"/>
      <c r="PZ273" s="33"/>
      <c r="QA273" s="33"/>
      <c r="QB273" s="33"/>
      <c r="QC273" s="33"/>
      <c r="QD273" s="33"/>
      <c r="QE273" s="33"/>
      <c r="QF273" s="33"/>
      <c r="QG273" s="33"/>
      <c r="QH273" s="33"/>
      <c r="QI273" s="33"/>
      <c r="QJ273" s="33"/>
      <c r="QK273" s="33"/>
      <c r="QL273" s="33"/>
      <c r="QM273" s="33"/>
      <c r="QN273" s="33"/>
      <c r="QO273" s="33"/>
      <c r="QP273" s="33"/>
      <c r="QQ273" s="33"/>
      <c r="QR273" s="33"/>
      <c r="QS273" s="33"/>
      <c r="QT273" s="33"/>
      <c r="QU273" s="33"/>
      <c r="QV273" s="33"/>
      <c r="QW273" s="33"/>
      <c r="QX273" s="33"/>
      <c r="QY273" s="33"/>
      <c r="QZ273" s="33"/>
      <c r="RA273" s="33"/>
      <c r="RB273" s="33"/>
      <c r="RC273" s="33"/>
      <c r="RD273" s="33"/>
      <c r="RE273" s="33"/>
      <c r="RF273" s="33"/>
      <c r="RG273" s="33"/>
      <c r="RH273" s="33"/>
      <c r="RI273" s="33"/>
      <c r="RJ273" s="33"/>
      <c r="RK273" s="33"/>
      <c r="RL273" s="33"/>
      <c r="RM273" s="33"/>
      <c r="RN273" s="33"/>
      <c r="RO273" s="33"/>
      <c r="RP273" s="33"/>
      <c r="RQ273" s="33"/>
      <c r="RR273" s="33"/>
      <c r="RS273" s="33"/>
      <c r="RT273" s="33"/>
      <c r="RU273" s="33"/>
      <c r="RV273" s="33"/>
      <c r="RW273" s="33"/>
      <c r="RX273" s="33"/>
      <c r="RY273" s="33"/>
      <c r="RZ273" s="33"/>
      <c r="SA273" s="33"/>
      <c r="SB273" s="33"/>
      <c r="SC273" s="33"/>
      <c r="SD273" s="33"/>
      <c r="SE273" s="33"/>
      <c r="SF273" s="33"/>
      <c r="SG273" s="33"/>
      <c r="SH273" s="33"/>
      <c r="SI273" s="33"/>
      <c r="SJ273" s="33"/>
      <c r="SK273" s="33"/>
      <c r="SL273" s="33"/>
      <c r="SM273" s="33"/>
      <c r="SN273" s="33"/>
      <c r="SO273" s="33"/>
      <c r="SP273" s="33"/>
      <c r="SQ273" s="33"/>
      <c r="SR273" s="33"/>
      <c r="SS273" s="33"/>
      <c r="ST273" s="33"/>
      <c r="SU273" s="33"/>
      <c r="SV273" s="33"/>
      <c r="SW273" s="33"/>
      <c r="SX273" s="33"/>
      <c r="SY273" s="33"/>
      <c r="SZ273" s="33"/>
      <c r="TA273" s="33"/>
      <c r="TB273" s="33"/>
      <c r="TC273" s="33"/>
      <c r="TD273" s="33"/>
      <c r="TE273" s="33"/>
      <c r="TF273" s="33"/>
      <c r="TG273" s="33"/>
    </row>
    <row r="274" spans="1:527" s="22" customFormat="1" ht="47.25" x14ac:dyDescent="0.25">
      <c r="A274" s="59" t="s">
        <v>140</v>
      </c>
      <c r="B274" s="92" t="str">
        <f>'дод 7'!A19</f>
        <v>0160</v>
      </c>
      <c r="C274" s="92" t="str">
        <f>'дод 7'!B19</f>
        <v>0111</v>
      </c>
      <c r="D274" s="36" t="s">
        <v>493</v>
      </c>
      <c r="E274" s="98">
        <f t="shared" ref="E274:E290" si="137">F274+I274</f>
        <v>3109000</v>
      </c>
      <c r="F274" s="98">
        <f>3609000-1000000+500000</f>
        <v>3109000</v>
      </c>
      <c r="G274" s="98">
        <f>2958200-812000+413200</f>
        <v>2559400</v>
      </c>
      <c r="H274" s="98"/>
      <c r="I274" s="98"/>
      <c r="J274" s="98">
        <f>L274+O274</f>
        <v>1900000</v>
      </c>
      <c r="K274" s="98"/>
      <c r="L274" s="98">
        <v>1900000</v>
      </c>
      <c r="M274" s="98">
        <v>1332000</v>
      </c>
      <c r="N274" s="98">
        <v>71500</v>
      </c>
      <c r="O274" s="98"/>
      <c r="P274" s="98">
        <f t="shared" ref="P274:P290" si="138">E274+J274</f>
        <v>5009000</v>
      </c>
      <c r="Q274" s="23"/>
      <c r="R274" s="32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</row>
    <row r="275" spans="1:527" s="22" customFormat="1" ht="18" customHeight="1" x14ac:dyDescent="0.25">
      <c r="A275" s="59" t="s">
        <v>205</v>
      </c>
      <c r="B275" s="92" t="str">
        <f>'дод 7'!A162</f>
        <v>6030</v>
      </c>
      <c r="C275" s="92" t="str">
        <f>'дод 7'!B162</f>
        <v>0620</v>
      </c>
      <c r="D275" s="60" t="str">
        <f>'дод 7'!C162</f>
        <v>Організація благоустрою населених пунктів</v>
      </c>
      <c r="E275" s="98">
        <f t="shared" si="137"/>
        <v>0</v>
      </c>
      <c r="F275" s="98"/>
      <c r="G275" s="98"/>
      <c r="H275" s="98"/>
      <c r="I275" s="98"/>
      <c r="J275" s="98">
        <f t="shared" ref="J275:J298" si="139">L275+O275</f>
        <v>59717919</v>
      </c>
      <c r="K275" s="98">
        <f>50000000+200000+100000+49000+50000+1764511+50000+381259-3407127+9457485+300000+640000+200763+1200000-1369864+101892</f>
        <v>59717919</v>
      </c>
      <c r="L275" s="98"/>
      <c r="M275" s="98"/>
      <c r="N275" s="98"/>
      <c r="O275" s="98">
        <f>50000000+200000+100000+49000+50000+1764511+50000+381259-3407127+9457485+300000+640000+200763+1200000-1369864+101892</f>
        <v>59717919</v>
      </c>
      <c r="P275" s="98">
        <f t="shared" si="138"/>
        <v>59717919</v>
      </c>
      <c r="Q275" s="23"/>
      <c r="R275" s="32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</row>
    <row r="276" spans="1:527" s="22" customFormat="1" ht="65.25" customHeight="1" x14ac:dyDescent="0.25">
      <c r="A276" s="59" t="s">
        <v>206</v>
      </c>
      <c r="B276" s="92" t="str">
        <f>'дод 7'!A165</f>
        <v>6084</v>
      </c>
      <c r="C276" s="92" t="str">
        <f>'дод 7'!B165</f>
        <v>0610</v>
      </c>
      <c r="D276" s="60" t="s">
        <v>530</v>
      </c>
      <c r="E276" s="98">
        <f t="shared" si="137"/>
        <v>0</v>
      </c>
      <c r="F276" s="98"/>
      <c r="G276" s="98"/>
      <c r="H276" s="98"/>
      <c r="I276" s="98"/>
      <c r="J276" s="98">
        <f t="shared" si="139"/>
        <v>71348.649999999994</v>
      </c>
      <c r="K276" s="98"/>
      <c r="L276" s="112"/>
      <c r="M276" s="98"/>
      <c r="N276" s="98"/>
      <c r="O276" s="98">
        <f>70060+1288.65</f>
        <v>71348.649999999994</v>
      </c>
      <c r="P276" s="98">
        <f t="shared" si="138"/>
        <v>71348.649999999994</v>
      </c>
      <c r="Q276" s="23"/>
      <c r="R276" s="32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  <c r="TF276" s="23"/>
      <c r="TG276" s="23"/>
    </row>
    <row r="277" spans="1:527" s="22" customFormat="1" ht="31.5" x14ac:dyDescent="0.25">
      <c r="A277" s="59" t="s">
        <v>275</v>
      </c>
      <c r="B277" s="92" t="str">
        <f>'дод 7'!A179</f>
        <v>7310</v>
      </c>
      <c r="C277" s="92" t="str">
        <f>'дод 7'!B179</f>
        <v>0443</v>
      </c>
      <c r="D277" s="60" t="str">
        <f>'дод 7'!C179</f>
        <v>Будівництво1 об'єктів житлово-комунального господарства</v>
      </c>
      <c r="E277" s="98">
        <f t="shared" si="137"/>
        <v>0</v>
      </c>
      <c r="F277" s="98"/>
      <c r="G277" s="98"/>
      <c r="H277" s="98"/>
      <c r="I277" s="98"/>
      <c r="J277" s="98">
        <f t="shared" si="139"/>
        <v>23385.4</v>
      </c>
      <c r="K277" s="98">
        <v>23385.4</v>
      </c>
      <c r="L277" s="98"/>
      <c r="M277" s="98"/>
      <c r="N277" s="98"/>
      <c r="O277" s="98">
        <v>23385.4</v>
      </c>
      <c r="P277" s="98">
        <f t="shared" si="138"/>
        <v>23385.4</v>
      </c>
      <c r="Q277" s="23"/>
      <c r="R277" s="32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</row>
    <row r="278" spans="1:527" s="22" customFormat="1" ht="18.75" x14ac:dyDescent="0.25">
      <c r="A278" s="59" t="s">
        <v>276</v>
      </c>
      <c r="B278" s="92" t="str">
        <f>'дод 7'!A180</f>
        <v>7321</v>
      </c>
      <c r="C278" s="92" t="str">
        <f>'дод 7'!B180</f>
        <v>0443</v>
      </c>
      <c r="D278" s="6" t="s">
        <v>547</v>
      </c>
      <c r="E278" s="98">
        <f t="shared" si="137"/>
        <v>0</v>
      </c>
      <c r="F278" s="98"/>
      <c r="G278" s="98"/>
      <c r="H278" s="98"/>
      <c r="I278" s="98"/>
      <c r="J278" s="98">
        <f t="shared" si="139"/>
        <v>7270560</v>
      </c>
      <c r="K278" s="98">
        <f>42471+46089+10000+22000+1000000+100000+3000000+150000+3000000-100000</f>
        <v>7270560</v>
      </c>
      <c r="L278" s="98"/>
      <c r="M278" s="98"/>
      <c r="N278" s="98"/>
      <c r="O278" s="98">
        <f>42471+46089+10000+22000+1000000+100000+3000000+150000+3000000-100000</f>
        <v>7270560</v>
      </c>
      <c r="P278" s="98">
        <f t="shared" si="138"/>
        <v>7270560</v>
      </c>
      <c r="Q278" s="23"/>
      <c r="R278" s="32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22" customFormat="1" ht="18.75" x14ac:dyDescent="0.25">
      <c r="A279" s="59" t="s">
        <v>278</v>
      </c>
      <c r="B279" s="92" t="str">
        <f>'дод 7'!A182</f>
        <v>7322</v>
      </c>
      <c r="C279" s="92" t="str">
        <f>'дод 7'!B182</f>
        <v>0443</v>
      </c>
      <c r="D279" s="6" t="s">
        <v>548</v>
      </c>
      <c r="E279" s="98">
        <f t="shared" si="137"/>
        <v>0</v>
      </c>
      <c r="F279" s="98"/>
      <c r="G279" s="98"/>
      <c r="H279" s="98"/>
      <c r="I279" s="98"/>
      <c r="J279" s="98">
        <f t="shared" si="139"/>
        <v>10269864</v>
      </c>
      <c r="K279" s="98">
        <f>3000000+1800000+2000000+3000000+469864</f>
        <v>10269864</v>
      </c>
      <c r="L279" s="98"/>
      <c r="M279" s="98"/>
      <c r="N279" s="98"/>
      <c r="O279" s="98">
        <f>3000000+1800000+2000000+3000000+469864</f>
        <v>10269864</v>
      </c>
      <c r="P279" s="98">
        <f t="shared" si="138"/>
        <v>10269864</v>
      </c>
      <c r="Q279" s="23"/>
      <c r="R279" s="32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</row>
    <row r="280" spans="1:527" s="22" customFormat="1" ht="18.75" x14ac:dyDescent="0.25">
      <c r="A280" s="59" t="s">
        <v>560</v>
      </c>
      <c r="B280" s="92">
        <v>7324</v>
      </c>
      <c r="C280" s="92">
        <v>443</v>
      </c>
      <c r="D280" s="6" t="s">
        <v>550</v>
      </c>
      <c r="E280" s="98">
        <f t="shared" si="137"/>
        <v>0</v>
      </c>
      <c r="F280" s="98"/>
      <c r="G280" s="98"/>
      <c r="H280" s="98"/>
      <c r="I280" s="98"/>
      <c r="J280" s="98">
        <f t="shared" si="139"/>
        <v>165000</v>
      </c>
      <c r="K280" s="98">
        <f>400000-235000</f>
        <v>165000</v>
      </c>
      <c r="L280" s="98"/>
      <c r="M280" s="98"/>
      <c r="N280" s="98"/>
      <c r="O280" s="98">
        <f>400000-235000</f>
        <v>165000</v>
      </c>
      <c r="P280" s="98">
        <f t="shared" si="138"/>
        <v>165000</v>
      </c>
      <c r="Q280" s="23"/>
      <c r="R280" s="32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2" customFormat="1" ht="34.5" x14ac:dyDescent="0.25">
      <c r="A281" s="59" t="s">
        <v>359</v>
      </c>
      <c r="B281" s="92">
        <f>'дод 7'!A186</f>
        <v>7325</v>
      </c>
      <c r="C281" s="59" t="s">
        <v>111</v>
      </c>
      <c r="D281" s="6" t="s">
        <v>545</v>
      </c>
      <c r="E281" s="98">
        <f t="shared" si="137"/>
        <v>0</v>
      </c>
      <c r="F281" s="98"/>
      <c r="G281" s="98"/>
      <c r="H281" s="98"/>
      <c r="I281" s="98"/>
      <c r="J281" s="98">
        <f t="shared" si="139"/>
        <v>2849440</v>
      </c>
      <c r="K281" s="98">
        <f>199440+1000000+600000+750000+300000</f>
        <v>2849440</v>
      </c>
      <c r="L281" s="98"/>
      <c r="M281" s="98"/>
      <c r="N281" s="98"/>
      <c r="O281" s="98">
        <f>199440+1000000+600000+750000+300000</f>
        <v>2849440</v>
      </c>
      <c r="P281" s="98">
        <f t="shared" si="138"/>
        <v>2849440</v>
      </c>
      <c r="Q281" s="23"/>
      <c r="R281" s="32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</row>
    <row r="282" spans="1:527" s="22" customFormat="1" ht="18" customHeight="1" x14ac:dyDescent="0.25">
      <c r="A282" s="59" t="s">
        <v>280</v>
      </c>
      <c r="B282" s="92" t="str">
        <f>'дод 7'!A187</f>
        <v>7330</v>
      </c>
      <c r="C282" s="92" t="str">
        <f>'дод 7'!B187</f>
        <v>0443</v>
      </c>
      <c r="D282" s="6" t="s">
        <v>546</v>
      </c>
      <c r="E282" s="98">
        <f t="shared" si="137"/>
        <v>0</v>
      </c>
      <c r="F282" s="98"/>
      <c r="G282" s="98"/>
      <c r="H282" s="98"/>
      <c r="I282" s="98"/>
      <c r="J282" s="98">
        <f t="shared" si="139"/>
        <v>11797276</v>
      </c>
      <c r="K282" s="98">
        <f>39750000+1567447+258138-1800000+200000+135000+200000+95995-28000000+240000-70000+60000+30000-30000+49900+1000000-2814608-60000+698667-136875+136875-150000-200763+900000+2500-265000</f>
        <v>11797276</v>
      </c>
      <c r="L282" s="98"/>
      <c r="M282" s="98"/>
      <c r="N282" s="98"/>
      <c r="O282" s="98">
        <f>39750000+1567447+258138-1800000+200000+135000+200000+95995-28000000+240000-70000+60000+30000-30000+49900+1000000-2814608-60000+698667-136875+136875-150000-200763+900000+2500-265000</f>
        <v>11797276</v>
      </c>
      <c r="P282" s="98">
        <f t="shared" si="138"/>
        <v>11797276</v>
      </c>
      <c r="Q282" s="23"/>
      <c r="R282" s="32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  <c r="TF282" s="23"/>
      <c r="TG282" s="23"/>
    </row>
    <row r="283" spans="1:527" s="22" customFormat="1" ht="31.5" x14ac:dyDescent="0.25">
      <c r="A283" s="59" t="s">
        <v>428</v>
      </c>
      <c r="B283" s="92">
        <v>7340</v>
      </c>
      <c r="C283" s="59" t="s">
        <v>111</v>
      </c>
      <c r="D283" s="60" t="s">
        <v>1</v>
      </c>
      <c r="E283" s="98">
        <f t="shared" si="137"/>
        <v>0</v>
      </c>
      <c r="F283" s="98"/>
      <c r="G283" s="98"/>
      <c r="H283" s="98"/>
      <c r="I283" s="98"/>
      <c r="J283" s="98">
        <f t="shared" si="139"/>
        <v>883608</v>
      </c>
      <c r="K283" s="98">
        <f>6000000-2067496-104420-86000-2742084-12000-104392</f>
        <v>883608</v>
      </c>
      <c r="L283" s="98"/>
      <c r="M283" s="98"/>
      <c r="N283" s="98"/>
      <c r="O283" s="98">
        <f>6000000-2067496-104420-86000-2742084-12000-104392</f>
        <v>883608</v>
      </c>
      <c r="P283" s="98">
        <f t="shared" si="138"/>
        <v>883608</v>
      </c>
      <c r="Q283" s="23"/>
      <c r="R283" s="32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</row>
    <row r="284" spans="1:527" s="22" customFormat="1" ht="53.25" customHeight="1" x14ac:dyDescent="0.25">
      <c r="A284" s="59" t="s">
        <v>371</v>
      </c>
      <c r="B284" s="92">
        <f>'дод 7'!A190</f>
        <v>7361</v>
      </c>
      <c r="C284" s="92" t="str">
        <f>'дод 7'!B190</f>
        <v>0490</v>
      </c>
      <c r="D284" s="60" t="str">
        <f>'дод 7'!C190</f>
        <v>Співфінансування інвестиційних проектів, що реалізуються за рахунок коштів державного фонду регіонального розвитку</v>
      </c>
      <c r="E284" s="98">
        <f t="shared" ref="E284" si="140">F284+I284</f>
        <v>0</v>
      </c>
      <c r="F284" s="98"/>
      <c r="G284" s="98"/>
      <c r="H284" s="98"/>
      <c r="I284" s="98"/>
      <c r="J284" s="98">
        <f t="shared" ref="J284" si="141">L284+O284</f>
        <v>67184673</v>
      </c>
      <c r="K284" s="98">
        <f>10172673+28000000+15000000+924549+4075451+9000000+12000</f>
        <v>67184673</v>
      </c>
      <c r="L284" s="98"/>
      <c r="M284" s="98"/>
      <c r="N284" s="98"/>
      <c r="O284" s="98">
        <f>10172673+28000000+15000000+924549+4075451+9000000+12000</f>
        <v>67184673</v>
      </c>
      <c r="P284" s="98">
        <f t="shared" si="138"/>
        <v>67184673</v>
      </c>
      <c r="Q284" s="23"/>
      <c r="R284" s="32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2" customFormat="1" ht="47.25" x14ac:dyDescent="0.25">
      <c r="A285" s="59" t="s">
        <v>366</v>
      </c>
      <c r="B285" s="92">
        <v>7363</v>
      </c>
      <c r="C285" s="59" t="s">
        <v>82</v>
      </c>
      <c r="D285" s="60" t="s">
        <v>398</v>
      </c>
      <c r="E285" s="98">
        <f t="shared" si="137"/>
        <v>0</v>
      </c>
      <c r="F285" s="98"/>
      <c r="G285" s="98"/>
      <c r="H285" s="98"/>
      <c r="I285" s="98"/>
      <c r="J285" s="98">
        <f t="shared" si="139"/>
        <v>1200000</v>
      </c>
      <c r="K285" s="98">
        <v>1200000</v>
      </c>
      <c r="L285" s="98"/>
      <c r="M285" s="98"/>
      <c r="N285" s="98"/>
      <c r="O285" s="98">
        <v>1200000</v>
      </c>
      <c r="P285" s="98">
        <f t="shared" si="138"/>
        <v>1200000</v>
      </c>
      <c r="Q285" s="23"/>
      <c r="R285" s="32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  <c r="TG285" s="23"/>
    </row>
    <row r="286" spans="1:527" s="24" customFormat="1" ht="51.75" customHeight="1" x14ac:dyDescent="0.25">
      <c r="A286" s="83"/>
      <c r="B286" s="110"/>
      <c r="C286" s="83"/>
      <c r="D286" s="86" t="s">
        <v>388</v>
      </c>
      <c r="E286" s="100">
        <f t="shared" si="137"/>
        <v>0</v>
      </c>
      <c r="F286" s="100"/>
      <c r="G286" s="100"/>
      <c r="H286" s="100"/>
      <c r="I286" s="100"/>
      <c r="J286" s="100">
        <f t="shared" ref="J286" si="142">L286+O286</f>
        <v>1200000</v>
      </c>
      <c r="K286" s="100">
        <v>1200000</v>
      </c>
      <c r="L286" s="100"/>
      <c r="M286" s="100"/>
      <c r="N286" s="100"/>
      <c r="O286" s="100">
        <v>1200000</v>
      </c>
      <c r="P286" s="100">
        <f t="shared" ref="P286" si="143">E286+J286</f>
        <v>1200000</v>
      </c>
      <c r="Q286" s="30"/>
      <c r="R286" s="33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0"/>
      <c r="FV286" s="30"/>
      <c r="FW286" s="30"/>
      <c r="FX286" s="30"/>
      <c r="FY286" s="30"/>
      <c r="FZ286" s="30"/>
      <c r="GA286" s="30"/>
      <c r="GB286" s="30"/>
      <c r="GC286" s="30"/>
      <c r="GD286" s="30"/>
      <c r="GE286" s="30"/>
      <c r="GF286" s="30"/>
      <c r="GG286" s="30"/>
      <c r="GH286" s="30"/>
      <c r="GI286" s="30"/>
      <c r="GJ286" s="30"/>
      <c r="GK286" s="30"/>
      <c r="GL286" s="30"/>
      <c r="GM286" s="30"/>
      <c r="GN286" s="30"/>
      <c r="GO286" s="30"/>
      <c r="GP286" s="30"/>
      <c r="GQ286" s="30"/>
      <c r="GR286" s="30"/>
      <c r="GS286" s="30"/>
      <c r="GT286" s="30"/>
      <c r="GU286" s="30"/>
      <c r="GV286" s="30"/>
      <c r="GW286" s="30"/>
      <c r="GX286" s="30"/>
      <c r="GY286" s="30"/>
      <c r="GZ286" s="30"/>
      <c r="HA286" s="30"/>
      <c r="HB286" s="30"/>
      <c r="HC286" s="30"/>
      <c r="HD286" s="30"/>
      <c r="HE286" s="30"/>
      <c r="HF286" s="30"/>
      <c r="HG286" s="30"/>
      <c r="HH286" s="30"/>
      <c r="HI286" s="30"/>
      <c r="HJ286" s="30"/>
      <c r="HK286" s="30"/>
      <c r="HL286" s="30"/>
      <c r="HM286" s="30"/>
      <c r="HN286" s="30"/>
      <c r="HO286" s="30"/>
      <c r="HP286" s="30"/>
      <c r="HQ286" s="30"/>
      <c r="HR286" s="30"/>
      <c r="HS286" s="30"/>
      <c r="HT286" s="30"/>
      <c r="HU286" s="30"/>
      <c r="HV286" s="30"/>
      <c r="HW286" s="30"/>
      <c r="HX286" s="30"/>
      <c r="HY286" s="30"/>
      <c r="HZ286" s="30"/>
      <c r="IA286" s="30"/>
      <c r="IB286" s="30"/>
      <c r="IC286" s="30"/>
      <c r="ID286" s="30"/>
      <c r="IE286" s="30"/>
      <c r="IF286" s="30"/>
      <c r="IG286" s="30"/>
      <c r="IH286" s="30"/>
      <c r="II286" s="30"/>
      <c r="IJ286" s="30"/>
      <c r="IK286" s="30"/>
      <c r="IL286" s="30"/>
      <c r="IM286" s="30"/>
      <c r="IN286" s="30"/>
      <c r="IO286" s="30"/>
      <c r="IP286" s="30"/>
      <c r="IQ286" s="30"/>
      <c r="IR286" s="30"/>
      <c r="IS286" s="30"/>
      <c r="IT286" s="30"/>
      <c r="IU286" s="30"/>
      <c r="IV286" s="30"/>
      <c r="IW286" s="30"/>
      <c r="IX286" s="30"/>
      <c r="IY286" s="30"/>
      <c r="IZ286" s="30"/>
      <c r="JA286" s="30"/>
      <c r="JB286" s="30"/>
      <c r="JC286" s="30"/>
      <c r="JD286" s="30"/>
      <c r="JE286" s="30"/>
      <c r="JF286" s="30"/>
      <c r="JG286" s="30"/>
      <c r="JH286" s="30"/>
      <c r="JI286" s="30"/>
      <c r="JJ286" s="30"/>
      <c r="JK286" s="30"/>
      <c r="JL286" s="30"/>
      <c r="JM286" s="30"/>
      <c r="JN286" s="30"/>
      <c r="JO286" s="30"/>
      <c r="JP286" s="30"/>
      <c r="JQ286" s="30"/>
      <c r="JR286" s="30"/>
      <c r="JS286" s="30"/>
      <c r="JT286" s="30"/>
      <c r="JU286" s="30"/>
      <c r="JV286" s="30"/>
      <c r="JW286" s="30"/>
      <c r="JX286" s="30"/>
      <c r="JY286" s="30"/>
      <c r="JZ286" s="30"/>
      <c r="KA286" s="30"/>
      <c r="KB286" s="30"/>
      <c r="KC286" s="30"/>
      <c r="KD286" s="30"/>
      <c r="KE286" s="30"/>
      <c r="KF286" s="30"/>
      <c r="KG286" s="30"/>
      <c r="KH286" s="30"/>
      <c r="KI286" s="30"/>
      <c r="KJ286" s="30"/>
      <c r="KK286" s="30"/>
      <c r="KL286" s="30"/>
      <c r="KM286" s="30"/>
      <c r="KN286" s="30"/>
      <c r="KO286" s="30"/>
      <c r="KP286" s="30"/>
      <c r="KQ286" s="30"/>
      <c r="KR286" s="30"/>
      <c r="KS286" s="30"/>
      <c r="KT286" s="30"/>
      <c r="KU286" s="30"/>
      <c r="KV286" s="30"/>
      <c r="KW286" s="30"/>
      <c r="KX286" s="30"/>
      <c r="KY286" s="30"/>
      <c r="KZ286" s="30"/>
      <c r="LA286" s="30"/>
      <c r="LB286" s="30"/>
      <c r="LC286" s="30"/>
      <c r="LD286" s="30"/>
      <c r="LE286" s="30"/>
      <c r="LF286" s="30"/>
      <c r="LG286" s="30"/>
      <c r="LH286" s="30"/>
      <c r="LI286" s="30"/>
      <c r="LJ286" s="30"/>
      <c r="LK286" s="30"/>
      <c r="LL286" s="30"/>
      <c r="LM286" s="30"/>
      <c r="LN286" s="30"/>
      <c r="LO286" s="30"/>
      <c r="LP286" s="30"/>
      <c r="LQ286" s="30"/>
      <c r="LR286" s="30"/>
      <c r="LS286" s="30"/>
      <c r="LT286" s="30"/>
      <c r="LU286" s="30"/>
      <c r="LV286" s="30"/>
      <c r="LW286" s="30"/>
      <c r="LX286" s="30"/>
      <c r="LY286" s="30"/>
      <c r="LZ286" s="30"/>
      <c r="MA286" s="30"/>
      <c r="MB286" s="30"/>
      <c r="MC286" s="30"/>
      <c r="MD286" s="30"/>
      <c r="ME286" s="30"/>
      <c r="MF286" s="30"/>
      <c r="MG286" s="30"/>
      <c r="MH286" s="30"/>
      <c r="MI286" s="30"/>
      <c r="MJ286" s="30"/>
      <c r="MK286" s="30"/>
      <c r="ML286" s="30"/>
      <c r="MM286" s="30"/>
      <c r="MN286" s="30"/>
      <c r="MO286" s="30"/>
      <c r="MP286" s="30"/>
      <c r="MQ286" s="30"/>
      <c r="MR286" s="30"/>
      <c r="MS286" s="30"/>
      <c r="MT286" s="30"/>
      <c r="MU286" s="30"/>
      <c r="MV286" s="30"/>
      <c r="MW286" s="30"/>
      <c r="MX286" s="30"/>
      <c r="MY286" s="30"/>
      <c r="MZ286" s="30"/>
      <c r="NA286" s="30"/>
      <c r="NB286" s="30"/>
      <c r="NC286" s="30"/>
      <c r="ND286" s="30"/>
      <c r="NE286" s="30"/>
      <c r="NF286" s="30"/>
      <c r="NG286" s="30"/>
      <c r="NH286" s="30"/>
      <c r="NI286" s="30"/>
      <c r="NJ286" s="30"/>
      <c r="NK286" s="30"/>
      <c r="NL286" s="30"/>
      <c r="NM286" s="30"/>
      <c r="NN286" s="30"/>
      <c r="NO286" s="30"/>
      <c r="NP286" s="30"/>
      <c r="NQ286" s="30"/>
      <c r="NR286" s="30"/>
      <c r="NS286" s="30"/>
      <c r="NT286" s="30"/>
      <c r="NU286" s="30"/>
      <c r="NV286" s="30"/>
      <c r="NW286" s="30"/>
      <c r="NX286" s="30"/>
      <c r="NY286" s="30"/>
      <c r="NZ286" s="30"/>
      <c r="OA286" s="30"/>
      <c r="OB286" s="30"/>
      <c r="OC286" s="30"/>
      <c r="OD286" s="30"/>
      <c r="OE286" s="30"/>
      <c r="OF286" s="30"/>
      <c r="OG286" s="30"/>
      <c r="OH286" s="30"/>
      <c r="OI286" s="30"/>
      <c r="OJ286" s="30"/>
      <c r="OK286" s="30"/>
      <c r="OL286" s="30"/>
      <c r="OM286" s="30"/>
      <c r="ON286" s="30"/>
      <c r="OO286" s="30"/>
      <c r="OP286" s="30"/>
      <c r="OQ286" s="30"/>
      <c r="OR286" s="30"/>
      <c r="OS286" s="30"/>
      <c r="OT286" s="30"/>
      <c r="OU286" s="30"/>
      <c r="OV286" s="30"/>
      <c r="OW286" s="30"/>
      <c r="OX286" s="30"/>
      <c r="OY286" s="30"/>
      <c r="OZ286" s="30"/>
      <c r="PA286" s="30"/>
      <c r="PB286" s="30"/>
      <c r="PC286" s="30"/>
      <c r="PD286" s="30"/>
      <c r="PE286" s="30"/>
      <c r="PF286" s="30"/>
      <c r="PG286" s="30"/>
      <c r="PH286" s="30"/>
      <c r="PI286" s="30"/>
      <c r="PJ286" s="30"/>
      <c r="PK286" s="30"/>
      <c r="PL286" s="30"/>
      <c r="PM286" s="30"/>
      <c r="PN286" s="30"/>
      <c r="PO286" s="30"/>
      <c r="PP286" s="30"/>
      <c r="PQ286" s="30"/>
      <c r="PR286" s="30"/>
      <c r="PS286" s="30"/>
      <c r="PT286" s="30"/>
      <c r="PU286" s="30"/>
      <c r="PV286" s="30"/>
      <c r="PW286" s="30"/>
      <c r="PX286" s="30"/>
      <c r="PY286" s="30"/>
      <c r="PZ286" s="30"/>
      <c r="QA286" s="30"/>
      <c r="QB286" s="30"/>
      <c r="QC286" s="30"/>
      <c r="QD286" s="30"/>
      <c r="QE286" s="30"/>
      <c r="QF286" s="30"/>
      <c r="QG286" s="30"/>
      <c r="QH286" s="30"/>
      <c r="QI286" s="30"/>
      <c r="QJ286" s="30"/>
      <c r="QK286" s="30"/>
      <c r="QL286" s="30"/>
      <c r="QM286" s="30"/>
      <c r="QN286" s="30"/>
      <c r="QO286" s="30"/>
      <c r="QP286" s="30"/>
      <c r="QQ286" s="30"/>
      <c r="QR286" s="30"/>
      <c r="QS286" s="30"/>
      <c r="QT286" s="30"/>
      <c r="QU286" s="30"/>
      <c r="QV286" s="30"/>
      <c r="QW286" s="30"/>
      <c r="QX286" s="30"/>
      <c r="QY286" s="30"/>
      <c r="QZ286" s="30"/>
      <c r="RA286" s="30"/>
      <c r="RB286" s="30"/>
      <c r="RC286" s="30"/>
      <c r="RD286" s="30"/>
      <c r="RE286" s="30"/>
      <c r="RF286" s="30"/>
      <c r="RG286" s="30"/>
      <c r="RH286" s="30"/>
      <c r="RI286" s="30"/>
      <c r="RJ286" s="30"/>
      <c r="RK286" s="30"/>
      <c r="RL286" s="30"/>
      <c r="RM286" s="30"/>
      <c r="RN286" s="30"/>
      <c r="RO286" s="30"/>
      <c r="RP286" s="30"/>
      <c r="RQ286" s="30"/>
      <c r="RR286" s="30"/>
      <c r="RS286" s="30"/>
      <c r="RT286" s="30"/>
      <c r="RU286" s="30"/>
      <c r="RV286" s="30"/>
      <c r="RW286" s="30"/>
      <c r="RX286" s="30"/>
      <c r="RY286" s="30"/>
      <c r="RZ286" s="30"/>
      <c r="SA286" s="30"/>
      <c r="SB286" s="30"/>
      <c r="SC286" s="30"/>
      <c r="SD286" s="30"/>
      <c r="SE286" s="30"/>
      <c r="SF286" s="30"/>
      <c r="SG286" s="30"/>
      <c r="SH286" s="30"/>
      <c r="SI286" s="30"/>
      <c r="SJ286" s="30"/>
      <c r="SK286" s="30"/>
      <c r="SL286" s="30"/>
      <c r="SM286" s="30"/>
      <c r="SN286" s="30"/>
      <c r="SO286" s="30"/>
      <c r="SP286" s="30"/>
      <c r="SQ286" s="30"/>
      <c r="SR286" s="30"/>
      <c r="SS286" s="30"/>
      <c r="ST286" s="30"/>
      <c r="SU286" s="30"/>
      <c r="SV286" s="30"/>
      <c r="SW286" s="30"/>
      <c r="SX286" s="30"/>
      <c r="SY286" s="30"/>
      <c r="SZ286" s="30"/>
      <c r="TA286" s="30"/>
      <c r="TB286" s="30"/>
      <c r="TC286" s="30"/>
      <c r="TD286" s="30"/>
      <c r="TE286" s="30"/>
      <c r="TF286" s="30"/>
      <c r="TG286" s="30"/>
    </row>
    <row r="287" spans="1:527" s="22" customFormat="1" ht="31.5" x14ac:dyDescent="0.25">
      <c r="A287" s="59" t="s">
        <v>430</v>
      </c>
      <c r="B287" s="92">
        <v>7370</v>
      </c>
      <c r="C287" s="59" t="s">
        <v>82</v>
      </c>
      <c r="D287" s="60" t="s">
        <v>431</v>
      </c>
      <c r="E287" s="98">
        <f>F287+I287</f>
        <v>81034.600000000006</v>
      </c>
      <c r="F287" s="98">
        <f>104420-23385.4</f>
        <v>81034.600000000006</v>
      </c>
      <c r="G287" s="98"/>
      <c r="H287" s="98"/>
      <c r="I287" s="98"/>
      <c r="J287" s="98">
        <f t="shared" si="139"/>
        <v>0</v>
      </c>
      <c r="K287" s="98"/>
      <c r="L287" s="98"/>
      <c r="M287" s="98"/>
      <c r="N287" s="98"/>
      <c r="O287" s="98"/>
      <c r="P287" s="98">
        <f t="shared" si="138"/>
        <v>81034.600000000006</v>
      </c>
      <c r="Q287" s="23"/>
      <c r="R287" s="32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</row>
    <row r="288" spans="1:527" s="22" customFormat="1" ht="21.75" customHeight="1" x14ac:dyDescent="0.25">
      <c r="A288" s="59" t="s">
        <v>146</v>
      </c>
      <c r="B288" s="92" t="str">
        <f>'дод 7'!A218</f>
        <v>7640</v>
      </c>
      <c r="C288" s="92" t="str">
        <f>'дод 7'!B218</f>
        <v>0470</v>
      </c>
      <c r="D288" s="60" t="s">
        <v>467</v>
      </c>
      <c r="E288" s="98">
        <f t="shared" si="137"/>
        <v>531386.55000000005</v>
      </c>
      <c r="F288" s="98">
        <f>1763607-797422.45+49500-484298</f>
        <v>531386.55000000005</v>
      </c>
      <c r="G288" s="98"/>
      <c r="H288" s="98"/>
      <c r="I288" s="98"/>
      <c r="J288" s="98">
        <f t="shared" si="139"/>
        <v>121780030.44999999</v>
      </c>
      <c r="K288" s="98">
        <f>124644482+797422.45+2700000-4500000-14835808+1500000</f>
        <v>110306096.45</v>
      </c>
      <c r="L288" s="112"/>
      <c r="M288" s="98"/>
      <c r="N288" s="98"/>
      <c r="O288" s="98">
        <f>136118416+797422.45+2700000-4500000-14835808+1500000</f>
        <v>121780030.44999999</v>
      </c>
      <c r="P288" s="98">
        <f t="shared" si="138"/>
        <v>122311416.99999999</v>
      </c>
      <c r="Q288" s="23"/>
      <c r="R288" s="32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</row>
    <row r="289" spans="1:527" s="24" customFormat="1" ht="17.25" customHeight="1" x14ac:dyDescent="0.25">
      <c r="A289" s="83"/>
      <c r="B289" s="110"/>
      <c r="C289" s="110"/>
      <c r="D289" s="84" t="s">
        <v>419</v>
      </c>
      <c r="E289" s="100">
        <f t="shared" si="137"/>
        <v>0</v>
      </c>
      <c r="F289" s="100"/>
      <c r="G289" s="100"/>
      <c r="H289" s="100"/>
      <c r="I289" s="100"/>
      <c r="J289" s="100">
        <f t="shared" si="139"/>
        <v>96859595</v>
      </c>
      <c r="K289" s="100">
        <v>96859595</v>
      </c>
      <c r="L289" s="113"/>
      <c r="M289" s="100"/>
      <c r="N289" s="100"/>
      <c r="O289" s="100">
        <v>96859595</v>
      </c>
      <c r="P289" s="100">
        <f t="shared" si="138"/>
        <v>96859595</v>
      </c>
      <c r="Q289" s="30"/>
      <c r="R289" s="32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0"/>
      <c r="FV289" s="30"/>
      <c r="FW289" s="30"/>
      <c r="FX289" s="30"/>
      <c r="FY289" s="30"/>
      <c r="FZ289" s="30"/>
      <c r="GA289" s="30"/>
      <c r="GB289" s="30"/>
      <c r="GC289" s="30"/>
      <c r="GD289" s="30"/>
      <c r="GE289" s="30"/>
      <c r="GF289" s="30"/>
      <c r="GG289" s="30"/>
      <c r="GH289" s="30"/>
      <c r="GI289" s="30"/>
      <c r="GJ289" s="30"/>
      <c r="GK289" s="30"/>
      <c r="GL289" s="30"/>
      <c r="GM289" s="30"/>
      <c r="GN289" s="30"/>
      <c r="GO289" s="30"/>
      <c r="GP289" s="30"/>
      <c r="GQ289" s="30"/>
      <c r="GR289" s="30"/>
      <c r="GS289" s="30"/>
      <c r="GT289" s="30"/>
      <c r="GU289" s="30"/>
      <c r="GV289" s="30"/>
      <c r="GW289" s="30"/>
      <c r="GX289" s="30"/>
      <c r="GY289" s="30"/>
      <c r="GZ289" s="30"/>
      <c r="HA289" s="30"/>
      <c r="HB289" s="30"/>
      <c r="HC289" s="30"/>
      <c r="HD289" s="30"/>
      <c r="HE289" s="30"/>
      <c r="HF289" s="30"/>
      <c r="HG289" s="30"/>
      <c r="HH289" s="30"/>
      <c r="HI289" s="30"/>
      <c r="HJ289" s="30"/>
      <c r="HK289" s="30"/>
      <c r="HL289" s="30"/>
      <c r="HM289" s="30"/>
      <c r="HN289" s="30"/>
      <c r="HO289" s="30"/>
      <c r="HP289" s="30"/>
      <c r="HQ289" s="30"/>
      <c r="HR289" s="30"/>
      <c r="HS289" s="30"/>
      <c r="HT289" s="30"/>
      <c r="HU289" s="30"/>
      <c r="HV289" s="30"/>
      <c r="HW289" s="30"/>
      <c r="HX289" s="30"/>
      <c r="HY289" s="30"/>
      <c r="HZ289" s="30"/>
      <c r="IA289" s="30"/>
      <c r="IB289" s="30"/>
      <c r="IC289" s="30"/>
      <c r="ID289" s="30"/>
      <c r="IE289" s="30"/>
      <c r="IF289" s="30"/>
      <c r="IG289" s="30"/>
      <c r="IH289" s="30"/>
      <c r="II289" s="30"/>
      <c r="IJ289" s="30"/>
      <c r="IK289" s="30"/>
      <c r="IL289" s="30"/>
      <c r="IM289" s="30"/>
      <c r="IN289" s="30"/>
      <c r="IO289" s="30"/>
      <c r="IP289" s="30"/>
      <c r="IQ289" s="30"/>
      <c r="IR289" s="30"/>
      <c r="IS289" s="30"/>
      <c r="IT289" s="30"/>
      <c r="IU289" s="30"/>
      <c r="IV289" s="30"/>
      <c r="IW289" s="30"/>
      <c r="IX289" s="30"/>
      <c r="IY289" s="30"/>
      <c r="IZ289" s="30"/>
      <c r="JA289" s="30"/>
      <c r="JB289" s="30"/>
      <c r="JC289" s="30"/>
      <c r="JD289" s="30"/>
      <c r="JE289" s="30"/>
      <c r="JF289" s="30"/>
      <c r="JG289" s="30"/>
      <c r="JH289" s="30"/>
      <c r="JI289" s="30"/>
      <c r="JJ289" s="30"/>
      <c r="JK289" s="30"/>
      <c r="JL289" s="30"/>
      <c r="JM289" s="30"/>
      <c r="JN289" s="30"/>
      <c r="JO289" s="30"/>
      <c r="JP289" s="30"/>
      <c r="JQ289" s="30"/>
      <c r="JR289" s="30"/>
      <c r="JS289" s="30"/>
      <c r="JT289" s="30"/>
      <c r="JU289" s="30"/>
      <c r="JV289" s="30"/>
      <c r="JW289" s="30"/>
      <c r="JX289" s="30"/>
      <c r="JY289" s="30"/>
      <c r="JZ289" s="30"/>
      <c r="KA289" s="30"/>
      <c r="KB289" s="30"/>
      <c r="KC289" s="30"/>
      <c r="KD289" s="30"/>
      <c r="KE289" s="30"/>
      <c r="KF289" s="30"/>
      <c r="KG289" s="30"/>
      <c r="KH289" s="30"/>
      <c r="KI289" s="30"/>
      <c r="KJ289" s="30"/>
      <c r="KK289" s="30"/>
      <c r="KL289" s="30"/>
      <c r="KM289" s="30"/>
      <c r="KN289" s="30"/>
      <c r="KO289" s="30"/>
      <c r="KP289" s="30"/>
      <c r="KQ289" s="30"/>
      <c r="KR289" s="30"/>
      <c r="KS289" s="30"/>
      <c r="KT289" s="30"/>
      <c r="KU289" s="30"/>
      <c r="KV289" s="30"/>
      <c r="KW289" s="30"/>
      <c r="KX289" s="30"/>
      <c r="KY289" s="30"/>
      <c r="KZ289" s="30"/>
      <c r="LA289" s="30"/>
      <c r="LB289" s="30"/>
      <c r="LC289" s="30"/>
      <c r="LD289" s="30"/>
      <c r="LE289" s="30"/>
      <c r="LF289" s="30"/>
      <c r="LG289" s="30"/>
      <c r="LH289" s="30"/>
      <c r="LI289" s="30"/>
      <c r="LJ289" s="30"/>
      <c r="LK289" s="30"/>
      <c r="LL289" s="30"/>
      <c r="LM289" s="30"/>
      <c r="LN289" s="30"/>
      <c r="LO289" s="30"/>
      <c r="LP289" s="30"/>
      <c r="LQ289" s="30"/>
      <c r="LR289" s="30"/>
      <c r="LS289" s="30"/>
      <c r="LT289" s="30"/>
      <c r="LU289" s="30"/>
      <c r="LV289" s="30"/>
      <c r="LW289" s="30"/>
      <c r="LX289" s="30"/>
      <c r="LY289" s="30"/>
      <c r="LZ289" s="30"/>
      <c r="MA289" s="30"/>
      <c r="MB289" s="30"/>
      <c r="MC289" s="30"/>
      <c r="MD289" s="30"/>
      <c r="ME289" s="30"/>
      <c r="MF289" s="30"/>
      <c r="MG289" s="30"/>
      <c r="MH289" s="30"/>
      <c r="MI289" s="30"/>
      <c r="MJ289" s="30"/>
      <c r="MK289" s="30"/>
      <c r="ML289" s="30"/>
      <c r="MM289" s="30"/>
      <c r="MN289" s="30"/>
      <c r="MO289" s="30"/>
      <c r="MP289" s="30"/>
      <c r="MQ289" s="30"/>
      <c r="MR289" s="30"/>
      <c r="MS289" s="30"/>
      <c r="MT289" s="30"/>
      <c r="MU289" s="30"/>
      <c r="MV289" s="30"/>
      <c r="MW289" s="30"/>
      <c r="MX289" s="30"/>
      <c r="MY289" s="30"/>
      <c r="MZ289" s="30"/>
      <c r="NA289" s="30"/>
      <c r="NB289" s="30"/>
      <c r="NC289" s="30"/>
      <c r="ND289" s="30"/>
      <c r="NE289" s="30"/>
      <c r="NF289" s="30"/>
      <c r="NG289" s="30"/>
      <c r="NH289" s="30"/>
      <c r="NI289" s="30"/>
      <c r="NJ289" s="30"/>
      <c r="NK289" s="30"/>
      <c r="NL289" s="30"/>
      <c r="NM289" s="30"/>
      <c r="NN289" s="30"/>
      <c r="NO289" s="30"/>
      <c r="NP289" s="30"/>
      <c r="NQ289" s="30"/>
      <c r="NR289" s="30"/>
      <c r="NS289" s="30"/>
      <c r="NT289" s="30"/>
      <c r="NU289" s="30"/>
      <c r="NV289" s="30"/>
      <c r="NW289" s="30"/>
      <c r="NX289" s="30"/>
      <c r="NY289" s="30"/>
      <c r="NZ289" s="30"/>
      <c r="OA289" s="30"/>
      <c r="OB289" s="30"/>
      <c r="OC289" s="30"/>
      <c r="OD289" s="30"/>
      <c r="OE289" s="30"/>
      <c r="OF289" s="30"/>
      <c r="OG289" s="30"/>
      <c r="OH289" s="30"/>
      <c r="OI289" s="30"/>
      <c r="OJ289" s="30"/>
      <c r="OK289" s="30"/>
      <c r="OL289" s="30"/>
      <c r="OM289" s="30"/>
      <c r="ON289" s="30"/>
      <c r="OO289" s="30"/>
      <c r="OP289" s="30"/>
      <c r="OQ289" s="30"/>
      <c r="OR289" s="30"/>
      <c r="OS289" s="30"/>
      <c r="OT289" s="30"/>
      <c r="OU289" s="30"/>
      <c r="OV289" s="30"/>
      <c r="OW289" s="30"/>
      <c r="OX289" s="30"/>
      <c r="OY289" s="30"/>
      <c r="OZ289" s="30"/>
      <c r="PA289" s="30"/>
      <c r="PB289" s="30"/>
      <c r="PC289" s="30"/>
      <c r="PD289" s="30"/>
      <c r="PE289" s="30"/>
      <c r="PF289" s="30"/>
      <c r="PG289" s="30"/>
      <c r="PH289" s="30"/>
      <c r="PI289" s="30"/>
      <c r="PJ289" s="30"/>
      <c r="PK289" s="30"/>
      <c r="PL289" s="30"/>
      <c r="PM289" s="30"/>
      <c r="PN289" s="30"/>
      <c r="PO289" s="30"/>
      <c r="PP289" s="30"/>
      <c r="PQ289" s="30"/>
      <c r="PR289" s="30"/>
      <c r="PS289" s="30"/>
      <c r="PT289" s="30"/>
      <c r="PU289" s="30"/>
      <c r="PV289" s="30"/>
      <c r="PW289" s="30"/>
      <c r="PX289" s="30"/>
      <c r="PY289" s="30"/>
      <c r="PZ289" s="30"/>
      <c r="QA289" s="30"/>
      <c r="QB289" s="30"/>
      <c r="QC289" s="30"/>
      <c r="QD289" s="30"/>
      <c r="QE289" s="30"/>
      <c r="QF289" s="30"/>
      <c r="QG289" s="30"/>
      <c r="QH289" s="30"/>
      <c r="QI289" s="30"/>
      <c r="QJ289" s="30"/>
      <c r="QK289" s="30"/>
      <c r="QL289" s="30"/>
      <c r="QM289" s="30"/>
      <c r="QN289" s="30"/>
      <c r="QO289" s="30"/>
      <c r="QP289" s="30"/>
      <c r="QQ289" s="30"/>
      <c r="QR289" s="30"/>
      <c r="QS289" s="30"/>
      <c r="QT289" s="30"/>
      <c r="QU289" s="30"/>
      <c r="QV289" s="30"/>
      <c r="QW289" s="30"/>
      <c r="QX289" s="30"/>
      <c r="QY289" s="30"/>
      <c r="QZ289" s="30"/>
      <c r="RA289" s="30"/>
      <c r="RB289" s="30"/>
      <c r="RC289" s="30"/>
      <c r="RD289" s="30"/>
      <c r="RE289" s="30"/>
      <c r="RF289" s="30"/>
      <c r="RG289" s="30"/>
      <c r="RH289" s="30"/>
      <c r="RI289" s="30"/>
      <c r="RJ289" s="30"/>
      <c r="RK289" s="30"/>
      <c r="RL289" s="30"/>
      <c r="RM289" s="30"/>
      <c r="RN289" s="30"/>
      <c r="RO289" s="30"/>
      <c r="RP289" s="30"/>
      <c r="RQ289" s="30"/>
      <c r="RR289" s="30"/>
      <c r="RS289" s="30"/>
      <c r="RT289" s="30"/>
      <c r="RU289" s="30"/>
      <c r="RV289" s="30"/>
      <c r="RW289" s="30"/>
      <c r="RX289" s="30"/>
      <c r="RY289" s="30"/>
      <c r="RZ289" s="30"/>
      <c r="SA289" s="30"/>
      <c r="SB289" s="30"/>
      <c r="SC289" s="30"/>
      <c r="SD289" s="30"/>
      <c r="SE289" s="30"/>
      <c r="SF289" s="30"/>
      <c r="SG289" s="30"/>
      <c r="SH289" s="30"/>
      <c r="SI289" s="30"/>
      <c r="SJ289" s="30"/>
      <c r="SK289" s="30"/>
      <c r="SL289" s="30"/>
      <c r="SM289" s="30"/>
      <c r="SN289" s="30"/>
      <c r="SO289" s="30"/>
      <c r="SP289" s="30"/>
      <c r="SQ289" s="30"/>
      <c r="SR289" s="30"/>
      <c r="SS289" s="30"/>
      <c r="ST289" s="30"/>
      <c r="SU289" s="30"/>
      <c r="SV289" s="30"/>
      <c r="SW289" s="30"/>
      <c r="SX289" s="30"/>
      <c r="SY289" s="30"/>
      <c r="SZ289" s="30"/>
      <c r="TA289" s="30"/>
      <c r="TB289" s="30"/>
      <c r="TC289" s="30"/>
      <c r="TD289" s="30"/>
      <c r="TE289" s="30"/>
      <c r="TF289" s="30"/>
      <c r="TG289" s="30"/>
    </row>
    <row r="290" spans="1:527" s="22" customFormat="1" ht="126" hidden="1" customHeight="1" x14ac:dyDescent="0.25">
      <c r="A290" s="59" t="s">
        <v>369</v>
      </c>
      <c r="B290" s="92">
        <v>7691</v>
      </c>
      <c r="C290" s="37" t="s">
        <v>82</v>
      </c>
      <c r="D290" s="60" t="s">
        <v>314</v>
      </c>
      <c r="E290" s="98">
        <f t="shared" si="137"/>
        <v>0</v>
      </c>
      <c r="F290" s="98"/>
      <c r="G290" s="98"/>
      <c r="H290" s="98"/>
      <c r="I290" s="98"/>
      <c r="J290" s="98">
        <f t="shared" si="139"/>
        <v>0</v>
      </c>
      <c r="K290" s="98"/>
      <c r="L290" s="112"/>
      <c r="M290" s="98"/>
      <c r="N290" s="98"/>
      <c r="O290" s="98"/>
      <c r="P290" s="98">
        <f t="shared" si="138"/>
        <v>0</v>
      </c>
      <c r="Q290" s="23"/>
      <c r="R290" s="32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</row>
    <row r="291" spans="1:527" s="22" customFormat="1" ht="33.75" customHeight="1" x14ac:dyDescent="0.25">
      <c r="A291" s="59" t="s">
        <v>527</v>
      </c>
      <c r="B291" s="92">
        <v>9750</v>
      </c>
      <c r="C291" s="59" t="s">
        <v>45</v>
      </c>
      <c r="D291" s="60" t="s">
        <v>528</v>
      </c>
      <c r="E291" s="98">
        <f t="shared" ref="E291" si="144">F291+I291</f>
        <v>0</v>
      </c>
      <c r="F291" s="98"/>
      <c r="G291" s="98"/>
      <c r="H291" s="98"/>
      <c r="I291" s="98"/>
      <c r="J291" s="98">
        <f t="shared" ref="J291" si="145">L291+O291</f>
        <v>86000</v>
      </c>
      <c r="K291" s="98">
        <v>86000</v>
      </c>
      <c r="L291" s="112"/>
      <c r="M291" s="98"/>
      <c r="N291" s="98"/>
      <c r="O291" s="98">
        <v>86000</v>
      </c>
      <c r="P291" s="98">
        <f t="shared" ref="P291" si="146">E291+J291</f>
        <v>86000</v>
      </c>
      <c r="Q291" s="23"/>
      <c r="R291" s="32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</row>
    <row r="292" spans="1:527" s="27" customFormat="1" ht="30.75" customHeight="1" x14ac:dyDescent="0.25">
      <c r="A292" s="109" t="s">
        <v>207</v>
      </c>
      <c r="B292" s="111"/>
      <c r="C292" s="111"/>
      <c r="D292" s="106" t="s">
        <v>40</v>
      </c>
      <c r="E292" s="94">
        <f>E293</f>
        <v>11950107</v>
      </c>
      <c r="F292" s="94">
        <f t="shared" ref="F292:J292" si="147">F293</f>
        <v>11950107</v>
      </c>
      <c r="G292" s="94">
        <f t="shared" si="147"/>
        <v>7340700</v>
      </c>
      <c r="H292" s="94">
        <f t="shared" si="147"/>
        <v>137522</v>
      </c>
      <c r="I292" s="94">
        <f t="shared" si="147"/>
        <v>0</v>
      </c>
      <c r="J292" s="94">
        <f t="shared" si="147"/>
        <v>2596250.2999999998</v>
      </c>
      <c r="K292" s="94">
        <f t="shared" ref="K292" si="148">K293</f>
        <v>0</v>
      </c>
      <c r="L292" s="94">
        <f t="shared" ref="L292" si="149">L293</f>
        <v>2596250.2999999998</v>
      </c>
      <c r="M292" s="94">
        <f t="shared" ref="M292" si="150">M293</f>
        <v>0</v>
      </c>
      <c r="N292" s="94">
        <f t="shared" ref="N292" si="151">N293</f>
        <v>0</v>
      </c>
      <c r="O292" s="94">
        <f t="shared" ref="O292:P292" si="152">O293</f>
        <v>0</v>
      </c>
      <c r="P292" s="94">
        <f t="shared" si="152"/>
        <v>14546357.300000001</v>
      </c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  <c r="IT292" s="32"/>
      <c r="IU292" s="32"/>
      <c r="IV292" s="32"/>
      <c r="IW292" s="32"/>
      <c r="IX292" s="32"/>
      <c r="IY292" s="32"/>
      <c r="IZ292" s="32"/>
      <c r="JA292" s="32"/>
      <c r="JB292" s="32"/>
      <c r="JC292" s="32"/>
      <c r="JD292" s="32"/>
      <c r="JE292" s="32"/>
      <c r="JF292" s="32"/>
      <c r="JG292" s="32"/>
      <c r="JH292" s="32"/>
      <c r="JI292" s="32"/>
      <c r="JJ292" s="32"/>
      <c r="JK292" s="32"/>
      <c r="JL292" s="32"/>
      <c r="JM292" s="32"/>
      <c r="JN292" s="32"/>
      <c r="JO292" s="32"/>
      <c r="JP292" s="32"/>
      <c r="JQ292" s="32"/>
      <c r="JR292" s="32"/>
      <c r="JS292" s="32"/>
      <c r="JT292" s="32"/>
      <c r="JU292" s="32"/>
      <c r="JV292" s="32"/>
      <c r="JW292" s="32"/>
      <c r="JX292" s="32"/>
      <c r="JY292" s="32"/>
      <c r="JZ292" s="32"/>
      <c r="KA292" s="32"/>
      <c r="KB292" s="32"/>
      <c r="KC292" s="32"/>
      <c r="KD292" s="32"/>
      <c r="KE292" s="32"/>
      <c r="KF292" s="32"/>
      <c r="KG292" s="32"/>
      <c r="KH292" s="32"/>
      <c r="KI292" s="32"/>
      <c r="KJ292" s="32"/>
      <c r="KK292" s="32"/>
      <c r="KL292" s="32"/>
      <c r="KM292" s="32"/>
      <c r="KN292" s="32"/>
      <c r="KO292" s="32"/>
      <c r="KP292" s="32"/>
      <c r="KQ292" s="32"/>
      <c r="KR292" s="32"/>
      <c r="KS292" s="32"/>
      <c r="KT292" s="32"/>
      <c r="KU292" s="32"/>
      <c r="KV292" s="32"/>
      <c r="KW292" s="32"/>
      <c r="KX292" s="32"/>
      <c r="KY292" s="32"/>
      <c r="KZ292" s="32"/>
      <c r="LA292" s="32"/>
      <c r="LB292" s="32"/>
      <c r="LC292" s="32"/>
      <c r="LD292" s="32"/>
      <c r="LE292" s="32"/>
      <c r="LF292" s="32"/>
      <c r="LG292" s="32"/>
      <c r="LH292" s="32"/>
      <c r="LI292" s="32"/>
      <c r="LJ292" s="32"/>
      <c r="LK292" s="32"/>
      <c r="LL292" s="32"/>
      <c r="LM292" s="32"/>
      <c r="LN292" s="32"/>
      <c r="LO292" s="32"/>
      <c r="LP292" s="32"/>
      <c r="LQ292" s="32"/>
      <c r="LR292" s="32"/>
      <c r="LS292" s="32"/>
      <c r="LT292" s="32"/>
      <c r="LU292" s="32"/>
      <c r="LV292" s="32"/>
      <c r="LW292" s="32"/>
      <c r="LX292" s="32"/>
      <c r="LY292" s="32"/>
      <c r="LZ292" s="32"/>
      <c r="MA292" s="32"/>
      <c r="MB292" s="32"/>
      <c r="MC292" s="32"/>
      <c r="MD292" s="32"/>
      <c r="ME292" s="32"/>
      <c r="MF292" s="32"/>
      <c r="MG292" s="32"/>
      <c r="MH292" s="32"/>
      <c r="MI292" s="32"/>
      <c r="MJ292" s="32"/>
      <c r="MK292" s="32"/>
      <c r="ML292" s="32"/>
      <c r="MM292" s="32"/>
      <c r="MN292" s="32"/>
      <c r="MO292" s="32"/>
      <c r="MP292" s="32"/>
      <c r="MQ292" s="32"/>
      <c r="MR292" s="32"/>
      <c r="MS292" s="32"/>
      <c r="MT292" s="32"/>
      <c r="MU292" s="32"/>
      <c r="MV292" s="32"/>
      <c r="MW292" s="32"/>
      <c r="MX292" s="32"/>
      <c r="MY292" s="32"/>
      <c r="MZ292" s="32"/>
      <c r="NA292" s="32"/>
      <c r="NB292" s="32"/>
      <c r="NC292" s="32"/>
      <c r="ND292" s="32"/>
      <c r="NE292" s="32"/>
      <c r="NF292" s="32"/>
      <c r="NG292" s="32"/>
      <c r="NH292" s="32"/>
      <c r="NI292" s="32"/>
      <c r="NJ292" s="32"/>
      <c r="NK292" s="32"/>
      <c r="NL292" s="32"/>
      <c r="NM292" s="32"/>
      <c r="NN292" s="32"/>
      <c r="NO292" s="32"/>
      <c r="NP292" s="32"/>
      <c r="NQ292" s="32"/>
      <c r="NR292" s="32"/>
      <c r="NS292" s="32"/>
      <c r="NT292" s="32"/>
      <c r="NU292" s="32"/>
      <c r="NV292" s="32"/>
      <c r="NW292" s="32"/>
      <c r="NX292" s="32"/>
      <c r="NY292" s="32"/>
      <c r="NZ292" s="32"/>
      <c r="OA292" s="32"/>
      <c r="OB292" s="32"/>
      <c r="OC292" s="32"/>
      <c r="OD292" s="32"/>
      <c r="OE292" s="32"/>
      <c r="OF292" s="32"/>
      <c r="OG292" s="32"/>
      <c r="OH292" s="32"/>
      <c r="OI292" s="32"/>
      <c r="OJ292" s="32"/>
      <c r="OK292" s="32"/>
      <c r="OL292" s="32"/>
      <c r="OM292" s="32"/>
      <c r="ON292" s="32"/>
      <c r="OO292" s="32"/>
      <c r="OP292" s="32"/>
      <c r="OQ292" s="32"/>
      <c r="OR292" s="32"/>
      <c r="OS292" s="32"/>
      <c r="OT292" s="32"/>
      <c r="OU292" s="32"/>
      <c r="OV292" s="32"/>
      <c r="OW292" s="32"/>
      <c r="OX292" s="32"/>
      <c r="OY292" s="32"/>
      <c r="OZ292" s="32"/>
      <c r="PA292" s="32"/>
      <c r="PB292" s="32"/>
      <c r="PC292" s="32"/>
      <c r="PD292" s="32"/>
      <c r="PE292" s="32"/>
      <c r="PF292" s="32"/>
      <c r="PG292" s="32"/>
      <c r="PH292" s="32"/>
      <c r="PI292" s="32"/>
      <c r="PJ292" s="32"/>
      <c r="PK292" s="32"/>
      <c r="PL292" s="32"/>
      <c r="PM292" s="32"/>
      <c r="PN292" s="32"/>
      <c r="PO292" s="32"/>
      <c r="PP292" s="32"/>
      <c r="PQ292" s="32"/>
      <c r="PR292" s="32"/>
      <c r="PS292" s="32"/>
      <c r="PT292" s="32"/>
      <c r="PU292" s="32"/>
      <c r="PV292" s="32"/>
      <c r="PW292" s="32"/>
      <c r="PX292" s="32"/>
      <c r="PY292" s="32"/>
      <c r="PZ292" s="32"/>
      <c r="QA292" s="32"/>
      <c r="QB292" s="32"/>
      <c r="QC292" s="32"/>
      <c r="QD292" s="32"/>
      <c r="QE292" s="32"/>
      <c r="QF292" s="32"/>
      <c r="QG292" s="32"/>
      <c r="QH292" s="32"/>
      <c r="QI292" s="32"/>
      <c r="QJ292" s="32"/>
      <c r="QK292" s="32"/>
      <c r="QL292" s="32"/>
      <c r="QM292" s="32"/>
      <c r="QN292" s="32"/>
      <c r="QO292" s="32"/>
      <c r="QP292" s="32"/>
      <c r="QQ292" s="32"/>
      <c r="QR292" s="32"/>
      <c r="QS292" s="32"/>
      <c r="QT292" s="32"/>
      <c r="QU292" s="32"/>
      <c r="QV292" s="32"/>
      <c r="QW292" s="32"/>
      <c r="QX292" s="32"/>
      <c r="QY292" s="32"/>
      <c r="QZ292" s="32"/>
      <c r="RA292" s="32"/>
      <c r="RB292" s="32"/>
      <c r="RC292" s="32"/>
      <c r="RD292" s="32"/>
      <c r="RE292" s="32"/>
      <c r="RF292" s="32"/>
      <c r="RG292" s="32"/>
      <c r="RH292" s="32"/>
      <c r="RI292" s="32"/>
      <c r="RJ292" s="32"/>
      <c r="RK292" s="32"/>
      <c r="RL292" s="32"/>
      <c r="RM292" s="32"/>
      <c r="RN292" s="32"/>
      <c r="RO292" s="32"/>
      <c r="RP292" s="32"/>
      <c r="RQ292" s="32"/>
      <c r="RR292" s="32"/>
      <c r="RS292" s="32"/>
      <c r="RT292" s="32"/>
      <c r="RU292" s="32"/>
      <c r="RV292" s="32"/>
      <c r="RW292" s="32"/>
      <c r="RX292" s="32"/>
      <c r="RY292" s="32"/>
      <c r="RZ292" s="32"/>
      <c r="SA292" s="32"/>
      <c r="SB292" s="32"/>
      <c r="SC292" s="32"/>
      <c r="SD292" s="32"/>
      <c r="SE292" s="32"/>
      <c r="SF292" s="32"/>
      <c r="SG292" s="32"/>
      <c r="SH292" s="32"/>
      <c r="SI292" s="32"/>
      <c r="SJ292" s="32"/>
      <c r="SK292" s="32"/>
      <c r="SL292" s="32"/>
      <c r="SM292" s="32"/>
      <c r="SN292" s="32"/>
      <c r="SO292" s="32"/>
      <c r="SP292" s="32"/>
      <c r="SQ292" s="32"/>
      <c r="SR292" s="32"/>
      <c r="SS292" s="32"/>
      <c r="ST292" s="32"/>
      <c r="SU292" s="32"/>
      <c r="SV292" s="32"/>
      <c r="SW292" s="32"/>
      <c r="SX292" s="32"/>
      <c r="SY292" s="32"/>
      <c r="SZ292" s="32"/>
      <c r="TA292" s="32"/>
      <c r="TB292" s="32"/>
      <c r="TC292" s="32"/>
      <c r="TD292" s="32"/>
      <c r="TE292" s="32"/>
      <c r="TF292" s="32"/>
      <c r="TG292" s="32"/>
    </row>
    <row r="293" spans="1:527" s="34" customFormat="1" ht="35.25" customHeight="1" x14ac:dyDescent="0.25">
      <c r="A293" s="95" t="s">
        <v>208</v>
      </c>
      <c r="B293" s="108"/>
      <c r="C293" s="108"/>
      <c r="D293" s="76" t="s">
        <v>40</v>
      </c>
      <c r="E293" s="97">
        <f>E294+E295+E296+E297+E298</f>
        <v>11950107</v>
      </c>
      <c r="F293" s="97">
        <f>F294+F295+F296+F297+F298</f>
        <v>11950107</v>
      </c>
      <c r="G293" s="97">
        <f t="shared" ref="G293:P293" si="153">G294+G295+G296+G297+G298</f>
        <v>7340700</v>
      </c>
      <c r="H293" s="97">
        <f t="shared" si="153"/>
        <v>137522</v>
      </c>
      <c r="I293" s="97">
        <f t="shared" si="153"/>
        <v>0</v>
      </c>
      <c r="J293" s="97">
        <f t="shared" si="153"/>
        <v>2596250.2999999998</v>
      </c>
      <c r="K293" s="97">
        <f t="shared" si="153"/>
        <v>0</v>
      </c>
      <c r="L293" s="97">
        <f t="shared" si="153"/>
        <v>2596250.2999999998</v>
      </c>
      <c r="M293" s="97">
        <f t="shared" si="153"/>
        <v>0</v>
      </c>
      <c r="N293" s="97">
        <f t="shared" si="153"/>
        <v>0</v>
      </c>
      <c r="O293" s="97">
        <f t="shared" si="153"/>
        <v>0</v>
      </c>
      <c r="P293" s="97">
        <f t="shared" si="153"/>
        <v>14546357.300000001</v>
      </c>
      <c r="Q293" s="33"/>
      <c r="R293" s="32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3"/>
      <c r="HT293" s="33"/>
      <c r="HU293" s="33"/>
      <c r="HV293" s="33"/>
      <c r="HW293" s="33"/>
      <c r="HX293" s="33"/>
      <c r="HY293" s="33"/>
      <c r="HZ293" s="33"/>
      <c r="IA293" s="33"/>
      <c r="IB293" s="33"/>
      <c r="IC293" s="33"/>
      <c r="ID293" s="33"/>
      <c r="IE293" s="33"/>
      <c r="IF293" s="33"/>
      <c r="IG293" s="33"/>
      <c r="IH293" s="33"/>
      <c r="II293" s="33"/>
      <c r="IJ293" s="33"/>
      <c r="IK293" s="33"/>
      <c r="IL293" s="33"/>
      <c r="IM293" s="33"/>
      <c r="IN293" s="33"/>
      <c r="IO293" s="33"/>
      <c r="IP293" s="33"/>
      <c r="IQ293" s="33"/>
      <c r="IR293" s="33"/>
      <c r="IS293" s="33"/>
      <c r="IT293" s="33"/>
      <c r="IU293" s="33"/>
      <c r="IV293" s="33"/>
      <c r="IW293" s="33"/>
      <c r="IX293" s="33"/>
      <c r="IY293" s="33"/>
      <c r="IZ293" s="33"/>
      <c r="JA293" s="33"/>
      <c r="JB293" s="33"/>
      <c r="JC293" s="33"/>
      <c r="JD293" s="33"/>
      <c r="JE293" s="33"/>
      <c r="JF293" s="33"/>
      <c r="JG293" s="33"/>
      <c r="JH293" s="33"/>
      <c r="JI293" s="33"/>
      <c r="JJ293" s="33"/>
      <c r="JK293" s="33"/>
      <c r="JL293" s="33"/>
      <c r="JM293" s="33"/>
      <c r="JN293" s="33"/>
      <c r="JO293" s="33"/>
      <c r="JP293" s="33"/>
      <c r="JQ293" s="33"/>
      <c r="JR293" s="33"/>
      <c r="JS293" s="33"/>
      <c r="JT293" s="33"/>
      <c r="JU293" s="33"/>
      <c r="JV293" s="33"/>
      <c r="JW293" s="33"/>
      <c r="JX293" s="33"/>
      <c r="JY293" s="33"/>
      <c r="JZ293" s="33"/>
      <c r="KA293" s="33"/>
      <c r="KB293" s="33"/>
      <c r="KC293" s="33"/>
      <c r="KD293" s="33"/>
      <c r="KE293" s="33"/>
      <c r="KF293" s="33"/>
      <c r="KG293" s="33"/>
      <c r="KH293" s="33"/>
      <c r="KI293" s="33"/>
      <c r="KJ293" s="33"/>
      <c r="KK293" s="33"/>
      <c r="KL293" s="33"/>
      <c r="KM293" s="33"/>
      <c r="KN293" s="33"/>
      <c r="KO293" s="33"/>
      <c r="KP293" s="33"/>
      <c r="KQ293" s="33"/>
      <c r="KR293" s="33"/>
      <c r="KS293" s="33"/>
      <c r="KT293" s="33"/>
      <c r="KU293" s="33"/>
      <c r="KV293" s="33"/>
      <c r="KW293" s="33"/>
      <c r="KX293" s="33"/>
      <c r="KY293" s="33"/>
      <c r="KZ293" s="33"/>
      <c r="LA293" s="33"/>
      <c r="LB293" s="33"/>
      <c r="LC293" s="33"/>
      <c r="LD293" s="33"/>
      <c r="LE293" s="33"/>
      <c r="LF293" s="33"/>
      <c r="LG293" s="33"/>
      <c r="LH293" s="33"/>
      <c r="LI293" s="33"/>
      <c r="LJ293" s="33"/>
      <c r="LK293" s="33"/>
      <c r="LL293" s="33"/>
      <c r="LM293" s="33"/>
      <c r="LN293" s="33"/>
      <c r="LO293" s="33"/>
      <c r="LP293" s="33"/>
      <c r="LQ293" s="33"/>
      <c r="LR293" s="33"/>
      <c r="LS293" s="33"/>
      <c r="LT293" s="33"/>
      <c r="LU293" s="33"/>
      <c r="LV293" s="33"/>
      <c r="LW293" s="33"/>
      <c r="LX293" s="33"/>
      <c r="LY293" s="33"/>
      <c r="LZ293" s="33"/>
      <c r="MA293" s="33"/>
      <c r="MB293" s="33"/>
      <c r="MC293" s="33"/>
      <c r="MD293" s="33"/>
      <c r="ME293" s="33"/>
      <c r="MF293" s="33"/>
      <c r="MG293" s="33"/>
      <c r="MH293" s="33"/>
      <c r="MI293" s="33"/>
      <c r="MJ293" s="33"/>
      <c r="MK293" s="33"/>
      <c r="ML293" s="33"/>
      <c r="MM293" s="33"/>
      <c r="MN293" s="33"/>
      <c r="MO293" s="33"/>
      <c r="MP293" s="33"/>
      <c r="MQ293" s="33"/>
      <c r="MR293" s="33"/>
      <c r="MS293" s="33"/>
      <c r="MT293" s="33"/>
      <c r="MU293" s="33"/>
      <c r="MV293" s="33"/>
      <c r="MW293" s="33"/>
      <c r="MX293" s="33"/>
      <c r="MY293" s="33"/>
      <c r="MZ293" s="33"/>
      <c r="NA293" s="33"/>
      <c r="NB293" s="33"/>
      <c r="NC293" s="33"/>
      <c r="ND293" s="33"/>
      <c r="NE293" s="33"/>
      <c r="NF293" s="33"/>
      <c r="NG293" s="33"/>
      <c r="NH293" s="33"/>
      <c r="NI293" s="33"/>
      <c r="NJ293" s="33"/>
      <c r="NK293" s="33"/>
      <c r="NL293" s="33"/>
      <c r="NM293" s="33"/>
      <c r="NN293" s="33"/>
      <c r="NO293" s="33"/>
      <c r="NP293" s="33"/>
      <c r="NQ293" s="33"/>
      <c r="NR293" s="33"/>
      <c r="NS293" s="33"/>
      <c r="NT293" s="33"/>
      <c r="NU293" s="33"/>
      <c r="NV293" s="33"/>
      <c r="NW293" s="33"/>
      <c r="NX293" s="33"/>
      <c r="NY293" s="33"/>
      <c r="NZ293" s="33"/>
      <c r="OA293" s="33"/>
      <c r="OB293" s="33"/>
      <c r="OC293" s="33"/>
      <c r="OD293" s="33"/>
      <c r="OE293" s="33"/>
      <c r="OF293" s="33"/>
      <c r="OG293" s="33"/>
      <c r="OH293" s="33"/>
      <c r="OI293" s="33"/>
      <c r="OJ293" s="33"/>
      <c r="OK293" s="33"/>
      <c r="OL293" s="33"/>
      <c r="OM293" s="33"/>
      <c r="ON293" s="33"/>
      <c r="OO293" s="33"/>
      <c r="OP293" s="33"/>
      <c r="OQ293" s="33"/>
      <c r="OR293" s="33"/>
      <c r="OS293" s="33"/>
      <c r="OT293" s="33"/>
      <c r="OU293" s="33"/>
      <c r="OV293" s="33"/>
      <c r="OW293" s="33"/>
      <c r="OX293" s="33"/>
      <c r="OY293" s="33"/>
      <c r="OZ293" s="33"/>
      <c r="PA293" s="33"/>
      <c r="PB293" s="33"/>
      <c r="PC293" s="33"/>
      <c r="PD293" s="33"/>
      <c r="PE293" s="33"/>
      <c r="PF293" s="33"/>
      <c r="PG293" s="33"/>
      <c r="PH293" s="33"/>
      <c r="PI293" s="33"/>
      <c r="PJ293" s="33"/>
      <c r="PK293" s="33"/>
      <c r="PL293" s="33"/>
      <c r="PM293" s="33"/>
      <c r="PN293" s="33"/>
      <c r="PO293" s="33"/>
      <c r="PP293" s="33"/>
      <c r="PQ293" s="33"/>
      <c r="PR293" s="33"/>
      <c r="PS293" s="33"/>
      <c r="PT293" s="33"/>
      <c r="PU293" s="33"/>
      <c r="PV293" s="33"/>
      <c r="PW293" s="33"/>
      <c r="PX293" s="33"/>
      <c r="PY293" s="33"/>
      <c r="PZ293" s="33"/>
      <c r="QA293" s="33"/>
      <c r="QB293" s="33"/>
      <c r="QC293" s="33"/>
      <c r="QD293" s="33"/>
      <c r="QE293" s="33"/>
      <c r="QF293" s="33"/>
      <c r="QG293" s="33"/>
      <c r="QH293" s="33"/>
      <c r="QI293" s="33"/>
      <c r="QJ293" s="33"/>
      <c r="QK293" s="33"/>
      <c r="QL293" s="33"/>
      <c r="QM293" s="33"/>
      <c r="QN293" s="33"/>
      <c r="QO293" s="33"/>
      <c r="QP293" s="33"/>
      <c r="QQ293" s="33"/>
      <c r="QR293" s="33"/>
      <c r="QS293" s="33"/>
      <c r="QT293" s="33"/>
      <c r="QU293" s="33"/>
      <c r="QV293" s="33"/>
      <c r="QW293" s="33"/>
      <c r="QX293" s="33"/>
      <c r="QY293" s="33"/>
      <c r="QZ293" s="33"/>
      <c r="RA293" s="33"/>
      <c r="RB293" s="33"/>
      <c r="RC293" s="33"/>
      <c r="RD293" s="33"/>
      <c r="RE293" s="33"/>
      <c r="RF293" s="33"/>
      <c r="RG293" s="33"/>
      <c r="RH293" s="33"/>
      <c r="RI293" s="33"/>
      <c r="RJ293" s="33"/>
      <c r="RK293" s="33"/>
      <c r="RL293" s="33"/>
      <c r="RM293" s="33"/>
      <c r="RN293" s="33"/>
      <c r="RO293" s="33"/>
      <c r="RP293" s="33"/>
      <c r="RQ293" s="33"/>
      <c r="RR293" s="33"/>
      <c r="RS293" s="33"/>
      <c r="RT293" s="33"/>
      <c r="RU293" s="33"/>
      <c r="RV293" s="33"/>
      <c r="RW293" s="33"/>
      <c r="RX293" s="33"/>
      <c r="RY293" s="33"/>
      <c r="RZ293" s="33"/>
      <c r="SA293" s="33"/>
      <c r="SB293" s="33"/>
      <c r="SC293" s="33"/>
      <c r="SD293" s="33"/>
      <c r="SE293" s="33"/>
      <c r="SF293" s="33"/>
      <c r="SG293" s="33"/>
      <c r="SH293" s="33"/>
      <c r="SI293" s="33"/>
      <c r="SJ293" s="33"/>
      <c r="SK293" s="33"/>
      <c r="SL293" s="33"/>
      <c r="SM293" s="33"/>
      <c r="SN293" s="33"/>
      <c r="SO293" s="33"/>
      <c r="SP293" s="33"/>
      <c r="SQ293" s="33"/>
      <c r="SR293" s="33"/>
      <c r="SS293" s="33"/>
      <c r="ST293" s="33"/>
      <c r="SU293" s="33"/>
      <c r="SV293" s="33"/>
      <c r="SW293" s="33"/>
      <c r="SX293" s="33"/>
      <c r="SY293" s="33"/>
      <c r="SZ293" s="33"/>
      <c r="TA293" s="33"/>
      <c r="TB293" s="33"/>
      <c r="TC293" s="33"/>
      <c r="TD293" s="33"/>
      <c r="TE293" s="33"/>
      <c r="TF293" s="33"/>
      <c r="TG293" s="33"/>
    </row>
    <row r="294" spans="1:527" s="22" customFormat="1" ht="47.25" x14ac:dyDescent="0.25">
      <c r="A294" s="59" t="s">
        <v>209</v>
      </c>
      <c r="B294" s="92" t="str">
        <f>'дод 7'!A19</f>
        <v>0160</v>
      </c>
      <c r="C294" s="92" t="str">
        <f>'дод 7'!B19</f>
        <v>0111</v>
      </c>
      <c r="D294" s="36" t="s">
        <v>493</v>
      </c>
      <c r="E294" s="98">
        <f>F294+I294</f>
        <v>9514841</v>
      </c>
      <c r="F294" s="98">
        <f>9390500+40922+48490+29329+5600</f>
        <v>9514841</v>
      </c>
      <c r="G294" s="98">
        <f>7405200-64500</f>
        <v>7340700</v>
      </c>
      <c r="H294" s="98">
        <f>86000+40922+5600+5000</f>
        <v>137522</v>
      </c>
      <c r="I294" s="98"/>
      <c r="J294" s="98">
        <f t="shared" si="139"/>
        <v>0</v>
      </c>
      <c r="K294" s="98"/>
      <c r="L294" s="98"/>
      <c r="M294" s="98"/>
      <c r="N294" s="98"/>
      <c r="O294" s="98"/>
      <c r="P294" s="98">
        <f>E294+J294</f>
        <v>9514841</v>
      </c>
      <c r="Q294" s="23"/>
      <c r="R294" s="32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  <c r="TF294" s="23"/>
      <c r="TG294" s="23"/>
    </row>
    <row r="295" spans="1:527" s="22" customFormat="1" ht="31.5" x14ac:dyDescent="0.25">
      <c r="A295" s="59" t="s">
        <v>311</v>
      </c>
      <c r="B295" s="92" t="str">
        <f>'дод 7'!A166</f>
        <v>6090</v>
      </c>
      <c r="C295" s="92" t="str">
        <f>'дод 7'!B166</f>
        <v>0640</v>
      </c>
      <c r="D295" s="60" t="str">
        <f>'дод 7'!C166</f>
        <v>Інша діяльність у сфері житлово-комунального господарства</v>
      </c>
      <c r="E295" s="98">
        <f>F295+I295</f>
        <v>175000</v>
      </c>
      <c r="F295" s="98">
        <v>175000</v>
      </c>
      <c r="G295" s="98"/>
      <c r="H295" s="98"/>
      <c r="I295" s="98"/>
      <c r="J295" s="98">
        <f t="shared" si="139"/>
        <v>0</v>
      </c>
      <c r="K295" s="98"/>
      <c r="L295" s="98"/>
      <c r="M295" s="98"/>
      <c r="N295" s="98"/>
      <c r="O295" s="98"/>
      <c r="P295" s="98">
        <f>E295+J295</f>
        <v>175000</v>
      </c>
      <c r="Q295" s="23"/>
      <c r="R295" s="32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  <c r="TF295" s="23"/>
      <c r="TG295" s="23"/>
    </row>
    <row r="296" spans="1:527" s="22" customFormat="1" ht="31.5" hidden="1" x14ac:dyDescent="0.25">
      <c r="A296" s="59" t="s">
        <v>457</v>
      </c>
      <c r="B296" s="59" t="s">
        <v>458</v>
      </c>
      <c r="C296" s="59" t="s">
        <v>111</v>
      </c>
      <c r="D296" s="60" t="s">
        <v>459</v>
      </c>
      <c r="E296" s="98">
        <f>F296+I296</f>
        <v>0</v>
      </c>
      <c r="F296" s="98"/>
      <c r="G296" s="98"/>
      <c r="H296" s="98"/>
      <c r="I296" s="98"/>
      <c r="J296" s="98">
        <f t="shared" si="139"/>
        <v>0</v>
      </c>
      <c r="K296" s="98">
        <f>900000-900000</f>
        <v>0</v>
      </c>
      <c r="L296" s="98"/>
      <c r="M296" s="98"/>
      <c r="N296" s="98"/>
      <c r="O296" s="98">
        <f>900000-900000</f>
        <v>0</v>
      </c>
      <c r="P296" s="98">
        <f>E296+J296</f>
        <v>0</v>
      </c>
      <c r="Q296" s="23"/>
      <c r="R296" s="32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  <c r="TF296" s="23"/>
      <c r="TG296" s="23"/>
    </row>
    <row r="297" spans="1:527" s="22" customFormat="1" ht="31.5" x14ac:dyDescent="0.25">
      <c r="A297" s="59" t="s">
        <v>553</v>
      </c>
      <c r="B297" s="59" t="s">
        <v>554</v>
      </c>
      <c r="C297" s="59" t="s">
        <v>82</v>
      </c>
      <c r="D297" s="60" t="s">
        <v>431</v>
      </c>
      <c r="E297" s="98">
        <f>F297+I297</f>
        <v>2260266</v>
      </c>
      <c r="F297" s="98">
        <f>1360266+900000</f>
        <v>2260266</v>
      </c>
      <c r="G297" s="98"/>
      <c r="H297" s="98"/>
      <c r="I297" s="98"/>
      <c r="J297" s="98">
        <f t="shared" ref="J297" si="154">L297+O297</f>
        <v>0</v>
      </c>
      <c r="K297" s="98"/>
      <c r="L297" s="98"/>
      <c r="M297" s="98"/>
      <c r="N297" s="98"/>
      <c r="O297" s="98"/>
      <c r="P297" s="98">
        <f>E297+J297</f>
        <v>2260266</v>
      </c>
      <c r="Q297" s="23"/>
      <c r="R297" s="32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  <c r="IW297" s="23"/>
      <c r="IX297" s="23"/>
      <c r="IY297" s="23"/>
      <c r="IZ297" s="23"/>
      <c r="JA297" s="23"/>
      <c r="JB297" s="23"/>
      <c r="JC297" s="23"/>
      <c r="JD297" s="23"/>
      <c r="JE297" s="23"/>
      <c r="JF297" s="23"/>
      <c r="JG297" s="23"/>
      <c r="JH297" s="23"/>
      <c r="JI297" s="23"/>
      <c r="JJ297" s="23"/>
      <c r="JK297" s="23"/>
      <c r="JL297" s="23"/>
      <c r="JM297" s="23"/>
      <c r="JN297" s="23"/>
      <c r="JO297" s="23"/>
      <c r="JP297" s="23"/>
      <c r="JQ297" s="23"/>
      <c r="JR297" s="23"/>
      <c r="JS297" s="23"/>
      <c r="JT297" s="23"/>
      <c r="JU297" s="23"/>
      <c r="JV297" s="23"/>
      <c r="JW297" s="23"/>
      <c r="JX297" s="23"/>
      <c r="JY297" s="23"/>
      <c r="JZ297" s="23"/>
      <c r="KA297" s="23"/>
      <c r="KB297" s="23"/>
      <c r="KC297" s="23"/>
      <c r="KD297" s="23"/>
      <c r="KE297" s="23"/>
      <c r="KF297" s="23"/>
      <c r="KG297" s="23"/>
      <c r="KH297" s="23"/>
      <c r="KI297" s="23"/>
      <c r="KJ297" s="23"/>
      <c r="KK297" s="23"/>
      <c r="KL297" s="23"/>
      <c r="KM297" s="23"/>
      <c r="KN297" s="23"/>
      <c r="KO297" s="23"/>
      <c r="KP297" s="23"/>
      <c r="KQ297" s="23"/>
      <c r="KR297" s="23"/>
      <c r="KS297" s="23"/>
      <c r="KT297" s="23"/>
      <c r="KU297" s="23"/>
      <c r="KV297" s="23"/>
      <c r="KW297" s="23"/>
      <c r="KX297" s="23"/>
      <c r="KY297" s="23"/>
      <c r="KZ297" s="23"/>
      <c r="LA297" s="23"/>
      <c r="LB297" s="23"/>
      <c r="LC297" s="23"/>
      <c r="LD297" s="23"/>
      <c r="LE297" s="23"/>
      <c r="LF297" s="23"/>
      <c r="LG297" s="23"/>
      <c r="LH297" s="23"/>
      <c r="LI297" s="23"/>
      <c r="LJ297" s="23"/>
      <c r="LK297" s="23"/>
      <c r="LL297" s="23"/>
      <c r="LM297" s="23"/>
      <c r="LN297" s="23"/>
      <c r="LO297" s="23"/>
      <c r="LP297" s="23"/>
      <c r="LQ297" s="23"/>
      <c r="LR297" s="23"/>
      <c r="LS297" s="23"/>
      <c r="LT297" s="23"/>
      <c r="LU297" s="23"/>
      <c r="LV297" s="23"/>
      <c r="LW297" s="23"/>
      <c r="LX297" s="23"/>
      <c r="LY297" s="23"/>
      <c r="LZ297" s="23"/>
      <c r="MA297" s="23"/>
      <c r="MB297" s="23"/>
      <c r="MC297" s="23"/>
      <c r="MD297" s="23"/>
      <c r="ME297" s="23"/>
      <c r="MF297" s="23"/>
      <c r="MG297" s="23"/>
      <c r="MH297" s="23"/>
      <c r="MI297" s="23"/>
      <c r="MJ297" s="23"/>
      <c r="MK297" s="23"/>
      <c r="ML297" s="23"/>
      <c r="MM297" s="23"/>
      <c r="MN297" s="23"/>
      <c r="MO297" s="23"/>
      <c r="MP297" s="23"/>
      <c r="MQ297" s="23"/>
      <c r="MR297" s="23"/>
      <c r="MS297" s="23"/>
      <c r="MT297" s="23"/>
      <c r="MU297" s="23"/>
      <c r="MV297" s="23"/>
      <c r="MW297" s="23"/>
      <c r="MX297" s="23"/>
      <c r="MY297" s="23"/>
      <c r="MZ297" s="23"/>
      <c r="NA297" s="23"/>
      <c r="NB297" s="23"/>
      <c r="NC297" s="23"/>
      <c r="ND297" s="23"/>
      <c r="NE297" s="23"/>
      <c r="NF297" s="23"/>
      <c r="NG297" s="23"/>
      <c r="NH297" s="23"/>
      <c r="NI297" s="23"/>
      <c r="NJ297" s="23"/>
      <c r="NK297" s="23"/>
      <c r="NL297" s="23"/>
      <c r="NM297" s="23"/>
      <c r="NN297" s="23"/>
      <c r="NO297" s="23"/>
      <c r="NP297" s="23"/>
      <c r="NQ297" s="23"/>
      <c r="NR297" s="23"/>
      <c r="NS297" s="23"/>
      <c r="NT297" s="23"/>
      <c r="NU297" s="23"/>
      <c r="NV297" s="23"/>
      <c r="NW297" s="23"/>
      <c r="NX297" s="23"/>
      <c r="NY297" s="23"/>
      <c r="NZ297" s="23"/>
      <c r="OA297" s="23"/>
      <c r="OB297" s="23"/>
      <c r="OC297" s="23"/>
      <c r="OD297" s="23"/>
      <c r="OE297" s="23"/>
      <c r="OF297" s="23"/>
      <c r="OG297" s="23"/>
      <c r="OH297" s="23"/>
      <c r="OI297" s="23"/>
      <c r="OJ297" s="23"/>
      <c r="OK297" s="23"/>
      <c r="OL297" s="23"/>
      <c r="OM297" s="23"/>
      <c r="ON297" s="23"/>
      <c r="OO297" s="23"/>
      <c r="OP297" s="23"/>
      <c r="OQ297" s="23"/>
      <c r="OR297" s="23"/>
      <c r="OS297" s="23"/>
      <c r="OT297" s="23"/>
      <c r="OU297" s="23"/>
      <c r="OV297" s="23"/>
      <c r="OW297" s="23"/>
      <c r="OX297" s="23"/>
      <c r="OY297" s="23"/>
      <c r="OZ297" s="23"/>
      <c r="PA297" s="23"/>
      <c r="PB297" s="23"/>
      <c r="PC297" s="23"/>
      <c r="PD297" s="23"/>
      <c r="PE297" s="23"/>
      <c r="PF297" s="23"/>
      <c r="PG297" s="23"/>
      <c r="PH297" s="23"/>
      <c r="PI297" s="23"/>
      <c r="PJ297" s="23"/>
      <c r="PK297" s="23"/>
      <c r="PL297" s="23"/>
      <c r="PM297" s="23"/>
      <c r="PN297" s="23"/>
      <c r="PO297" s="23"/>
      <c r="PP297" s="23"/>
      <c r="PQ297" s="23"/>
      <c r="PR297" s="23"/>
      <c r="PS297" s="23"/>
      <c r="PT297" s="23"/>
      <c r="PU297" s="23"/>
      <c r="PV297" s="23"/>
      <c r="PW297" s="23"/>
      <c r="PX297" s="23"/>
      <c r="PY297" s="23"/>
      <c r="PZ297" s="23"/>
      <c r="QA297" s="23"/>
      <c r="QB297" s="23"/>
      <c r="QC297" s="23"/>
      <c r="QD297" s="23"/>
      <c r="QE297" s="23"/>
      <c r="QF297" s="23"/>
      <c r="QG297" s="23"/>
      <c r="QH297" s="23"/>
      <c r="QI297" s="23"/>
      <c r="QJ297" s="23"/>
      <c r="QK297" s="23"/>
      <c r="QL297" s="23"/>
      <c r="QM297" s="23"/>
      <c r="QN297" s="23"/>
      <c r="QO297" s="23"/>
      <c r="QP297" s="23"/>
      <c r="QQ297" s="23"/>
      <c r="QR297" s="23"/>
      <c r="QS297" s="23"/>
      <c r="QT297" s="23"/>
      <c r="QU297" s="23"/>
      <c r="QV297" s="23"/>
      <c r="QW297" s="23"/>
      <c r="QX297" s="23"/>
      <c r="QY297" s="23"/>
      <c r="QZ297" s="23"/>
      <c r="RA297" s="23"/>
      <c r="RB297" s="23"/>
      <c r="RC297" s="23"/>
      <c r="RD297" s="23"/>
      <c r="RE297" s="23"/>
      <c r="RF297" s="23"/>
      <c r="RG297" s="23"/>
      <c r="RH297" s="23"/>
      <c r="RI297" s="23"/>
      <c r="RJ297" s="23"/>
      <c r="RK297" s="23"/>
      <c r="RL297" s="23"/>
      <c r="RM297" s="23"/>
      <c r="RN297" s="23"/>
      <c r="RO297" s="23"/>
      <c r="RP297" s="23"/>
      <c r="RQ297" s="23"/>
      <c r="RR297" s="23"/>
      <c r="RS297" s="23"/>
      <c r="RT297" s="23"/>
      <c r="RU297" s="23"/>
      <c r="RV297" s="23"/>
      <c r="RW297" s="23"/>
      <c r="RX297" s="23"/>
      <c r="RY297" s="23"/>
      <c r="RZ297" s="23"/>
      <c r="SA297" s="23"/>
      <c r="SB297" s="23"/>
      <c r="SC297" s="23"/>
      <c r="SD297" s="23"/>
      <c r="SE297" s="23"/>
      <c r="SF297" s="23"/>
      <c r="SG297" s="23"/>
      <c r="SH297" s="23"/>
      <c r="SI297" s="23"/>
      <c r="SJ297" s="23"/>
      <c r="SK297" s="23"/>
      <c r="SL297" s="23"/>
      <c r="SM297" s="23"/>
      <c r="SN297" s="23"/>
      <c r="SO297" s="23"/>
      <c r="SP297" s="23"/>
      <c r="SQ297" s="23"/>
      <c r="SR297" s="23"/>
      <c r="SS297" s="23"/>
      <c r="ST297" s="23"/>
      <c r="SU297" s="23"/>
      <c r="SV297" s="23"/>
      <c r="SW297" s="23"/>
      <c r="SX297" s="23"/>
      <c r="SY297" s="23"/>
      <c r="SZ297" s="23"/>
      <c r="TA297" s="23"/>
      <c r="TB297" s="23"/>
      <c r="TC297" s="23"/>
      <c r="TD297" s="23"/>
      <c r="TE297" s="23"/>
      <c r="TF297" s="23"/>
      <c r="TG297" s="23"/>
    </row>
    <row r="298" spans="1:527" s="22" customFormat="1" ht="123.75" customHeight="1" x14ac:dyDescent="0.25">
      <c r="A298" s="102" t="s">
        <v>299</v>
      </c>
      <c r="B298" s="42" t="str">
        <f>'дод 7'!A225</f>
        <v>7691</v>
      </c>
      <c r="C298" s="42" t="str">
        <f>'дод 7'!B225</f>
        <v>0490</v>
      </c>
      <c r="D298" s="36" t="str">
        <f>'дод 7'!C225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8" s="98">
        <f>F298+I298</f>
        <v>0</v>
      </c>
      <c r="F298" s="98"/>
      <c r="G298" s="98"/>
      <c r="H298" s="98"/>
      <c r="I298" s="98"/>
      <c r="J298" s="98">
        <f t="shared" si="139"/>
        <v>2596250.2999999998</v>
      </c>
      <c r="K298" s="98"/>
      <c r="L298" s="98">
        <f>1060391+1535859.3</f>
        <v>2596250.2999999998</v>
      </c>
      <c r="M298" s="98"/>
      <c r="N298" s="98"/>
      <c r="O298" s="98"/>
      <c r="P298" s="98">
        <f>E298+J298</f>
        <v>2596250.2999999998</v>
      </c>
      <c r="Q298" s="23"/>
      <c r="R298" s="32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  <c r="TF298" s="23"/>
      <c r="TG298" s="23"/>
    </row>
    <row r="299" spans="1:527" s="27" customFormat="1" ht="48" customHeight="1" x14ac:dyDescent="0.25">
      <c r="A299" s="109" t="s">
        <v>212</v>
      </c>
      <c r="B299" s="111"/>
      <c r="C299" s="111"/>
      <c r="D299" s="106" t="s">
        <v>42</v>
      </c>
      <c r="E299" s="94">
        <f>E300</f>
        <v>4340725</v>
      </c>
      <c r="F299" s="94">
        <f t="shared" ref="F299:J300" si="155">F300</f>
        <v>4340725</v>
      </c>
      <c r="G299" s="94">
        <f t="shared" si="155"/>
        <v>3301600</v>
      </c>
      <c r="H299" s="94">
        <f t="shared" si="155"/>
        <v>70725</v>
      </c>
      <c r="I299" s="94">
        <f t="shared" si="155"/>
        <v>0</v>
      </c>
      <c r="J299" s="94">
        <f t="shared" si="155"/>
        <v>0</v>
      </c>
      <c r="K299" s="94">
        <f t="shared" ref="K299:K300" si="156">K300</f>
        <v>0</v>
      </c>
      <c r="L299" s="94">
        <f t="shared" ref="L299:L300" si="157">L300</f>
        <v>0</v>
      </c>
      <c r="M299" s="94">
        <f t="shared" ref="M299:M300" si="158">M300</f>
        <v>0</v>
      </c>
      <c r="N299" s="94">
        <f t="shared" ref="N299:N300" si="159">N300</f>
        <v>0</v>
      </c>
      <c r="O299" s="94">
        <f t="shared" ref="O299:P300" si="160">O300</f>
        <v>0</v>
      </c>
      <c r="P299" s="94">
        <f t="shared" si="160"/>
        <v>4340725</v>
      </c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  <c r="GH299" s="32"/>
      <c r="GI299" s="32"/>
      <c r="GJ299" s="32"/>
      <c r="GK299" s="32"/>
      <c r="GL299" s="32"/>
      <c r="GM299" s="32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  <c r="IC299" s="32"/>
      <c r="ID299" s="32"/>
      <c r="IE299" s="32"/>
      <c r="IF299" s="32"/>
      <c r="IG299" s="32"/>
      <c r="IH299" s="32"/>
      <c r="II299" s="32"/>
      <c r="IJ299" s="32"/>
      <c r="IK299" s="32"/>
      <c r="IL299" s="32"/>
      <c r="IM299" s="32"/>
      <c r="IN299" s="32"/>
      <c r="IO299" s="32"/>
      <c r="IP299" s="32"/>
      <c r="IQ299" s="32"/>
      <c r="IR299" s="32"/>
      <c r="IS299" s="32"/>
      <c r="IT299" s="32"/>
      <c r="IU299" s="32"/>
      <c r="IV299" s="32"/>
      <c r="IW299" s="32"/>
      <c r="IX299" s="32"/>
      <c r="IY299" s="32"/>
      <c r="IZ299" s="32"/>
      <c r="JA299" s="32"/>
      <c r="JB299" s="32"/>
      <c r="JC299" s="32"/>
      <c r="JD299" s="32"/>
      <c r="JE299" s="32"/>
      <c r="JF299" s="32"/>
      <c r="JG299" s="32"/>
      <c r="JH299" s="32"/>
      <c r="JI299" s="32"/>
      <c r="JJ299" s="32"/>
      <c r="JK299" s="32"/>
      <c r="JL299" s="32"/>
      <c r="JM299" s="32"/>
      <c r="JN299" s="32"/>
      <c r="JO299" s="32"/>
      <c r="JP299" s="32"/>
      <c r="JQ299" s="32"/>
      <c r="JR299" s="32"/>
      <c r="JS299" s="32"/>
      <c r="JT299" s="32"/>
      <c r="JU299" s="32"/>
      <c r="JV299" s="32"/>
      <c r="JW299" s="32"/>
      <c r="JX299" s="32"/>
      <c r="JY299" s="32"/>
      <c r="JZ299" s="32"/>
      <c r="KA299" s="32"/>
      <c r="KB299" s="32"/>
      <c r="KC299" s="32"/>
      <c r="KD299" s="32"/>
      <c r="KE299" s="32"/>
      <c r="KF299" s="32"/>
      <c r="KG299" s="32"/>
      <c r="KH299" s="32"/>
      <c r="KI299" s="32"/>
      <c r="KJ299" s="32"/>
      <c r="KK299" s="32"/>
      <c r="KL299" s="32"/>
      <c r="KM299" s="32"/>
      <c r="KN299" s="32"/>
      <c r="KO299" s="32"/>
      <c r="KP299" s="32"/>
      <c r="KQ299" s="32"/>
      <c r="KR299" s="32"/>
      <c r="KS299" s="32"/>
      <c r="KT299" s="32"/>
      <c r="KU299" s="32"/>
      <c r="KV299" s="32"/>
      <c r="KW299" s="32"/>
      <c r="KX299" s="32"/>
      <c r="KY299" s="32"/>
      <c r="KZ299" s="32"/>
      <c r="LA299" s="32"/>
      <c r="LB299" s="32"/>
      <c r="LC299" s="32"/>
      <c r="LD299" s="32"/>
      <c r="LE299" s="32"/>
      <c r="LF299" s="32"/>
      <c r="LG299" s="32"/>
      <c r="LH299" s="32"/>
      <c r="LI299" s="32"/>
      <c r="LJ299" s="32"/>
      <c r="LK299" s="32"/>
      <c r="LL299" s="32"/>
      <c r="LM299" s="32"/>
      <c r="LN299" s="32"/>
      <c r="LO299" s="32"/>
      <c r="LP299" s="32"/>
      <c r="LQ299" s="32"/>
      <c r="LR299" s="32"/>
      <c r="LS299" s="32"/>
      <c r="LT299" s="32"/>
      <c r="LU299" s="32"/>
      <c r="LV299" s="32"/>
      <c r="LW299" s="32"/>
      <c r="LX299" s="32"/>
      <c r="LY299" s="32"/>
      <c r="LZ299" s="32"/>
      <c r="MA299" s="32"/>
      <c r="MB299" s="32"/>
      <c r="MC299" s="32"/>
      <c r="MD299" s="32"/>
      <c r="ME299" s="32"/>
      <c r="MF299" s="32"/>
      <c r="MG299" s="32"/>
      <c r="MH299" s="32"/>
      <c r="MI299" s="32"/>
      <c r="MJ299" s="32"/>
      <c r="MK299" s="32"/>
      <c r="ML299" s="32"/>
      <c r="MM299" s="32"/>
      <c r="MN299" s="32"/>
      <c r="MO299" s="32"/>
      <c r="MP299" s="32"/>
      <c r="MQ299" s="32"/>
      <c r="MR299" s="32"/>
      <c r="MS299" s="32"/>
      <c r="MT299" s="32"/>
      <c r="MU299" s="32"/>
      <c r="MV299" s="32"/>
      <c r="MW299" s="32"/>
      <c r="MX299" s="32"/>
      <c r="MY299" s="32"/>
      <c r="MZ299" s="32"/>
      <c r="NA299" s="32"/>
      <c r="NB299" s="32"/>
      <c r="NC299" s="32"/>
      <c r="ND299" s="32"/>
      <c r="NE299" s="32"/>
      <c r="NF299" s="32"/>
      <c r="NG299" s="32"/>
      <c r="NH299" s="32"/>
      <c r="NI299" s="32"/>
      <c r="NJ299" s="32"/>
      <c r="NK299" s="32"/>
      <c r="NL299" s="32"/>
      <c r="NM299" s="32"/>
      <c r="NN299" s="32"/>
      <c r="NO299" s="32"/>
      <c r="NP299" s="32"/>
      <c r="NQ299" s="32"/>
      <c r="NR299" s="32"/>
      <c r="NS299" s="32"/>
      <c r="NT299" s="32"/>
      <c r="NU299" s="32"/>
      <c r="NV299" s="32"/>
      <c r="NW299" s="32"/>
      <c r="NX299" s="32"/>
      <c r="NY299" s="32"/>
      <c r="NZ299" s="32"/>
      <c r="OA299" s="32"/>
      <c r="OB299" s="32"/>
      <c r="OC299" s="32"/>
      <c r="OD299" s="32"/>
      <c r="OE299" s="32"/>
      <c r="OF299" s="32"/>
      <c r="OG299" s="32"/>
      <c r="OH299" s="32"/>
      <c r="OI299" s="32"/>
      <c r="OJ299" s="32"/>
      <c r="OK299" s="32"/>
      <c r="OL299" s="32"/>
      <c r="OM299" s="32"/>
      <c r="ON299" s="32"/>
      <c r="OO299" s="32"/>
      <c r="OP299" s="32"/>
      <c r="OQ299" s="32"/>
      <c r="OR299" s="32"/>
      <c r="OS299" s="32"/>
      <c r="OT299" s="32"/>
      <c r="OU299" s="32"/>
      <c r="OV299" s="32"/>
      <c r="OW299" s="32"/>
      <c r="OX299" s="32"/>
      <c r="OY299" s="32"/>
      <c r="OZ299" s="32"/>
      <c r="PA299" s="32"/>
      <c r="PB299" s="32"/>
      <c r="PC299" s="32"/>
      <c r="PD299" s="32"/>
      <c r="PE299" s="32"/>
      <c r="PF299" s="32"/>
      <c r="PG299" s="32"/>
      <c r="PH299" s="32"/>
      <c r="PI299" s="32"/>
      <c r="PJ299" s="32"/>
      <c r="PK299" s="32"/>
      <c r="PL299" s="32"/>
      <c r="PM299" s="32"/>
      <c r="PN299" s="32"/>
      <c r="PO299" s="32"/>
      <c r="PP299" s="32"/>
      <c r="PQ299" s="32"/>
      <c r="PR299" s="32"/>
      <c r="PS299" s="32"/>
      <c r="PT299" s="32"/>
      <c r="PU299" s="32"/>
      <c r="PV299" s="32"/>
      <c r="PW299" s="32"/>
      <c r="PX299" s="32"/>
      <c r="PY299" s="32"/>
      <c r="PZ299" s="32"/>
      <c r="QA299" s="32"/>
      <c r="QB299" s="32"/>
      <c r="QC299" s="32"/>
      <c r="QD299" s="32"/>
      <c r="QE299" s="32"/>
      <c r="QF299" s="32"/>
      <c r="QG299" s="32"/>
      <c r="QH299" s="32"/>
      <c r="QI299" s="32"/>
      <c r="QJ299" s="32"/>
      <c r="QK299" s="32"/>
      <c r="QL299" s="32"/>
      <c r="QM299" s="32"/>
      <c r="QN299" s="32"/>
      <c r="QO299" s="32"/>
      <c r="QP299" s="32"/>
      <c r="QQ299" s="32"/>
      <c r="QR299" s="32"/>
      <c r="QS299" s="32"/>
      <c r="QT299" s="32"/>
      <c r="QU299" s="32"/>
      <c r="QV299" s="32"/>
      <c r="QW299" s="32"/>
      <c r="QX299" s="32"/>
      <c r="QY299" s="32"/>
      <c r="QZ299" s="32"/>
      <c r="RA299" s="32"/>
      <c r="RB299" s="32"/>
      <c r="RC299" s="32"/>
      <c r="RD299" s="32"/>
      <c r="RE299" s="32"/>
      <c r="RF299" s="32"/>
      <c r="RG299" s="32"/>
      <c r="RH299" s="32"/>
      <c r="RI299" s="32"/>
      <c r="RJ299" s="32"/>
      <c r="RK299" s="32"/>
      <c r="RL299" s="32"/>
      <c r="RM299" s="32"/>
      <c r="RN299" s="32"/>
      <c r="RO299" s="32"/>
      <c r="RP299" s="32"/>
      <c r="RQ299" s="32"/>
      <c r="RR299" s="32"/>
      <c r="RS299" s="32"/>
      <c r="RT299" s="32"/>
      <c r="RU299" s="32"/>
      <c r="RV299" s="32"/>
      <c r="RW299" s="32"/>
      <c r="RX299" s="32"/>
      <c r="RY299" s="32"/>
      <c r="RZ299" s="32"/>
      <c r="SA299" s="32"/>
      <c r="SB299" s="32"/>
      <c r="SC299" s="32"/>
      <c r="SD299" s="32"/>
      <c r="SE299" s="32"/>
      <c r="SF299" s="32"/>
      <c r="SG299" s="32"/>
      <c r="SH299" s="32"/>
      <c r="SI299" s="32"/>
      <c r="SJ299" s="32"/>
      <c r="SK299" s="32"/>
      <c r="SL299" s="32"/>
      <c r="SM299" s="32"/>
      <c r="SN299" s="32"/>
      <c r="SO299" s="32"/>
      <c r="SP299" s="32"/>
      <c r="SQ299" s="32"/>
      <c r="SR299" s="32"/>
      <c r="SS299" s="32"/>
      <c r="ST299" s="32"/>
      <c r="SU299" s="32"/>
      <c r="SV299" s="32"/>
      <c r="SW299" s="32"/>
      <c r="SX299" s="32"/>
      <c r="SY299" s="32"/>
      <c r="SZ299" s="32"/>
      <c r="TA299" s="32"/>
      <c r="TB299" s="32"/>
      <c r="TC299" s="32"/>
      <c r="TD299" s="32"/>
      <c r="TE299" s="32"/>
      <c r="TF299" s="32"/>
      <c r="TG299" s="32"/>
    </row>
    <row r="300" spans="1:527" s="34" customFormat="1" ht="35.25" customHeight="1" x14ac:dyDescent="0.25">
      <c r="A300" s="95" t="s">
        <v>210</v>
      </c>
      <c r="B300" s="108"/>
      <c r="C300" s="108"/>
      <c r="D300" s="76" t="s">
        <v>42</v>
      </c>
      <c r="E300" s="97">
        <f>E301</f>
        <v>4340725</v>
      </c>
      <c r="F300" s="97">
        <f t="shared" si="155"/>
        <v>4340725</v>
      </c>
      <c r="G300" s="97">
        <f t="shared" si="155"/>
        <v>3301600</v>
      </c>
      <c r="H300" s="97">
        <f t="shared" si="155"/>
        <v>70725</v>
      </c>
      <c r="I300" s="97">
        <f t="shared" si="155"/>
        <v>0</v>
      </c>
      <c r="J300" s="97">
        <f t="shared" si="155"/>
        <v>0</v>
      </c>
      <c r="K300" s="97">
        <f t="shared" si="156"/>
        <v>0</v>
      </c>
      <c r="L300" s="97">
        <f t="shared" si="157"/>
        <v>0</v>
      </c>
      <c r="M300" s="97">
        <f t="shared" si="158"/>
        <v>0</v>
      </c>
      <c r="N300" s="97">
        <f t="shared" si="159"/>
        <v>0</v>
      </c>
      <c r="O300" s="97">
        <f t="shared" si="160"/>
        <v>0</v>
      </c>
      <c r="P300" s="97">
        <f t="shared" si="160"/>
        <v>4340725</v>
      </c>
      <c r="Q300" s="33"/>
      <c r="R300" s="32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  <c r="EH300" s="33"/>
      <c r="EI300" s="33"/>
      <c r="EJ300" s="33"/>
      <c r="EK300" s="33"/>
      <c r="EL300" s="33"/>
      <c r="EM300" s="33"/>
      <c r="EN300" s="33"/>
      <c r="EO300" s="33"/>
      <c r="EP300" s="33"/>
      <c r="EQ300" s="33"/>
      <c r="ER300" s="33"/>
      <c r="ES300" s="33"/>
      <c r="ET300" s="33"/>
      <c r="EU300" s="33"/>
      <c r="EV300" s="33"/>
      <c r="EW300" s="33"/>
      <c r="EX300" s="33"/>
      <c r="EY300" s="33"/>
      <c r="EZ300" s="33"/>
      <c r="FA300" s="33"/>
      <c r="FB300" s="33"/>
      <c r="FC300" s="33"/>
      <c r="FD300" s="33"/>
      <c r="FE300" s="33"/>
      <c r="FF300" s="33"/>
      <c r="FG300" s="33"/>
      <c r="FH300" s="33"/>
      <c r="FI300" s="33"/>
      <c r="FJ300" s="33"/>
      <c r="FK300" s="33"/>
      <c r="FL300" s="33"/>
      <c r="FM300" s="33"/>
      <c r="FN300" s="33"/>
      <c r="FO300" s="33"/>
      <c r="FP300" s="33"/>
      <c r="FQ300" s="33"/>
      <c r="FR300" s="33"/>
      <c r="FS300" s="33"/>
      <c r="FT300" s="33"/>
      <c r="FU300" s="33"/>
      <c r="FV300" s="33"/>
      <c r="FW300" s="33"/>
      <c r="FX300" s="33"/>
      <c r="FY300" s="33"/>
      <c r="FZ300" s="33"/>
      <c r="GA300" s="33"/>
      <c r="GB300" s="33"/>
      <c r="GC300" s="33"/>
      <c r="GD300" s="33"/>
      <c r="GE300" s="33"/>
      <c r="GF300" s="33"/>
      <c r="GG300" s="33"/>
      <c r="GH300" s="33"/>
      <c r="GI300" s="33"/>
      <c r="GJ300" s="33"/>
      <c r="GK300" s="33"/>
      <c r="GL300" s="33"/>
      <c r="GM300" s="33"/>
      <c r="GN300" s="33"/>
      <c r="GO300" s="33"/>
      <c r="GP300" s="33"/>
      <c r="GQ300" s="33"/>
      <c r="GR300" s="33"/>
      <c r="GS300" s="33"/>
      <c r="GT300" s="33"/>
      <c r="GU300" s="33"/>
      <c r="GV300" s="33"/>
      <c r="GW300" s="33"/>
      <c r="GX300" s="33"/>
      <c r="GY300" s="33"/>
      <c r="GZ300" s="33"/>
      <c r="HA300" s="33"/>
      <c r="HB300" s="33"/>
      <c r="HC300" s="33"/>
      <c r="HD300" s="33"/>
      <c r="HE300" s="33"/>
      <c r="HF300" s="33"/>
      <c r="HG300" s="33"/>
      <c r="HH300" s="33"/>
      <c r="HI300" s="33"/>
      <c r="HJ300" s="33"/>
      <c r="HK300" s="33"/>
      <c r="HL300" s="33"/>
      <c r="HM300" s="33"/>
      <c r="HN300" s="33"/>
      <c r="HO300" s="33"/>
      <c r="HP300" s="33"/>
      <c r="HQ300" s="33"/>
      <c r="HR300" s="33"/>
      <c r="HS300" s="33"/>
      <c r="HT300" s="33"/>
      <c r="HU300" s="33"/>
      <c r="HV300" s="33"/>
      <c r="HW300" s="33"/>
      <c r="HX300" s="33"/>
      <c r="HY300" s="33"/>
      <c r="HZ300" s="33"/>
      <c r="IA300" s="33"/>
      <c r="IB300" s="33"/>
      <c r="IC300" s="33"/>
      <c r="ID300" s="33"/>
      <c r="IE300" s="33"/>
      <c r="IF300" s="33"/>
      <c r="IG300" s="33"/>
      <c r="IH300" s="33"/>
      <c r="II300" s="33"/>
      <c r="IJ300" s="33"/>
      <c r="IK300" s="33"/>
      <c r="IL300" s="33"/>
      <c r="IM300" s="33"/>
      <c r="IN300" s="33"/>
      <c r="IO300" s="33"/>
      <c r="IP300" s="33"/>
      <c r="IQ300" s="33"/>
      <c r="IR300" s="33"/>
      <c r="IS300" s="33"/>
      <c r="IT300" s="33"/>
      <c r="IU300" s="33"/>
      <c r="IV300" s="33"/>
      <c r="IW300" s="33"/>
      <c r="IX300" s="33"/>
      <c r="IY300" s="33"/>
      <c r="IZ300" s="33"/>
      <c r="JA300" s="33"/>
      <c r="JB300" s="33"/>
      <c r="JC300" s="33"/>
      <c r="JD300" s="33"/>
      <c r="JE300" s="33"/>
      <c r="JF300" s="33"/>
      <c r="JG300" s="33"/>
      <c r="JH300" s="33"/>
      <c r="JI300" s="33"/>
      <c r="JJ300" s="33"/>
      <c r="JK300" s="33"/>
      <c r="JL300" s="33"/>
      <c r="JM300" s="33"/>
      <c r="JN300" s="33"/>
      <c r="JO300" s="33"/>
      <c r="JP300" s="33"/>
      <c r="JQ300" s="33"/>
      <c r="JR300" s="33"/>
      <c r="JS300" s="33"/>
      <c r="JT300" s="33"/>
      <c r="JU300" s="33"/>
      <c r="JV300" s="33"/>
      <c r="JW300" s="33"/>
      <c r="JX300" s="33"/>
      <c r="JY300" s="33"/>
      <c r="JZ300" s="33"/>
      <c r="KA300" s="33"/>
      <c r="KB300" s="33"/>
      <c r="KC300" s="33"/>
      <c r="KD300" s="33"/>
      <c r="KE300" s="33"/>
      <c r="KF300" s="33"/>
      <c r="KG300" s="33"/>
      <c r="KH300" s="33"/>
      <c r="KI300" s="33"/>
      <c r="KJ300" s="33"/>
      <c r="KK300" s="33"/>
      <c r="KL300" s="33"/>
      <c r="KM300" s="33"/>
      <c r="KN300" s="33"/>
      <c r="KO300" s="33"/>
      <c r="KP300" s="33"/>
      <c r="KQ300" s="33"/>
      <c r="KR300" s="33"/>
      <c r="KS300" s="33"/>
      <c r="KT300" s="33"/>
      <c r="KU300" s="33"/>
      <c r="KV300" s="33"/>
      <c r="KW300" s="33"/>
      <c r="KX300" s="33"/>
      <c r="KY300" s="33"/>
      <c r="KZ300" s="33"/>
      <c r="LA300" s="33"/>
      <c r="LB300" s="33"/>
      <c r="LC300" s="33"/>
      <c r="LD300" s="33"/>
      <c r="LE300" s="33"/>
      <c r="LF300" s="33"/>
      <c r="LG300" s="33"/>
      <c r="LH300" s="33"/>
      <c r="LI300" s="33"/>
      <c r="LJ300" s="33"/>
      <c r="LK300" s="33"/>
      <c r="LL300" s="33"/>
      <c r="LM300" s="33"/>
      <c r="LN300" s="33"/>
      <c r="LO300" s="33"/>
      <c r="LP300" s="33"/>
      <c r="LQ300" s="33"/>
      <c r="LR300" s="33"/>
      <c r="LS300" s="33"/>
      <c r="LT300" s="33"/>
      <c r="LU300" s="33"/>
      <c r="LV300" s="33"/>
      <c r="LW300" s="33"/>
      <c r="LX300" s="33"/>
      <c r="LY300" s="33"/>
      <c r="LZ300" s="33"/>
      <c r="MA300" s="33"/>
      <c r="MB300" s="33"/>
      <c r="MC300" s="33"/>
      <c r="MD300" s="33"/>
      <c r="ME300" s="33"/>
      <c r="MF300" s="33"/>
      <c r="MG300" s="33"/>
      <c r="MH300" s="33"/>
      <c r="MI300" s="33"/>
      <c r="MJ300" s="33"/>
      <c r="MK300" s="33"/>
      <c r="ML300" s="33"/>
      <c r="MM300" s="33"/>
      <c r="MN300" s="33"/>
      <c r="MO300" s="33"/>
      <c r="MP300" s="33"/>
      <c r="MQ300" s="33"/>
      <c r="MR300" s="33"/>
      <c r="MS300" s="33"/>
      <c r="MT300" s="33"/>
      <c r="MU300" s="33"/>
      <c r="MV300" s="33"/>
      <c r="MW300" s="33"/>
      <c r="MX300" s="33"/>
      <c r="MY300" s="33"/>
      <c r="MZ300" s="33"/>
      <c r="NA300" s="33"/>
      <c r="NB300" s="33"/>
      <c r="NC300" s="33"/>
      <c r="ND300" s="33"/>
      <c r="NE300" s="33"/>
      <c r="NF300" s="33"/>
      <c r="NG300" s="33"/>
      <c r="NH300" s="33"/>
      <c r="NI300" s="33"/>
      <c r="NJ300" s="33"/>
      <c r="NK300" s="33"/>
      <c r="NL300" s="33"/>
      <c r="NM300" s="33"/>
      <c r="NN300" s="33"/>
      <c r="NO300" s="33"/>
      <c r="NP300" s="33"/>
      <c r="NQ300" s="33"/>
      <c r="NR300" s="33"/>
      <c r="NS300" s="33"/>
      <c r="NT300" s="33"/>
      <c r="NU300" s="33"/>
      <c r="NV300" s="33"/>
      <c r="NW300" s="33"/>
      <c r="NX300" s="33"/>
      <c r="NY300" s="33"/>
      <c r="NZ300" s="33"/>
      <c r="OA300" s="33"/>
      <c r="OB300" s="33"/>
      <c r="OC300" s="33"/>
      <c r="OD300" s="33"/>
      <c r="OE300" s="33"/>
      <c r="OF300" s="33"/>
      <c r="OG300" s="33"/>
      <c r="OH300" s="33"/>
      <c r="OI300" s="33"/>
      <c r="OJ300" s="33"/>
      <c r="OK300" s="33"/>
      <c r="OL300" s="33"/>
      <c r="OM300" s="33"/>
      <c r="ON300" s="33"/>
      <c r="OO300" s="33"/>
      <c r="OP300" s="33"/>
      <c r="OQ300" s="33"/>
      <c r="OR300" s="33"/>
      <c r="OS300" s="33"/>
      <c r="OT300" s="33"/>
      <c r="OU300" s="33"/>
      <c r="OV300" s="33"/>
      <c r="OW300" s="33"/>
      <c r="OX300" s="33"/>
      <c r="OY300" s="33"/>
      <c r="OZ300" s="33"/>
      <c r="PA300" s="33"/>
      <c r="PB300" s="33"/>
      <c r="PC300" s="33"/>
      <c r="PD300" s="33"/>
      <c r="PE300" s="33"/>
      <c r="PF300" s="33"/>
      <c r="PG300" s="33"/>
      <c r="PH300" s="33"/>
      <c r="PI300" s="33"/>
      <c r="PJ300" s="33"/>
      <c r="PK300" s="33"/>
      <c r="PL300" s="33"/>
      <c r="PM300" s="33"/>
      <c r="PN300" s="33"/>
      <c r="PO300" s="33"/>
      <c r="PP300" s="33"/>
      <c r="PQ300" s="33"/>
      <c r="PR300" s="33"/>
      <c r="PS300" s="33"/>
      <c r="PT300" s="33"/>
      <c r="PU300" s="33"/>
      <c r="PV300" s="33"/>
      <c r="PW300" s="33"/>
      <c r="PX300" s="33"/>
      <c r="PY300" s="33"/>
      <c r="PZ300" s="33"/>
      <c r="QA300" s="33"/>
      <c r="QB300" s="33"/>
      <c r="QC300" s="33"/>
      <c r="QD300" s="33"/>
      <c r="QE300" s="33"/>
      <c r="QF300" s="33"/>
      <c r="QG300" s="33"/>
      <c r="QH300" s="33"/>
      <c r="QI300" s="33"/>
      <c r="QJ300" s="33"/>
      <c r="QK300" s="33"/>
      <c r="QL300" s="33"/>
      <c r="QM300" s="33"/>
      <c r="QN300" s="33"/>
      <c r="QO300" s="33"/>
      <c r="QP300" s="33"/>
      <c r="QQ300" s="33"/>
      <c r="QR300" s="33"/>
      <c r="QS300" s="33"/>
      <c r="QT300" s="33"/>
      <c r="QU300" s="33"/>
      <c r="QV300" s="33"/>
      <c r="QW300" s="33"/>
      <c r="QX300" s="33"/>
      <c r="QY300" s="33"/>
      <c r="QZ300" s="33"/>
      <c r="RA300" s="33"/>
      <c r="RB300" s="33"/>
      <c r="RC300" s="33"/>
      <c r="RD300" s="33"/>
      <c r="RE300" s="33"/>
      <c r="RF300" s="33"/>
      <c r="RG300" s="33"/>
      <c r="RH300" s="33"/>
      <c r="RI300" s="33"/>
      <c r="RJ300" s="33"/>
      <c r="RK300" s="33"/>
      <c r="RL300" s="33"/>
      <c r="RM300" s="33"/>
      <c r="RN300" s="33"/>
      <c r="RO300" s="33"/>
      <c r="RP300" s="33"/>
      <c r="RQ300" s="33"/>
      <c r="RR300" s="33"/>
      <c r="RS300" s="33"/>
      <c r="RT300" s="33"/>
      <c r="RU300" s="33"/>
      <c r="RV300" s="33"/>
      <c r="RW300" s="33"/>
      <c r="RX300" s="33"/>
      <c r="RY300" s="33"/>
      <c r="RZ300" s="33"/>
      <c r="SA300" s="33"/>
      <c r="SB300" s="33"/>
      <c r="SC300" s="33"/>
      <c r="SD300" s="33"/>
      <c r="SE300" s="33"/>
      <c r="SF300" s="33"/>
      <c r="SG300" s="33"/>
      <c r="SH300" s="33"/>
      <c r="SI300" s="33"/>
      <c r="SJ300" s="33"/>
      <c r="SK300" s="33"/>
      <c r="SL300" s="33"/>
      <c r="SM300" s="33"/>
      <c r="SN300" s="33"/>
      <c r="SO300" s="33"/>
      <c r="SP300" s="33"/>
      <c r="SQ300" s="33"/>
      <c r="SR300" s="33"/>
      <c r="SS300" s="33"/>
      <c r="ST300" s="33"/>
      <c r="SU300" s="33"/>
      <c r="SV300" s="33"/>
      <c r="SW300" s="33"/>
      <c r="SX300" s="33"/>
      <c r="SY300" s="33"/>
      <c r="SZ300" s="33"/>
      <c r="TA300" s="33"/>
      <c r="TB300" s="33"/>
      <c r="TC300" s="33"/>
      <c r="TD300" s="33"/>
      <c r="TE300" s="33"/>
      <c r="TF300" s="33"/>
      <c r="TG300" s="33"/>
    </row>
    <row r="301" spans="1:527" s="22" customFormat="1" ht="49.5" customHeight="1" x14ac:dyDescent="0.25">
      <c r="A301" s="59" t="s">
        <v>211</v>
      </c>
      <c r="B301" s="92" t="str">
        <f>'дод 7'!A19</f>
        <v>0160</v>
      </c>
      <c r="C301" s="92" t="str">
        <f>'дод 7'!B19</f>
        <v>0111</v>
      </c>
      <c r="D301" s="36" t="s">
        <v>493</v>
      </c>
      <c r="E301" s="98">
        <f>F301+I301</f>
        <v>4340725</v>
      </c>
      <c r="F301" s="98">
        <f>4301300+20000+19425</f>
        <v>4340725</v>
      </c>
      <c r="G301" s="98">
        <v>3301600</v>
      </c>
      <c r="H301" s="98">
        <f>46000+19425+5300</f>
        <v>70725</v>
      </c>
      <c r="I301" s="98"/>
      <c r="J301" s="98">
        <f>L301+O301</f>
        <v>0</v>
      </c>
      <c r="K301" s="98"/>
      <c r="L301" s="98"/>
      <c r="M301" s="98"/>
      <c r="N301" s="98"/>
      <c r="O301" s="98"/>
      <c r="P301" s="98">
        <f>E301+J301</f>
        <v>4340725</v>
      </c>
      <c r="Q301" s="23"/>
      <c r="R301" s="32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  <c r="TF301" s="23"/>
      <c r="TG301" s="23"/>
    </row>
    <row r="302" spans="1:527" s="27" customFormat="1" ht="37.5" customHeight="1" x14ac:dyDescent="0.25">
      <c r="A302" s="109" t="s">
        <v>213</v>
      </c>
      <c r="B302" s="111"/>
      <c r="C302" s="111"/>
      <c r="D302" s="106" t="s">
        <v>39</v>
      </c>
      <c r="E302" s="94">
        <f>E303</f>
        <v>21083978</v>
      </c>
      <c r="F302" s="94">
        <f t="shared" ref="F302:J302" si="161">F303</f>
        <v>21083978</v>
      </c>
      <c r="G302" s="94">
        <f t="shared" si="161"/>
        <v>14932200</v>
      </c>
      <c r="H302" s="94">
        <f t="shared" si="161"/>
        <v>409278</v>
      </c>
      <c r="I302" s="94">
        <f t="shared" si="161"/>
        <v>0</v>
      </c>
      <c r="J302" s="94">
        <f t="shared" si="161"/>
        <v>665000</v>
      </c>
      <c r="K302" s="94">
        <f t="shared" ref="K302" si="162">K303</f>
        <v>665000</v>
      </c>
      <c r="L302" s="94">
        <f t="shared" ref="L302" si="163">L303</f>
        <v>0</v>
      </c>
      <c r="M302" s="94">
        <f t="shared" ref="M302" si="164">M303</f>
        <v>0</v>
      </c>
      <c r="N302" s="94">
        <f t="shared" ref="N302" si="165">N303</f>
        <v>0</v>
      </c>
      <c r="O302" s="94">
        <f t="shared" ref="O302" si="166">O303</f>
        <v>665000</v>
      </c>
      <c r="P302" s="94">
        <f>P303</f>
        <v>21748978</v>
      </c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  <c r="EH302" s="32"/>
      <c r="EI302" s="32"/>
      <c r="EJ302" s="32"/>
      <c r="EK302" s="32"/>
      <c r="EL302" s="32"/>
      <c r="EM302" s="32"/>
      <c r="EN302" s="32"/>
      <c r="EO302" s="32"/>
      <c r="EP302" s="32"/>
      <c r="EQ302" s="32"/>
      <c r="ER302" s="32"/>
      <c r="ES302" s="32"/>
      <c r="ET302" s="32"/>
      <c r="EU302" s="32"/>
      <c r="EV302" s="32"/>
      <c r="EW302" s="32"/>
      <c r="EX302" s="32"/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2"/>
      <c r="FK302" s="32"/>
      <c r="FL302" s="32"/>
      <c r="FM302" s="32"/>
      <c r="FN302" s="32"/>
      <c r="FO302" s="32"/>
      <c r="FP302" s="32"/>
      <c r="FQ302" s="32"/>
      <c r="FR302" s="32"/>
      <c r="FS302" s="32"/>
      <c r="FT302" s="32"/>
      <c r="FU302" s="32"/>
      <c r="FV302" s="32"/>
      <c r="FW302" s="32"/>
      <c r="FX302" s="32"/>
      <c r="FY302" s="32"/>
      <c r="FZ302" s="32"/>
      <c r="GA302" s="32"/>
      <c r="GB302" s="32"/>
      <c r="GC302" s="32"/>
      <c r="GD302" s="32"/>
      <c r="GE302" s="32"/>
      <c r="GF302" s="32"/>
      <c r="GG302" s="32"/>
      <c r="GH302" s="32"/>
      <c r="GI302" s="32"/>
      <c r="GJ302" s="32"/>
      <c r="GK302" s="32"/>
      <c r="GL302" s="32"/>
      <c r="GM302" s="32"/>
      <c r="GN302" s="32"/>
      <c r="GO302" s="32"/>
      <c r="GP302" s="32"/>
      <c r="GQ302" s="32"/>
      <c r="GR302" s="32"/>
      <c r="GS302" s="32"/>
      <c r="GT302" s="32"/>
      <c r="GU302" s="32"/>
      <c r="GV302" s="32"/>
      <c r="GW302" s="32"/>
      <c r="GX302" s="32"/>
      <c r="GY302" s="32"/>
      <c r="GZ302" s="32"/>
      <c r="HA302" s="32"/>
      <c r="HB302" s="32"/>
      <c r="HC302" s="32"/>
      <c r="HD302" s="32"/>
      <c r="HE302" s="32"/>
      <c r="HF302" s="32"/>
      <c r="HG302" s="32"/>
      <c r="HH302" s="32"/>
      <c r="HI302" s="32"/>
      <c r="HJ302" s="32"/>
      <c r="HK302" s="32"/>
      <c r="HL302" s="32"/>
      <c r="HM302" s="32"/>
      <c r="HN302" s="32"/>
      <c r="HO302" s="32"/>
      <c r="HP302" s="32"/>
      <c r="HQ302" s="32"/>
      <c r="HR302" s="32"/>
      <c r="HS302" s="32"/>
      <c r="HT302" s="32"/>
      <c r="HU302" s="32"/>
      <c r="HV302" s="32"/>
      <c r="HW302" s="32"/>
      <c r="HX302" s="32"/>
      <c r="HY302" s="32"/>
      <c r="HZ302" s="32"/>
      <c r="IA302" s="32"/>
      <c r="IB302" s="32"/>
      <c r="IC302" s="32"/>
      <c r="ID302" s="32"/>
      <c r="IE302" s="32"/>
      <c r="IF302" s="32"/>
      <c r="IG302" s="32"/>
      <c r="IH302" s="32"/>
      <c r="II302" s="32"/>
      <c r="IJ302" s="32"/>
      <c r="IK302" s="32"/>
      <c r="IL302" s="32"/>
      <c r="IM302" s="32"/>
      <c r="IN302" s="32"/>
      <c r="IO302" s="32"/>
      <c r="IP302" s="32"/>
      <c r="IQ302" s="32"/>
      <c r="IR302" s="32"/>
      <c r="IS302" s="32"/>
      <c r="IT302" s="32"/>
      <c r="IU302" s="32"/>
      <c r="IV302" s="32"/>
      <c r="IW302" s="32"/>
      <c r="IX302" s="32"/>
      <c r="IY302" s="32"/>
      <c r="IZ302" s="32"/>
      <c r="JA302" s="32"/>
      <c r="JB302" s="32"/>
      <c r="JC302" s="32"/>
      <c r="JD302" s="32"/>
      <c r="JE302" s="32"/>
      <c r="JF302" s="32"/>
      <c r="JG302" s="32"/>
      <c r="JH302" s="32"/>
      <c r="JI302" s="32"/>
      <c r="JJ302" s="32"/>
      <c r="JK302" s="32"/>
      <c r="JL302" s="32"/>
      <c r="JM302" s="32"/>
      <c r="JN302" s="32"/>
      <c r="JO302" s="32"/>
      <c r="JP302" s="32"/>
      <c r="JQ302" s="32"/>
      <c r="JR302" s="32"/>
      <c r="JS302" s="32"/>
      <c r="JT302" s="32"/>
      <c r="JU302" s="32"/>
      <c r="JV302" s="32"/>
      <c r="JW302" s="32"/>
      <c r="JX302" s="32"/>
      <c r="JY302" s="32"/>
      <c r="JZ302" s="32"/>
      <c r="KA302" s="32"/>
      <c r="KB302" s="32"/>
      <c r="KC302" s="32"/>
      <c r="KD302" s="32"/>
      <c r="KE302" s="32"/>
      <c r="KF302" s="32"/>
      <c r="KG302" s="32"/>
      <c r="KH302" s="32"/>
      <c r="KI302" s="32"/>
      <c r="KJ302" s="32"/>
      <c r="KK302" s="32"/>
      <c r="KL302" s="32"/>
      <c r="KM302" s="32"/>
      <c r="KN302" s="32"/>
      <c r="KO302" s="32"/>
      <c r="KP302" s="32"/>
      <c r="KQ302" s="32"/>
      <c r="KR302" s="32"/>
      <c r="KS302" s="32"/>
      <c r="KT302" s="32"/>
      <c r="KU302" s="32"/>
      <c r="KV302" s="32"/>
      <c r="KW302" s="32"/>
      <c r="KX302" s="32"/>
      <c r="KY302" s="32"/>
      <c r="KZ302" s="32"/>
      <c r="LA302" s="32"/>
      <c r="LB302" s="32"/>
      <c r="LC302" s="32"/>
      <c r="LD302" s="32"/>
      <c r="LE302" s="32"/>
      <c r="LF302" s="32"/>
      <c r="LG302" s="32"/>
      <c r="LH302" s="32"/>
      <c r="LI302" s="32"/>
      <c r="LJ302" s="32"/>
      <c r="LK302" s="32"/>
      <c r="LL302" s="32"/>
      <c r="LM302" s="32"/>
      <c r="LN302" s="32"/>
      <c r="LO302" s="32"/>
      <c r="LP302" s="32"/>
      <c r="LQ302" s="32"/>
      <c r="LR302" s="32"/>
      <c r="LS302" s="32"/>
      <c r="LT302" s="32"/>
      <c r="LU302" s="32"/>
      <c r="LV302" s="32"/>
      <c r="LW302" s="32"/>
      <c r="LX302" s="32"/>
      <c r="LY302" s="32"/>
      <c r="LZ302" s="32"/>
      <c r="MA302" s="32"/>
      <c r="MB302" s="32"/>
      <c r="MC302" s="32"/>
      <c r="MD302" s="32"/>
      <c r="ME302" s="32"/>
      <c r="MF302" s="32"/>
      <c r="MG302" s="32"/>
      <c r="MH302" s="32"/>
      <c r="MI302" s="32"/>
      <c r="MJ302" s="32"/>
      <c r="MK302" s="32"/>
      <c r="ML302" s="32"/>
      <c r="MM302" s="32"/>
      <c r="MN302" s="32"/>
      <c r="MO302" s="32"/>
      <c r="MP302" s="32"/>
      <c r="MQ302" s="32"/>
      <c r="MR302" s="32"/>
      <c r="MS302" s="32"/>
      <c r="MT302" s="32"/>
      <c r="MU302" s="32"/>
      <c r="MV302" s="32"/>
      <c r="MW302" s="32"/>
      <c r="MX302" s="32"/>
      <c r="MY302" s="32"/>
      <c r="MZ302" s="32"/>
      <c r="NA302" s="32"/>
      <c r="NB302" s="32"/>
      <c r="NC302" s="32"/>
      <c r="ND302" s="32"/>
      <c r="NE302" s="32"/>
      <c r="NF302" s="32"/>
      <c r="NG302" s="32"/>
      <c r="NH302" s="32"/>
      <c r="NI302" s="32"/>
      <c r="NJ302" s="32"/>
      <c r="NK302" s="32"/>
      <c r="NL302" s="32"/>
      <c r="NM302" s="32"/>
      <c r="NN302" s="32"/>
      <c r="NO302" s="32"/>
      <c r="NP302" s="32"/>
      <c r="NQ302" s="32"/>
      <c r="NR302" s="32"/>
      <c r="NS302" s="32"/>
      <c r="NT302" s="32"/>
      <c r="NU302" s="32"/>
      <c r="NV302" s="32"/>
      <c r="NW302" s="32"/>
      <c r="NX302" s="32"/>
      <c r="NY302" s="32"/>
      <c r="NZ302" s="32"/>
      <c r="OA302" s="32"/>
      <c r="OB302" s="32"/>
      <c r="OC302" s="32"/>
      <c r="OD302" s="32"/>
      <c r="OE302" s="32"/>
      <c r="OF302" s="32"/>
      <c r="OG302" s="32"/>
      <c r="OH302" s="32"/>
      <c r="OI302" s="32"/>
      <c r="OJ302" s="32"/>
      <c r="OK302" s="32"/>
      <c r="OL302" s="32"/>
      <c r="OM302" s="32"/>
      <c r="ON302" s="32"/>
      <c r="OO302" s="32"/>
      <c r="OP302" s="32"/>
      <c r="OQ302" s="32"/>
      <c r="OR302" s="32"/>
      <c r="OS302" s="32"/>
      <c r="OT302" s="32"/>
      <c r="OU302" s="32"/>
      <c r="OV302" s="32"/>
      <c r="OW302" s="32"/>
      <c r="OX302" s="32"/>
      <c r="OY302" s="32"/>
      <c r="OZ302" s="32"/>
      <c r="PA302" s="32"/>
      <c r="PB302" s="32"/>
      <c r="PC302" s="32"/>
      <c r="PD302" s="32"/>
      <c r="PE302" s="32"/>
      <c r="PF302" s="32"/>
      <c r="PG302" s="32"/>
      <c r="PH302" s="32"/>
      <c r="PI302" s="32"/>
      <c r="PJ302" s="32"/>
      <c r="PK302" s="32"/>
      <c r="PL302" s="32"/>
      <c r="PM302" s="32"/>
      <c r="PN302" s="32"/>
      <c r="PO302" s="32"/>
      <c r="PP302" s="32"/>
      <c r="PQ302" s="32"/>
      <c r="PR302" s="32"/>
      <c r="PS302" s="32"/>
      <c r="PT302" s="32"/>
      <c r="PU302" s="32"/>
      <c r="PV302" s="32"/>
      <c r="PW302" s="32"/>
      <c r="PX302" s="32"/>
      <c r="PY302" s="32"/>
      <c r="PZ302" s="32"/>
      <c r="QA302" s="32"/>
      <c r="QB302" s="32"/>
      <c r="QC302" s="32"/>
      <c r="QD302" s="32"/>
      <c r="QE302" s="32"/>
      <c r="QF302" s="32"/>
      <c r="QG302" s="32"/>
      <c r="QH302" s="32"/>
      <c r="QI302" s="32"/>
      <c r="QJ302" s="32"/>
      <c r="QK302" s="32"/>
      <c r="QL302" s="32"/>
      <c r="QM302" s="32"/>
      <c r="QN302" s="32"/>
      <c r="QO302" s="32"/>
      <c r="QP302" s="32"/>
      <c r="QQ302" s="32"/>
      <c r="QR302" s="32"/>
      <c r="QS302" s="32"/>
      <c r="QT302" s="32"/>
      <c r="QU302" s="32"/>
      <c r="QV302" s="32"/>
      <c r="QW302" s="32"/>
      <c r="QX302" s="32"/>
      <c r="QY302" s="32"/>
      <c r="QZ302" s="32"/>
      <c r="RA302" s="32"/>
      <c r="RB302" s="32"/>
      <c r="RC302" s="32"/>
      <c r="RD302" s="32"/>
      <c r="RE302" s="32"/>
      <c r="RF302" s="32"/>
      <c r="RG302" s="32"/>
      <c r="RH302" s="32"/>
      <c r="RI302" s="32"/>
      <c r="RJ302" s="32"/>
      <c r="RK302" s="32"/>
      <c r="RL302" s="32"/>
      <c r="RM302" s="32"/>
      <c r="RN302" s="32"/>
      <c r="RO302" s="32"/>
      <c r="RP302" s="32"/>
      <c r="RQ302" s="32"/>
      <c r="RR302" s="32"/>
      <c r="RS302" s="32"/>
      <c r="RT302" s="32"/>
      <c r="RU302" s="32"/>
      <c r="RV302" s="32"/>
      <c r="RW302" s="32"/>
      <c r="RX302" s="32"/>
      <c r="RY302" s="32"/>
      <c r="RZ302" s="32"/>
      <c r="SA302" s="32"/>
      <c r="SB302" s="32"/>
      <c r="SC302" s="32"/>
      <c r="SD302" s="32"/>
      <c r="SE302" s="32"/>
      <c r="SF302" s="32"/>
      <c r="SG302" s="32"/>
      <c r="SH302" s="32"/>
      <c r="SI302" s="32"/>
      <c r="SJ302" s="32"/>
      <c r="SK302" s="32"/>
      <c r="SL302" s="32"/>
      <c r="SM302" s="32"/>
      <c r="SN302" s="32"/>
      <c r="SO302" s="32"/>
      <c r="SP302" s="32"/>
      <c r="SQ302" s="32"/>
      <c r="SR302" s="32"/>
      <c r="SS302" s="32"/>
      <c r="ST302" s="32"/>
      <c r="SU302" s="32"/>
      <c r="SV302" s="32"/>
      <c r="SW302" s="32"/>
      <c r="SX302" s="32"/>
      <c r="SY302" s="32"/>
      <c r="SZ302" s="32"/>
      <c r="TA302" s="32"/>
      <c r="TB302" s="32"/>
      <c r="TC302" s="32"/>
      <c r="TD302" s="32"/>
      <c r="TE302" s="32"/>
      <c r="TF302" s="32"/>
      <c r="TG302" s="32"/>
    </row>
    <row r="303" spans="1:527" s="34" customFormat="1" ht="33.75" customHeight="1" x14ac:dyDescent="0.25">
      <c r="A303" s="95" t="s">
        <v>214</v>
      </c>
      <c r="B303" s="108"/>
      <c r="C303" s="108"/>
      <c r="D303" s="76" t="s">
        <v>39</v>
      </c>
      <c r="E303" s="97">
        <f>E304+E305++E306+E307+E308+E309</f>
        <v>21083978</v>
      </c>
      <c r="F303" s="97">
        <f t="shared" ref="F303:P303" si="167">F304+F305++F306+F307+F308+F309</f>
        <v>21083978</v>
      </c>
      <c r="G303" s="97">
        <f t="shared" si="167"/>
        <v>14932200</v>
      </c>
      <c r="H303" s="97">
        <f t="shared" si="167"/>
        <v>409278</v>
      </c>
      <c r="I303" s="97">
        <f t="shared" si="167"/>
        <v>0</v>
      </c>
      <c r="J303" s="97">
        <f t="shared" si="167"/>
        <v>665000</v>
      </c>
      <c r="K303" s="97">
        <f>K304+K305++K306+K307+K308+K309</f>
        <v>665000</v>
      </c>
      <c r="L303" s="97">
        <f t="shared" si="167"/>
        <v>0</v>
      </c>
      <c r="M303" s="97">
        <f t="shared" si="167"/>
        <v>0</v>
      </c>
      <c r="N303" s="97">
        <f t="shared" si="167"/>
        <v>0</v>
      </c>
      <c r="O303" s="97">
        <f t="shared" si="167"/>
        <v>665000</v>
      </c>
      <c r="P303" s="97">
        <f t="shared" si="167"/>
        <v>21748978</v>
      </c>
      <c r="Q303" s="33"/>
      <c r="R303" s="32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  <c r="FV303" s="33"/>
      <c r="FW303" s="33"/>
      <c r="FX303" s="33"/>
      <c r="FY303" s="33"/>
      <c r="FZ303" s="33"/>
      <c r="GA303" s="33"/>
      <c r="GB303" s="33"/>
      <c r="GC303" s="33"/>
      <c r="GD303" s="33"/>
      <c r="GE303" s="33"/>
      <c r="GF303" s="33"/>
      <c r="GG303" s="33"/>
      <c r="GH303" s="33"/>
      <c r="GI303" s="33"/>
      <c r="GJ303" s="33"/>
      <c r="GK303" s="33"/>
      <c r="GL303" s="33"/>
      <c r="GM303" s="33"/>
      <c r="GN303" s="33"/>
      <c r="GO303" s="33"/>
      <c r="GP303" s="33"/>
      <c r="GQ303" s="33"/>
      <c r="GR303" s="33"/>
      <c r="GS303" s="33"/>
      <c r="GT303" s="33"/>
      <c r="GU303" s="33"/>
      <c r="GV303" s="33"/>
      <c r="GW303" s="33"/>
      <c r="GX303" s="33"/>
      <c r="GY303" s="33"/>
      <c r="GZ303" s="33"/>
      <c r="HA303" s="33"/>
      <c r="HB303" s="33"/>
      <c r="HC303" s="33"/>
      <c r="HD303" s="33"/>
      <c r="HE303" s="33"/>
      <c r="HF303" s="33"/>
      <c r="HG303" s="33"/>
      <c r="HH303" s="33"/>
      <c r="HI303" s="33"/>
      <c r="HJ303" s="33"/>
      <c r="HK303" s="33"/>
      <c r="HL303" s="33"/>
      <c r="HM303" s="33"/>
      <c r="HN303" s="33"/>
      <c r="HO303" s="33"/>
      <c r="HP303" s="33"/>
      <c r="HQ303" s="33"/>
      <c r="HR303" s="33"/>
      <c r="HS303" s="33"/>
      <c r="HT303" s="33"/>
      <c r="HU303" s="33"/>
      <c r="HV303" s="33"/>
      <c r="HW303" s="33"/>
      <c r="HX303" s="33"/>
      <c r="HY303" s="33"/>
      <c r="HZ303" s="33"/>
      <c r="IA303" s="33"/>
      <c r="IB303" s="33"/>
      <c r="IC303" s="33"/>
      <c r="ID303" s="33"/>
      <c r="IE303" s="33"/>
      <c r="IF303" s="33"/>
      <c r="IG303" s="33"/>
      <c r="IH303" s="33"/>
      <c r="II303" s="33"/>
      <c r="IJ303" s="33"/>
      <c r="IK303" s="33"/>
      <c r="IL303" s="33"/>
      <c r="IM303" s="33"/>
      <c r="IN303" s="33"/>
      <c r="IO303" s="33"/>
      <c r="IP303" s="33"/>
      <c r="IQ303" s="33"/>
      <c r="IR303" s="33"/>
      <c r="IS303" s="33"/>
      <c r="IT303" s="33"/>
      <c r="IU303" s="33"/>
      <c r="IV303" s="33"/>
      <c r="IW303" s="33"/>
      <c r="IX303" s="33"/>
      <c r="IY303" s="33"/>
      <c r="IZ303" s="33"/>
      <c r="JA303" s="33"/>
      <c r="JB303" s="33"/>
      <c r="JC303" s="33"/>
      <c r="JD303" s="33"/>
      <c r="JE303" s="33"/>
      <c r="JF303" s="33"/>
      <c r="JG303" s="33"/>
      <c r="JH303" s="33"/>
      <c r="JI303" s="33"/>
      <c r="JJ303" s="33"/>
      <c r="JK303" s="33"/>
      <c r="JL303" s="33"/>
      <c r="JM303" s="33"/>
      <c r="JN303" s="33"/>
      <c r="JO303" s="33"/>
      <c r="JP303" s="33"/>
      <c r="JQ303" s="33"/>
      <c r="JR303" s="33"/>
      <c r="JS303" s="33"/>
      <c r="JT303" s="33"/>
      <c r="JU303" s="33"/>
      <c r="JV303" s="33"/>
      <c r="JW303" s="33"/>
      <c r="JX303" s="33"/>
      <c r="JY303" s="33"/>
      <c r="JZ303" s="33"/>
      <c r="KA303" s="33"/>
      <c r="KB303" s="33"/>
      <c r="KC303" s="33"/>
      <c r="KD303" s="33"/>
      <c r="KE303" s="33"/>
      <c r="KF303" s="33"/>
      <c r="KG303" s="33"/>
      <c r="KH303" s="33"/>
      <c r="KI303" s="33"/>
      <c r="KJ303" s="33"/>
      <c r="KK303" s="33"/>
      <c r="KL303" s="33"/>
      <c r="KM303" s="33"/>
      <c r="KN303" s="33"/>
      <c r="KO303" s="33"/>
      <c r="KP303" s="33"/>
      <c r="KQ303" s="33"/>
      <c r="KR303" s="33"/>
      <c r="KS303" s="33"/>
      <c r="KT303" s="33"/>
      <c r="KU303" s="33"/>
      <c r="KV303" s="33"/>
      <c r="KW303" s="33"/>
      <c r="KX303" s="33"/>
      <c r="KY303" s="33"/>
      <c r="KZ303" s="33"/>
      <c r="LA303" s="33"/>
      <c r="LB303" s="33"/>
      <c r="LC303" s="33"/>
      <c r="LD303" s="33"/>
      <c r="LE303" s="33"/>
      <c r="LF303" s="33"/>
      <c r="LG303" s="33"/>
      <c r="LH303" s="33"/>
      <c r="LI303" s="33"/>
      <c r="LJ303" s="33"/>
      <c r="LK303" s="33"/>
      <c r="LL303" s="33"/>
      <c r="LM303" s="33"/>
      <c r="LN303" s="33"/>
      <c r="LO303" s="33"/>
      <c r="LP303" s="33"/>
      <c r="LQ303" s="33"/>
      <c r="LR303" s="33"/>
      <c r="LS303" s="33"/>
      <c r="LT303" s="33"/>
      <c r="LU303" s="33"/>
      <c r="LV303" s="33"/>
      <c r="LW303" s="33"/>
      <c r="LX303" s="33"/>
      <c r="LY303" s="33"/>
      <c r="LZ303" s="33"/>
      <c r="MA303" s="33"/>
      <c r="MB303" s="33"/>
      <c r="MC303" s="33"/>
      <c r="MD303" s="33"/>
      <c r="ME303" s="33"/>
      <c r="MF303" s="33"/>
      <c r="MG303" s="33"/>
      <c r="MH303" s="33"/>
      <c r="MI303" s="33"/>
      <c r="MJ303" s="33"/>
      <c r="MK303" s="33"/>
      <c r="ML303" s="33"/>
      <c r="MM303" s="33"/>
      <c r="MN303" s="33"/>
      <c r="MO303" s="33"/>
      <c r="MP303" s="33"/>
      <c r="MQ303" s="33"/>
      <c r="MR303" s="33"/>
      <c r="MS303" s="33"/>
      <c r="MT303" s="33"/>
      <c r="MU303" s="33"/>
      <c r="MV303" s="33"/>
      <c r="MW303" s="33"/>
      <c r="MX303" s="33"/>
      <c r="MY303" s="33"/>
      <c r="MZ303" s="33"/>
      <c r="NA303" s="33"/>
      <c r="NB303" s="33"/>
      <c r="NC303" s="33"/>
      <c r="ND303" s="33"/>
      <c r="NE303" s="33"/>
      <c r="NF303" s="33"/>
      <c r="NG303" s="33"/>
      <c r="NH303" s="33"/>
      <c r="NI303" s="33"/>
      <c r="NJ303" s="33"/>
      <c r="NK303" s="33"/>
      <c r="NL303" s="33"/>
      <c r="NM303" s="33"/>
      <c r="NN303" s="33"/>
      <c r="NO303" s="33"/>
      <c r="NP303" s="33"/>
      <c r="NQ303" s="33"/>
      <c r="NR303" s="33"/>
      <c r="NS303" s="33"/>
      <c r="NT303" s="33"/>
      <c r="NU303" s="33"/>
      <c r="NV303" s="33"/>
      <c r="NW303" s="33"/>
      <c r="NX303" s="33"/>
      <c r="NY303" s="33"/>
      <c r="NZ303" s="33"/>
      <c r="OA303" s="33"/>
      <c r="OB303" s="33"/>
      <c r="OC303" s="33"/>
      <c r="OD303" s="33"/>
      <c r="OE303" s="33"/>
      <c r="OF303" s="33"/>
      <c r="OG303" s="33"/>
      <c r="OH303" s="33"/>
      <c r="OI303" s="33"/>
      <c r="OJ303" s="33"/>
      <c r="OK303" s="33"/>
      <c r="OL303" s="33"/>
      <c r="OM303" s="33"/>
      <c r="ON303" s="33"/>
      <c r="OO303" s="33"/>
      <c r="OP303" s="33"/>
      <c r="OQ303" s="33"/>
      <c r="OR303" s="33"/>
      <c r="OS303" s="33"/>
      <c r="OT303" s="33"/>
      <c r="OU303" s="33"/>
      <c r="OV303" s="33"/>
      <c r="OW303" s="33"/>
      <c r="OX303" s="33"/>
      <c r="OY303" s="33"/>
      <c r="OZ303" s="33"/>
      <c r="PA303" s="33"/>
      <c r="PB303" s="33"/>
      <c r="PC303" s="33"/>
      <c r="PD303" s="33"/>
      <c r="PE303" s="33"/>
      <c r="PF303" s="33"/>
      <c r="PG303" s="33"/>
      <c r="PH303" s="33"/>
      <c r="PI303" s="33"/>
      <c r="PJ303" s="33"/>
      <c r="PK303" s="33"/>
      <c r="PL303" s="33"/>
      <c r="PM303" s="33"/>
      <c r="PN303" s="33"/>
      <c r="PO303" s="33"/>
      <c r="PP303" s="33"/>
      <c r="PQ303" s="33"/>
      <c r="PR303" s="33"/>
      <c r="PS303" s="33"/>
      <c r="PT303" s="33"/>
      <c r="PU303" s="33"/>
      <c r="PV303" s="33"/>
      <c r="PW303" s="33"/>
      <c r="PX303" s="33"/>
      <c r="PY303" s="33"/>
      <c r="PZ303" s="33"/>
      <c r="QA303" s="33"/>
      <c r="QB303" s="33"/>
      <c r="QC303" s="33"/>
      <c r="QD303" s="33"/>
      <c r="QE303" s="33"/>
      <c r="QF303" s="33"/>
      <c r="QG303" s="33"/>
      <c r="QH303" s="33"/>
      <c r="QI303" s="33"/>
      <c r="QJ303" s="33"/>
      <c r="QK303" s="33"/>
      <c r="QL303" s="33"/>
      <c r="QM303" s="33"/>
      <c r="QN303" s="33"/>
      <c r="QO303" s="33"/>
      <c r="QP303" s="33"/>
      <c r="QQ303" s="33"/>
      <c r="QR303" s="33"/>
      <c r="QS303" s="33"/>
      <c r="QT303" s="33"/>
      <c r="QU303" s="33"/>
      <c r="QV303" s="33"/>
      <c r="QW303" s="33"/>
      <c r="QX303" s="33"/>
      <c r="QY303" s="33"/>
      <c r="QZ303" s="33"/>
      <c r="RA303" s="33"/>
      <c r="RB303" s="33"/>
      <c r="RC303" s="33"/>
      <c r="RD303" s="33"/>
      <c r="RE303" s="33"/>
      <c r="RF303" s="33"/>
      <c r="RG303" s="33"/>
      <c r="RH303" s="33"/>
      <c r="RI303" s="33"/>
      <c r="RJ303" s="33"/>
      <c r="RK303" s="33"/>
      <c r="RL303" s="33"/>
      <c r="RM303" s="33"/>
      <c r="RN303" s="33"/>
      <c r="RO303" s="33"/>
      <c r="RP303" s="33"/>
      <c r="RQ303" s="33"/>
      <c r="RR303" s="33"/>
      <c r="RS303" s="33"/>
      <c r="RT303" s="33"/>
      <c r="RU303" s="33"/>
      <c r="RV303" s="33"/>
      <c r="RW303" s="33"/>
      <c r="RX303" s="33"/>
      <c r="RY303" s="33"/>
      <c r="RZ303" s="33"/>
      <c r="SA303" s="33"/>
      <c r="SB303" s="33"/>
      <c r="SC303" s="33"/>
      <c r="SD303" s="33"/>
      <c r="SE303" s="33"/>
      <c r="SF303" s="33"/>
      <c r="SG303" s="33"/>
      <c r="SH303" s="33"/>
      <c r="SI303" s="33"/>
      <c r="SJ303" s="33"/>
      <c r="SK303" s="33"/>
      <c r="SL303" s="33"/>
      <c r="SM303" s="33"/>
      <c r="SN303" s="33"/>
      <c r="SO303" s="33"/>
      <c r="SP303" s="33"/>
      <c r="SQ303" s="33"/>
      <c r="SR303" s="33"/>
      <c r="SS303" s="33"/>
      <c r="ST303" s="33"/>
      <c r="SU303" s="33"/>
      <c r="SV303" s="33"/>
      <c r="SW303" s="33"/>
      <c r="SX303" s="33"/>
      <c r="SY303" s="33"/>
      <c r="SZ303" s="33"/>
      <c r="TA303" s="33"/>
      <c r="TB303" s="33"/>
      <c r="TC303" s="33"/>
      <c r="TD303" s="33"/>
      <c r="TE303" s="33"/>
      <c r="TF303" s="33"/>
      <c r="TG303" s="33"/>
    </row>
    <row r="304" spans="1:527" s="22" customFormat="1" ht="47.25" x14ac:dyDescent="0.25">
      <c r="A304" s="59" t="s">
        <v>215</v>
      </c>
      <c r="B304" s="92" t="str">
        <f>'дод 7'!A19</f>
        <v>0160</v>
      </c>
      <c r="C304" s="92" t="str">
        <f>'дод 7'!B19</f>
        <v>0111</v>
      </c>
      <c r="D304" s="36" t="s">
        <v>493</v>
      </c>
      <c r="E304" s="98">
        <f t="shared" ref="E304:E309" si="168">F304+I304</f>
        <v>19430978</v>
      </c>
      <c r="F304" s="98">
        <f>19290300+18000+22178+100500</f>
        <v>19430978</v>
      </c>
      <c r="G304" s="98">
        <f>14962200-30000</f>
        <v>14932200</v>
      </c>
      <c r="H304" s="98">
        <f>286600+22178+100500</f>
        <v>409278</v>
      </c>
      <c r="I304" s="98"/>
      <c r="J304" s="98">
        <f>L304+O304</f>
        <v>600000</v>
      </c>
      <c r="K304" s="98">
        <f>18000-18000+600000</f>
        <v>600000</v>
      </c>
      <c r="L304" s="98"/>
      <c r="M304" s="98"/>
      <c r="N304" s="98"/>
      <c r="O304" s="98">
        <f>18000-18000+600000</f>
        <v>600000</v>
      </c>
      <c r="P304" s="98">
        <f t="shared" ref="P304:P309" si="169">E304+J304</f>
        <v>20030978</v>
      </c>
      <c r="Q304" s="23"/>
      <c r="R304" s="32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  <c r="TF304" s="23"/>
      <c r="TG304" s="23"/>
    </row>
    <row r="305" spans="1:527" s="25" customFormat="1" ht="25.5" customHeight="1" x14ac:dyDescent="0.25">
      <c r="A305" s="59" t="s">
        <v>216</v>
      </c>
      <c r="B305" s="92" t="str">
        <f>'дод 7'!A174</f>
        <v>7130</v>
      </c>
      <c r="C305" s="92" t="str">
        <f>'дод 7'!B174</f>
        <v>0421</v>
      </c>
      <c r="D305" s="60" t="str">
        <f>'дод 7'!C174</f>
        <v>Здійснення заходів із землеустрою</v>
      </c>
      <c r="E305" s="98">
        <f t="shared" si="168"/>
        <v>450000</v>
      </c>
      <c r="F305" s="98">
        <f>150000+300000</f>
        <v>450000</v>
      </c>
      <c r="G305" s="98"/>
      <c r="H305" s="98"/>
      <c r="I305" s="98"/>
      <c r="J305" s="98">
        <f t="shared" ref="J305:J309" si="170">L305+O305</f>
        <v>0</v>
      </c>
      <c r="K305" s="98"/>
      <c r="L305" s="98"/>
      <c r="M305" s="98"/>
      <c r="N305" s="98"/>
      <c r="O305" s="98"/>
      <c r="P305" s="98">
        <f t="shared" si="169"/>
        <v>450000</v>
      </c>
      <c r="Q305" s="31"/>
      <c r="R305" s="32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  <c r="HP305" s="31"/>
      <c r="HQ305" s="31"/>
      <c r="HR305" s="31"/>
      <c r="HS305" s="31"/>
      <c r="HT305" s="31"/>
      <c r="HU305" s="31"/>
      <c r="HV305" s="31"/>
      <c r="HW305" s="31"/>
      <c r="HX305" s="31"/>
      <c r="HY305" s="31"/>
      <c r="HZ305" s="31"/>
      <c r="IA305" s="31"/>
      <c r="IB305" s="31"/>
      <c r="IC305" s="31"/>
      <c r="ID305" s="31"/>
      <c r="IE305" s="31"/>
      <c r="IF305" s="31"/>
      <c r="IG305" s="31"/>
      <c r="IH305" s="31"/>
      <c r="II305" s="31"/>
      <c r="IJ305" s="31"/>
      <c r="IK305" s="31"/>
      <c r="IL305" s="31"/>
      <c r="IM305" s="31"/>
      <c r="IN305" s="31"/>
      <c r="IO305" s="31"/>
      <c r="IP305" s="31"/>
      <c r="IQ305" s="31"/>
      <c r="IR305" s="31"/>
      <c r="IS305" s="31"/>
      <c r="IT305" s="31"/>
      <c r="IU305" s="31"/>
      <c r="IV305" s="31"/>
      <c r="IW305" s="31"/>
      <c r="IX305" s="31"/>
      <c r="IY305" s="31"/>
      <c r="IZ305" s="31"/>
      <c r="JA305" s="31"/>
      <c r="JB305" s="31"/>
      <c r="JC305" s="31"/>
      <c r="JD305" s="31"/>
      <c r="JE305" s="31"/>
      <c r="JF305" s="31"/>
      <c r="JG305" s="31"/>
      <c r="JH305" s="31"/>
      <c r="JI305" s="31"/>
      <c r="JJ305" s="31"/>
      <c r="JK305" s="31"/>
      <c r="JL305" s="31"/>
      <c r="JM305" s="31"/>
      <c r="JN305" s="31"/>
      <c r="JO305" s="31"/>
      <c r="JP305" s="31"/>
      <c r="JQ305" s="31"/>
      <c r="JR305" s="31"/>
      <c r="JS305" s="31"/>
      <c r="JT305" s="31"/>
      <c r="JU305" s="31"/>
      <c r="JV305" s="31"/>
      <c r="JW305" s="31"/>
      <c r="JX305" s="31"/>
      <c r="JY305" s="31"/>
      <c r="JZ305" s="31"/>
      <c r="KA305" s="31"/>
      <c r="KB305" s="31"/>
      <c r="KC305" s="31"/>
      <c r="KD305" s="31"/>
      <c r="KE305" s="31"/>
      <c r="KF305" s="31"/>
      <c r="KG305" s="31"/>
      <c r="KH305" s="31"/>
      <c r="KI305" s="31"/>
      <c r="KJ305" s="31"/>
      <c r="KK305" s="31"/>
      <c r="KL305" s="31"/>
      <c r="KM305" s="31"/>
      <c r="KN305" s="31"/>
      <c r="KO305" s="31"/>
      <c r="KP305" s="31"/>
      <c r="KQ305" s="31"/>
      <c r="KR305" s="31"/>
      <c r="KS305" s="31"/>
      <c r="KT305" s="31"/>
      <c r="KU305" s="31"/>
      <c r="KV305" s="31"/>
      <c r="KW305" s="31"/>
      <c r="KX305" s="31"/>
      <c r="KY305" s="31"/>
      <c r="KZ305" s="31"/>
      <c r="LA305" s="31"/>
      <c r="LB305" s="31"/>
      <c r="LC305" s="31"/>
      <c r="LD305" s="31"/>
      <c r="LE305" s="31"/>
      <c r="LF305" s="31"/>
      <c r="LG305" s="31"/>
      <c r="LH305" s="31"/>
      <c r="LI305" s="31"/>
      <c r="LJ305" s="31"/>
      <c r="LK305" s="31"/>
      <c r="LL305" s="31"/>
      <c r="LM305" s="31"/>
      <c r="LN305" s="31"/>
      <c r="LO305" s="31"/>
      <c r="LP305" s="31"/>
      <c r="LQ305" s="31"/>
      <c r="LR305" s="31"/>
      <c r="LS305" s="31"/>
      <c r="LT305" s="31"/>
      <c r="LU305" s="31"/>
      <c r="LV305" s="31"/>
      <c r="LW305" s="31"/>
      <c r="LX305" s="31"/>
      <c r="LY305" s="31"/>
      <c r="LZ305" s="31"/>
      <c r="MA305" s="31"/>
      <c r="MB305" s="31"/>
      <c r="MC305" s="31"/>
      <c r="MD305" s="31"/>
      <c r="ME305" s="31"/>
      <c r="MF305" s="31"/>
      <c r="MG305" s="31"/>
      <c r="MH305" s="31"/>
      <c r="MI305" s="31"/>
      <c r="MJ305" s="31"/>
      <c r="MK305" s="31"/>
      <c r="ML305" s="31"/>
      <c r="MM305" s="31"/>
      <c r="MN305" s="31"/>
      <c r="MO305" s="31"/>
      <c r="MP305" s="31"/>
      <c r="MQ305" s="31"/>
      <c r="MR305" s="31"/>
      <c r="MS305" s="31"/>
      <c r="MT305" s="31"/>
      <c r="MU305" s="31"/>
      <c r="MV305" s="31"/>
      <c r="MW305" s="31"/>
      <c r="MX305" s="31"/>
      <c r="MY305" s="31"/>
      <c r="MZ305" s="31"/>
      <c r="NA305" s="31"/>
      <c r="NB305" s="31"/>
      <c r="NC305" s="31"/>
      <c r="ND305" s="31"/>
      <c r="NE305" s="31"/>
      <c r="NF305" s="31"/>
      <c r="NG305" s="31"/>
      <c r="NH305" s="31"/>
      <c r="NI305" s="31"/>
      <c r="NJ305" s="31"/>
      <c r="NK305" s="31"/>
      <c r="NL305" s="31"/>
      <c r="NM305" s="31"/>
      <c r="NN305" s="31"/>
      <c r="NO305" s="31"/>
      <c r="NP305" s="31"/>
      <c r="NQ305" s="31"/>
      <c r="NR305" s="31"/>
      <c r="NS305" s="31"/>
      <c r="NT305" s="31"/>
      <c r="NU305" s="31"/>
      <c r="NV305" s="31"/>
      <c r="NW305" s="31"/>
      <c r="NX305" s="31"/>
      <c r="NY305" s="31"/>
      <c r="NZ305" s="31"/>
      <c r="OA305" s="31"/>
      <c r="OB305" s="31"/>
      <c r="OC305" s="31"/>
      <c r="OD305" s="31"/>
      <c r="OE305" s="31"/>
      <c r="OF305" s="31"/>
      <c r="OG305" s="31"/>
      <c r="OH305" s="31"/>
      <c r="OI305" s="31"/>
      <c r="OJ305" s="31"/>
      <c r="OK305" s="31"/>
      <c r="OL305" s="31"/>
      <c r="OM305" s="31"/>
      <c r="ON305" s="31"/>
      <c r="OO305" s="31"/>
      <c r="OP305" s="31"/>
      <c r="OQ305" s="31"/>
      <c r="OR305" s="31"/>
      <c r="OS305" s="31"/>
      <c r="OT305" s="31"/>
      <c r="OU305" s="31"/>
      <c r="OV305" s="31"/>
      <c r="OW305" s="31"/>
      <c r="OX305" s="31"/>
      <c r="OY305" s="31"/>
      <c r="OZ305" s="31"/>
      <c r="PA305" s="31"/>
      <c r="PB305" s="31"/>
      <c r="PC305" s="31"/>
      <c r="PD305" s="31"/>
      <c r="PE305" s="31"/>
      <c r="PF305" s="31"/>
      <c r="PG305" s="31"/>
      <c r="PH305" s="31"/>
      <c r="PI305" s="31"/>
      <c r="PJ305" s="31"/>
      <c r="PK305" s="31"/>
      <c r="PL305" s="31"/>
      <c r="PM305" s="31"/>
      <c r="PN305" s="31"/>
      <c r="PO305" s="31"/>
      <c r="PP305" s="31"/>
      <c r="PQ305" s="31"/>
      <c r="PR305" s="31"/>
      <c r="PS305" s="31"/>
      <c r="PT305" s="31"/>
      <c r="PU305" s="31"/>
      <c r="PV305" s="31"/>
      <c r="PW305" s="31"/>
      <c r="PX305" s="31"/>
      <c r="PY305" s="31"/>
      <c r="PZ305" s="31"/>
      <c r="QA305" s="31"/>
      <c r="QB305" s="31"/>
      <c r="QC305" s="31"/>
      <c r="QD305" s="31"/>
      <c r="QE305" s="31"/>
      <c r="QF305" s="31"/>
      <c r="QG305" s="31"/>
      <c r="QH305" s="31"/>
      <c r="QI305" s="31"/>
      <c r="QJ305" s="31"/>
      <c r="QK305" s="31"/>
      <c r="QL305" s="31"/>
      <c r="QM305" s="31"/>
      <c r="QN305" s="31"/>
      <c r="QO305" s="31"/>
      <c r="QP305" s="31"/>
      <c r="QQ305" s="31"/>
      <c r="QR305" s="31"/>
      <c r="QS305" s="31"/>
      <c r="QT305" s="31"/>
      <c r="QU305" s="31"/>
      <c r="QV305" s="31"/>
      <c r="QW305" s="31"/>
      <c r="QX305" s="31"/>
      <c r="QY305" s="31"/>
      <c r="QZ305" s="31"/>
      <c r="RA305" s="31"/>
      <c r="RB305" s="31"/>
      <c r="RC305" s="31"/>
      <c r="RD305" s="31"/>
      <c r="RE305" s="31"/>
      <c r="RF305" s="31"/>
      <c r="RG305" s="31"/>
      <c r="RH305" s="31"/>
      <c r="RI305" s="31"/>
      <c r="RJ305" s="31"/>
      <c r="RK305" s="31"/>
      <c r="RL305" s="31"/>
      <c r="RM305" s="31"/>
      <c r="RN305" s="31"/>
      <c r="RO305" s="31"/>
      <c r="RP305" s="31"/>
      <c r="RQ305" s="31"/>
      <c r="RR305" s="31"/>
      <c r="RS305" s="31"/>
      <c r="RT305" s="31"/>
      <c r="RU305" s="31"/>
      <c r="RV305" s="31"/>
      <c r="RW305" s="31"/>
      <c r="RX305" s="31"/>
      <c r="RY305" s="31"/>
      <c r="RZ305" s="31"/>
      <c r="SA305" s="31"/>
      <c r="SB305" s="31"/>
      <c r="SC305" s="31"/>
      <c r="SD305" s="31"/>
      <c r="SE305" s="31"/>
      <c r="SF305" s="31"/>
      <c r="SG305" s="31"/>
      <c r="SH305" s="31"/>
      <c r="SI305" s="31"/>
      <c r="SJ305" s="31"/>
      <c r="SK305" s="31"/>
      <c r="SL305" s="31"/>
      <c r="SM305" s="31"/>
      <c r="SN305" s="31"/>
      <c r="SO305" s="31"/>
      <c r="SP305" s="31"/>
      <c r="SQ305" s="31"/>
      <c r="SR305" s="31"/>
      <c r="SS305" s="31"/>
      <c r="ST305" s="31"/>
      <c r="SU305" s="31"/>
      <c r="SV305" s="31"/>
      <c r="SW305" s="31"/>
      <c r="SX305" s="31"/>
      <c r="SY305" s="31"/>
      <c r="SZ305" s="31"/>
      <c r="TA305" s="31"/>
      <c r="TB305" s="31"/>
      <c r="TC305" s="31"/>
      <c r="TD305" s="31"/>
      <c r="TE305" s="31"/>
      <c r="TF305" s="31"/>
      <c r="TG305" s="31"/>
    </row>
    <row r="306" spans="1:527" s="22" customFormat="1" ht="29.25" customHeight="1" x14ac:dyDescent="0.25">
      <c r="A306" s="102" t="s">
        <v>217</v>
      </c>
      <c r="B306" s="42" t="str">
        <f>'дод 7'!A217</f>
        <v>7610</v>
      </c>
      <c r="C306" s="42" t="str">
        <f>'дод 7'!B217</f>
        <v>0411</v>
      </c>
      <c r="D306" s="36" t="str">
        <f>'дод 7'!C217</f>
        <v>Сприяння розвитку малого та середнього підприємництва</v>
      </c>
      <c r="E306" s="98">
        <f t="shared" si="168"/>
        <v>312000</v>
      </c>
      <c r="F306" s="98">
        <f>415000-103000</f>
        <v>312000</v>
      </c>
      <c r="G306" s="98"/>
      <c r="H306" s="98"/>
      <c r="I306" s="98">
        <f>500000-500000</f>
        <v>0</v>
      </c>
      <c r="J306" s="98">
        <f t="shared" si="170"/>
        <v>0</v>
      </c>
      <c r="K306" s="98"/>
      <c r="L306" s="98"/>
      <c r="M306" s="98"/>
      <c r="N306" s="98"/>
      <c r="O306" s="98"/>
      <c r="P306" s="98">
        <f t="shared" si="169"/>
        <v>312000</v>
      </c>
      <c r="Q306" s="23"/>
      <c r="R306" s="32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</row>
    <row r="307" spans="1:527" s="22" customFormat="1" ht="32.25" customHeight="1" x14ac:dyDescent="0.25">
      <c r="A307" s="102" t="s">
        <v>266</v>
      </c>
      <c r="B307" s="42" t="str">
        <f>'дод 7'!A220</f>
        <v>7650</v>
      </c>
      <c r="C307" s="42" t="str">
        <f>'дод 7'!B220</f>
        <v>0490</v>
      </c>
      <c r="D307" s="36" t="str">
        <f>'дод 7'!C220</f>
        <v>Проведення експертної грошової оцінки земельної ділянки чи права на неї</v>
      </c>
      <c r="E307" s="98">
        <f t="shared" si="168"/>
        <v>0</v>
      </c>
      <c r="F307" s="98"/>
      <c r="G307" s="98"/>
      <c r="H307" s="98"/>
      <c r="I307" s="98"/>
      <c r="J307" s="98">
        <f t="shared" si="170"/>
        <v>20000</v>
      </c>
      <c r="K307" s="98">
        <v>20000</v>
      </c>
      <c r="L307" s="98"/>
      <c r="M307" s="98"/>
      <c r="N307" s="98"/>
      <c r="O307" s="98">
        <v>20000</v>
      </c>
      <c r="P307" s="98">
        <f t="shared" si="169"/>
        <v>20000</v>
      </c>
      <c r="Q307" s="23"/>
      <c r="R307" s="32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  <c r="TF307" s="23"/>
      <c r="TG307" s="23"/>
    </row>
    <row r="308" spans="1:527" s="22" customFormat="1" ht="67.5" customHeight="1" x14ac:dyDescent="0.25">
      <c r="A308" s="102" t="s">
        <v>268</v>
      </c>
      <c r="B308" s="42" t="str">
        <f>'дод 7'!A221</f>
        <v>7660</v>
      </c>
      <c r="C308" s="42" t="str">
        <f>'дод 7'!B221</f>
        <v>0490</v>
      </c>
      <c r="D308" s="36" t="str">
        <f>'дод 7'!C221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08" s="98">
        <f t="shared" si="168"/>
        <v>0</v>
      </c>
      <c r="F308" s="98"/>
      <c r="G308" s="98"/>
      <c r="H308" s="98"/>
      <c r="I308" s="98"/>
      <c r="J308" s="98">
        <f t="shared" si="170"/>
        <v>45000</v>
      </c>
      <c r="K308" s="98">
        <v>45000</v>
      </c>
      <c r="L308" s="98"/>
      <c r="M308" s="98"/>
      <c r="N308" s="98"/>
      <c r="O308" s="98">
        <v>45000</v>
      </c>
      <c r="P308" s="98">
        <f t="shared" si="169"/>
        <v>45000</v>
      </c>
      <c r="Q308" s="23"/>
      <c r="R308" s="32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  <c r="TF308" s="23"/>
      <c r="TG308" s="23"/>
    </row>
    <row r="309" spans="1:527" s="22" customFormat="1" ht="23.25" customHeight="1" x14ac:dyDescent="0.25">
      <c r="A309" s="102" t="s">
        <v>264</v>
      </c>
      <c r="B309" s="42" t="str">
        <f>'дод 7'!A226</f>
        <v>7693</v>
      </c>
      <c r="C309" s="42" t="str">
        <f>'дод 7'!B226</f>
        <v>0490</v>
      </c>
      <c r="D309" s="36" t="str">
        <f>'дод 7'!C226</f>
        <v>Інші заходи, пов'язані з економічною діяльністю</v>
      </c>
      <c r="E309" s="98">
        <f t="shared" si="168"/>
        <v>891000</v>
      </c>
      <c r="F309" s="98">
        <f>788000+103000</f>
        <v>891000</v>
      </c>
      <c r="G309" s="98"/>
      <c r="H309" s="98"/>
      <c r="I309" s="98"/>
      <c r="J309" s="98">
        <f t="shared" si="170"/>
        <v>0</v>
      </c>
      <c r="K309" s="98"/>
      <c r="L309" s="98"/>
      <c r="M309" s="98"/>
      <c r="N309" s="98"/>
      <c r="O309" s="98"/>
      <c r="P309" s="98">
        <f t="shared" si="169"/>
        <v>891000</v>
      </c>
      <c r="Q309" s="23"/>
      <c r="R309" s="32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  <c r="SQ309" s="23"/>
      <c r="SR309" s="23"/>
      <c r="SS309" s="23"/>
      <c r="ST309" s="23"/>
      <c r="SU309" s="23"/>
      <c r="SV309" s="23"/>
      <c r="SW309" s="23"/>
      <c r="SX309" s="23"/>
      <c r="SY309" s="23"/>
      <c r="SZ309" s="23"/>
      <c r="TA309" s="23"/>
      <c r="TB309" s="23"/>
      <c r="TC309" s="23"/>
      <c r="TD309" s="23"/>
      <c r="TE309" s="23"/>
      <c r="TF309" s="23"/>
      <c r="TG309" s="23"/>
    </row>
    <row r="310" spans="1:527" s="22" customFormat="1" ht="35.25" customHeight="1" x14ac:dyDescent="0.25">
      <c r="A310" s="105" t="s">
        <v>426</v>
      </c>
      <c r="B310" s="39"/>
      <c r="C310" s="39"/>
      <c r="D310" s="106" t="s">
        <v>427</v>
      </c>
      <c r="E310" s="94">
        <f>E311</f>
        <v>20000</v>
      </c>
      <c r="F310" s="94">
        <f t="shared" ref="F310:P310" si="171">F311</f>
        <v>20000</v>
      </c>
      <c r="G310" s="94">
        <f t="shared" si="171"/>
        <v>0</v>
      </c>
      <c r="H310" s="94">
        <f t="shared" si="171"/>
        <v>0</v>
      </c>
      <c r="I310" s="94">
        <f t="shared" si="171"/>
        <v>0</v>
      </c>
      <c r="J310" s="94">
        <f t="shared" si="171"/>
        <v>0</v>
      </c>
      <c r="K310" s="94">
        <f t="shared" si="171"/>
        <v>0</v>
      </c>
      <c r="L310" s="94">
        <f t="shared" si="171"/>
        <v>0</v>
      </c>
      <c r="M310" s="94">
        <f t="shared" si="171"/>
        <v>0</v>
      </c>
      <c r="N310" s="94">
        <f t="shared" si="171"/>
        <v>0</v>
      </c>
      <c r="O310" s="94">
        <f t="shared" si="171"/>
        <v>0</v>
      </c>
      <c r="P310" s="94">
        <f t="shared" si="171"/>
        <v>20000</v>
      </c>
      <c r="Q310" s="23"/>
      <c r="R310" s="32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  <c r="TF310" s="23"/>
      <c r="TG310" s="23"/>
    </row>
    <row r="311" spans="1:527" s="34" customFormat="1" ht="34.5" customHeight="1" x14ac:dyDescent="0.25">
      <c r="A311" s="107" t="s">
        <v>425</v>
      </c>
      <c r="B311" s="73"/>
      <c r="C311" s="73"/>
      <c r="D311" s="76" t="s">
        <v>427</v>
      </c>
      <c r="E311" s="97">
        <f>E312</f>
        <v>20000</v>
      </c>
      <c r="F311" s="97">
        <f t="shared" ref="F311:P311" si="172">F312</f>
        <v>20000</v>
      </c>
      <c r="G311" s="97">
        <f t="shared" si="172"/>
        <v>0</v>
      </c>
      <c r="H311" s="97">
        <f t="shared" si="172"/>
        <v>0</v>
      </c>
      <c r="I311" s="97">
        <f t="shared" si="172"/>
        <v>0</v>
      </c>
      <c r="J311" s="97">
        <f t="shared" si="172"/>
        <v>0</v>
      </c>
      <c r="K311" s="97">
        <f t="shared" si="172"/>
        <v>0</v>
      </c>
      <c r="L311" s="97">
        <f t="shared" si="172"/>
        <v>0</v>
      </c>
      <c r="M311" s="97">
        <f t="shared" si="172"/>
        <v>0</v>
      </c>
      <c r="N311" s="97">
        <f t="shared" si="172"/>
        <v>0</v>
      </c>
      <c r="O311" s="97">
        <f t="shared" si="172"/>
        <v>0</v>
      </c>
      <c r="P311" s="97">
        <f t="shared" si="172"/>
        <v>20000</v>
      </c>
      <c r="Q311" s="33"/>
      <c r="R311" s="32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CW311" s="33"/>
      <c r="CX311" s="33"/>
      <c r="CY311" s="33"/>
      <c r="CZ311" s="33"/>
      <c r="DA311" s="33"/>
      <c r="DB311" s="33"/>
      <c r="DC311" s="33"/>
      <c r="DD311" s="33"/>
      <c r="DE311" s="33"/>
      <c r="DF311" s="33"/>
      <c r="DG311" s="33"/>
      <c r="DH311" s="33"/>
      <c r="DI311" s="33"/>
      <c r="DJ311" s="33"/>
      <c r="DK311" s="33"/>
      <c r="DL311" s="33"/>
      <c r="DM311" s="33"/>
      <c r="DN311" s="33"/>
      <c r="DO311" s="33"/>
      <c r="DP311" s="33"/>
      <c r="DQ311" s="33"/>
      <c r="DR311" s="33"/>
      <c r="DS311" s="33"/>
      <c r="DT311" s="33"/>
      <c r="DU311" s="33"/>
      <c r="DV311" s="33"/>
      <c r="DW311" s="33"/>
      <c r="DX311" s="33"/>
      <c r="DY311" s="33"/>
      <c r="DZ311" s="33"/>
      <c r="EA311" s="33"/>
      <c r="EB311" s="33"/>
      <c r="EC311" s="33"/>
      <c r="ED311" s="33"/>
      <c r="EE311" s="33"/>
      <c r="EF311" s="33"/>
      <c r="EG311" s="33"/>
      <c r="EH311" s="33"/>
      <c r="EI311" s="33"/>
      <c r="EJ311" s="33"/>
      <c r="EK311" s="33"/>
      <c r="EL311" s="33"/>
      <c r="EM311" s="33"/>
      <c r="EN311" s="33"/>
      <c r="EO311" s="33"/>
      <c r="EP311" s="33"/>
      <c r="EQ311" s="33"/>
      <c r="ER311" s="33"/>
      <c r="ES311" s="33"/>
      <c r="ET311" s="33"/>
      <c r="EU311" s="33"/>
      <c r="EV311" s="33"/>
      <c r="EW311" s="33"/>
      <c r="EX311" s="33"/>
      <c r="EY311" s="33"/>
      <c r="EZ311" s="33"/>
      <c r="FA311" s="33"/>
      <c r="FB311" s="33"/>
      <c r="FC311" s="33"/>
      <c r="FD311" s="33"/>
      <c r="FE311" s="33"/>
      <c r="FF311" s="33"/>
      <c r="FG311" s="33"/>
      <c r="FH311" s="33"/>
      <c r="FI311" s="33"/>
      <c r="FJ311" s="33"/>
      <c r="FK311" s="33"/>
      <c r="FL311" s="33"/>
      <c r="FM311" s="33"/>
      <c r="FN311" s="33"/>
      <c r="FO311" s="33"/>
      <c r="FP311" s="33"/>
      <c r="FQ311" s="33"/>
      <c r="FR311" s="33"/>
      <c r="FS311" s="33"/>
      <c r="FT311" s="33"/>
      <c r="FU311" s="33"/>
      <c r="FV311" s="33"/>
      <c r="FW311" s="33"/>
      <c r="FX311" s="33"/>
      <c r="FY311" s="33"/>
      <c r="FZ311" s="33"/>
      <c r="GA311" s="33"/>
      <c r="GB311" s="33"/>
      <c r="GC311" s="33"/>
      <c r="GD311" s="33"/>
      <c r="GE311" s="33"/>
      <c r="GF311" s="33"/>
      <c r="GG311" s="33"/>
      <c r="GH311" s="33"/>
      <c r="GI311" s="33"/>
      <c r="GJ311" s="33"/>
      <c r="GK311" s="33"/>
      <c r="GL311" s="33"/>
      <c r="GM311" s="33"/>
      <c r="GN311" s="33"/>
      <c r="GO311" s="33"/>
      <c r="GP311" s="33"/>
      <c r="GQ311" s="33"/>
      <c r="GR311" s="33"/>
      <c r="GS311" s="33"/>
      <c r="GT311" s="33"/>
      <c r="GU311" s="33"/>
      <c r="GV311" s="33"/>
      <c r="GW311" s="33"/>
      <c r="GX311" s="33"/>
      <c r="GY311" s="33"/>
      <c r="GZ311" s="33"/>
      <c r="HA311" s="33"/>
      <c r="HB311" s="33"/>
      <c r="HC311" s="33"/>
      <c r="HD311" s="33"/>
      <c r="HE311" s="33"/>
      <c r="HF311" s="33"/>
      <c r="HG311" s="33"/>
      <c r="HH311" s="33"/>
      <c r="HI311" s="33"/>
      <c r="HJ311" s="33"/>
      <c r="HK311" s="33"/>
      <c r="HL311" s="33"/>
      <c r="HM311" s="33"/>
      <c r="HN311" s="33"/>
      <c r="HO311" s="33"/>
      <c r="HP311" s="33"/>
      <c r="HQ311" s="33"/>
      <c r="HR311" s="33"/>
      <c r="HS311" s="33"/>
      <c r="HT311" s="33"/>
      <c r="HU311" s="33"/>
      <c r="HV311" s="33"/>
      <c r="HW311" s="33"/>
      <c r="HX311" s="33"/>
      <c r="HY311" s="33"/>
      <c r="HZ311" s="33"/>
      <c r="IA311" s="33"/>
      <c r="IB311" s="33"/>
      <c r="IC311" s="33"/>
      <c r="ID311" s="33"/>
      <c r="IE311" s="33"/>
      <c r="IF311" s="33"/>
      <c r="IG311" s="33"/>
      <c r="IH311" s="33"/>
      <c r="II311" s="33"/>
      <c r="IJ311" s="33"/>
      <c r="IK311" s="33"/>
      <c r="IL311" s="33"/>
      <c r="IM311" s="33"/>
      <c r="IN311" s="33"/>
      <c r="IO311" s="33"/>
      <c r="IP311" s="33"/>
      <c r="IQ311" s="33"/>
      <c r="IR311" s="33"/>
      <c r="IS311" s="33"/>
      <c r="IT311" s="33"/>
      <c r="IU311" s="33"/>
      <c r="IV311" s="33"/>
      <c r="IW311" s="33"/>
      <c r="IX311" s="33"/>
      <c r="IY311" s="33"/>
      <c r="IZ311" s="33"/>
      <c r="JA311" s="33"/>
      <c r="JB311" s="33"/>
      <c r="JC311" s="33"/>
      <c r="JD311" s="33"/>
      <c r="JE311" s="33"/>
      <c r="JF311" s="33"/>
      <c r="JG311" s="33"/>
      <c r="JH311" s="33"/>
      <c r="JI311" s="33"/>
      <c r="JJ311" s="33"/>
      <c r="JK311" s="33"/>
      <c r="JL311" s="33"/>
      <c r="JM311" s="33"/>
      <c r="JN311" s="33"/>
      <c r="JO311" s="33"/>
      <c r="JP311" s="33"/>
      <c r="JQ311" s="33"/>
      <c r="JR311" s="33"/>
      <c r="JS311" s="33"/>
      <c r="JT311" s="33"/>
      <c r="JU311" s="33"/>
      <c r="JV311" s="33"/>
      <c r="JW311" s="33"/>
      <c r="JX311" s="33"/>
      <c r="JY311" s="33"/>
      <c r="JZ311" s="33"/>
      <c r="KA311" s="33"/>
      <c r="KB311" s="33"/>
      <c r="KC311" s="33"/>
      <c r="KD311" s="33"/>
      <c r="KE311" s="33"/>
      <c r="KF311" s="33"/>
      <c r="KG311" s="33"/>
      <c r="KH311" s="33"/>
      <c r="KI311" s="33"/>
      <c r="KJ311" s="33"/>
      <c r="KK311" s="33"/>
      <c r="KL311" s="33"/>
      <c r="KM311" s="33"/>
      <c r="KN311" s="33"/>
      <c r="KO311" s="33"/>
      <c r="KP311" s="33"/>
      <c r="KQ311" s="33"/>
      <c r="KR311" s="33"/>
      <c r="KS311" s="33"/>
      <c r="KT311" s="33"/>
      <c r="KU311" s="33"/>
      <c r="KV311" s="33"/>
      <c r="KW311" s="33"/>
      <c r="KX311" s="33"/>
      <c r="KY311" s="33"/>
      <c r="KZ311" s="33"/>
      <c r="LA311" s="33"/>
      <c r="LB311" s="33"/>
      <c r="LC311" s="33"/>
      <c r="LD311" s="33"/>
      <c r="LE311" s="33"/>
      <c r="LF311" s="33"/>
      <c r="LG311" s="33"/>
      <c r="LH311" s="33"/>
      <c r="LI311" s="33"/>
      <c r="LJ311" s="33"/>
      <c r="LK311" s="33"/>
      <c r="LL311" s="33"/>
      <c r="LM311" s="33"/>
      <c r="LN311" s="33"/>
      <c r="LO311" s="33"/>
      <c r="LP311" s="33"/>
      <c r="LQ311" s="33"/>
      <c r="LR311" s="33"/>
      <c r="LS311" s="33"/>
      <c r="LT311" s="33"/>
      <c r="LU311" s="33"/>
      <c r="LV311" s="33"/>
      <c r="LW311" s="33"/>
      <c r="LX311" s="33"/>
      <c r="LY311" s="33"/>
      <c r="LZ311" s="33"/>
      <c r="MA311" s="33"/>
      <c r="MB311" s="33"/>
      <c r="MC311" s="33"/>
      <c r="MD311" s="33"/>
      <c r="ME311" s="33"/>
      <c r="MF311" s="33"/>
      <c r="MG311" s="33"/>
      <c r="MH311" s="33"/>
      <c r="MI311" s="33"/>
      <c r="MJ311" s="33"/>
      <c r="MK311" s="33"/>
      <c r="ML311" s="33"/>
      <c r="MM311" s="33"/>
      <c r="MN311" s="33"/>
      <c r="MO311" s="33"/>
      <c r="MP311" s="33"/>
      <c r="MQ311" s="33"/>
      <c r="MR311" s="33"/>
      <c r="MS311" s="33"/>
      <c r="MT311" s="33"/>
      <c r="MU311" s="33"/>
      <c r="MV311" s="33"/>
      <c r="MW311" s="33"/>
      <c r="MX311" s="33"/>
      <c r="MY311" s="33"/>
      <c r="MZ311" s="33"/>
      <c r="NA311" s="33"/>
      <c r="NB311" s="33"/>
      <c r="NC311" s="33"/>
      <c r="ND311" s="33"/>
      <c r="NE311" s="33"/>
      <c r="NF311" s="33"/>
      <c r="NG311" s="33"/>
      <c r="NH311" s="33"/>
      <c r="NI311" s="33"/>
      <c r="NJ311" s="33"/>
      <c r="NK311" s="33"/>
      <c r="NL311" s="33"/>
      <c r="NM311" s="33"/>
      <c r="NN311" s="33"/>
      <c r="NO311" s="33"/>
      <c r="NP311" s="33"/>
      <c r="NQ311" s="33"/>
      <c r="NR311" s="33"/>
      <c r="NS311" s="33"/>
      <c r="NT311" s="33"/>
      <c r="NU311" s="33"/>
      <c r="NV311" s="33"/>
      <c r="NW311" s="33"/>
      <c r="NX311" s="33"/>
      <c r="NY311" s="33"/>
      <c r="NZ311" s="33"/>
      <c r="OA311" s="33"/>
      <c r="OB311" s="33"/>
      <c r="OC311" s="33"/>
      <c r="OD311" s="33"/>
      <c r="OE311" s="33"/>
      <c r="OF311" s="33"/>
      <c r="OG311" s="33"/>
      <c r="OH311" s="33"/>
      <c r="OI311" s="33"/>
      <c r="OJ311" s="33"/>
      <c r="OK311" s="33"/>
      <c r="OL311" s="33"/>
      <c r="OM311" s="33"/>
      <c r="ON311" s="33"/>
      <c r="OO311" s="33"/>
      <c r="OP311" s="33"/>
      <c r="OQ311" s="33"/>
      <c r="OR311" s="33"/>
      <c r="OS311" s="33"/>
      <c r="OT311" s="33"/>
      <c r="OU311" s="33"/>
      <c r="OV311" s="33"/>
      <c r="OW311" s="33"/>
      <c r="OX311" s="33"/>
      <c r="OY311" s="33"/>
      <c r="OZ311" s="33"/>
      <c r="PA311" s="33"/>
      <c r="PB311" s="33"/>
      <c r="PC311" s="33"/>
      <c r="PD311" s="33"/>
      <c r="PE311" s="33"/>
      <c r="PF311" s="33"/>
      <c r="PG311" s="33"/>
      <c r="PH311" s="33"/>
      <c r="PI311" s="33"/>
      <c r="PJ311" s="33"/>
      <c r="PK311" s="33"/>
      <c r="PL311" s="33"/>
      <c r="PM311" s="33"/>
      <c r="PN311" s="33"/>
      <c r="PO311" s="33"/>
      <c r="PP311" s="33"/>
      <c r="PQ311" s="33"/>
      <c r="PR311" s="33"/>
      <c r="PS311" s="33"/>
      <c r="PT311" s="33"/>
      <c r="PU311" s="33"/>
      <c r="PV311" s="33"/>
      <c r="PW311" s="33"/>
      <c r="PX311" s="33"/>
      <c r="PY311" s="33"/>
      <c r="PZ311" s="33"/>
      <c r="QA311" s="33"/>
      <c r="QB311" s="33"/>
      <c r="QC311" s="33"/>
      <c r="QD311" s="33"/>
      <c r="QE311" s="33"/>
      <c r="QF311" s="33"/>
      <c r="QG311" s="33"/>
      <c r="QH311" s="33"/>
      <c r="QI311" s="33"/>
      <c r="QJ311" s="33"/>
      <c r="QK311" s="33"/>
      <c r="QL311" s="33"/>
      <c r="QM311" s="33"/>
      <c r="QN311" s="33"/>
      <c r="QO311" s="33"/>
      <c r="QP311" s="33"/>
      <c r="QQ311" s="33"/>
      <c r="QR311" s="33"/>
      <c r="QS311" s="33"/>
      <c r="QT311" s="33"/>
      <c r="QU311" s="33"/>
      <c r="QV311" s="33"/>
      <c r="QW311" s="33"/>
      <c r="QX311" s="33"/>
      <c r="QY311" s="33"/>
      <c r="QZ311" s="33"/>
      <c r="RA311" s="33"/>
      <c r="RB311" s="33"/>
      <c r="RC311" s="33"/>
      <c r="RD311" s="33"/>
      <c r="RE311" s="33"/>
      <c r="RF311" s="33"/>
      <c r="RG311" s="33"/>
      <c r="RH311" s="33"/>
      <c r="RI311" s="33"/>
      <c r="RJ311" s="33"/>
      <c r="RK311" s="33"/>
      <c r="RL311" s="33"/>
      <c r="RM311" s="33"/>
      <c r="RN311" s="33"/>
      <c r="RO311" s="33"/>
      <c r="RP311" s="33"/>
      <c r="RQ311" s="33"/>
      <c r="RR311" s="33"/>
      <c r="RS311" s="33"/>
      <c r="RT311" s="33"/>
      <c r="RU311" s="33"/>
      <c r="RV311" s="33"/>
      <c r="RW311" s="33"/>
      <c r="RX311" s="33"/>
      <c r="RY311" s="33"/>
      <c r="RZ311" s="33"/>
      <c r="SA311" s="33"/>
      <c r="SB311" s="33"/>
      <c r="SC311" s="33"/>
      <c r="SD311" s="33"/>
      <c r="SE311" s="33"/>
      <c r="SF311" s="33"/>
      <c r="SG311" s="33"/>
      <c r="SH311" s="33"/>
      <c r="SI311" s="33"/>
      <c r="SJ311" s="33"/>
      <c r="SK311" s="33"/>
      <c r="SL311" s="33"/>
      <c r="SM311" s="33"/>
      <c r="SN311" s="33"/>
      <c r="SO311" s="33"/>
      <c r="SP311" s="33"/>
      <c r="SQ311" s="33"/>
      <c r="SR311" s="33"/>
      <c r="SS311" s="33"/>
      <c r="ST311" s="33"/>
      <c r="SU311" s="33"/>
      <c r="SV311" s="33"/>
      <c r="SW311" s="33"/>
      <c r="SX311" s="33"/>
      <c r="SY311" s="33"/>
      <c r="SZ311" s="33"/>
      <c r="TA311" s="33"/>
      <c r="TB311" s="33"/>
      <c r="TC311" s="33"/>
      <c r="TD311" s="33"/>
      <c r="TE311" s="33"/>
      <c r="TF311" s="33"/>
      <c r="TG311" s="33"/>
    </row>
    <row r="312" spans="1:527" s="22" customFormat="1" ht="45.75" customHeight="1" x14ac:dyDescent="0.25">
      <c r="A312" s="102" t="s">
        <v>424</v>
      </c>
      <c r="B312" s="102" t="s">
        <v>119</v>
      </c>
      <c r="C312" s="102" t="s">
        <v>46</v>
      </c>
      <c r="D312" s="36" t="s">
        <v>493</v>
      </c>
      <c r="E312" s="98">
        <f t="shared" ref="E312" si="173">F312+I312</f>
        <v>20000</v>
      </c>
      <c r="F312" s="98">
        <v>20000</v>
      </c>
      <c r="G312" s="98"/>
      <c r="H312" s="98"/>
      <c r="I312" s="98"/>
      <c r="J312" s="98">
        <f>L312+O312</f>
        <v>0</v>
      </c>
      <c r="K312" s="98"/>
      <c r="L312" s="98"/>
      <c r="M312" s="98"/>
      <c r="N312" s="98"/>
      <c r="O312" s="98"/>
      <c r="P312" s="98">
        <f t="shared" ref="P312" si="174">E312+J312</f>
        <v>20000</v>
      </c>
      <c r="Q312" s="23"/>
      <c r="R312" s="32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  <c r="TF312" s="23"/>
      <c r="TG312" s="23"/>
    </row>
    <row r="313" spans="1:527" s="27" customFormat="1" ht="38.25" customHeight="1" x14ac:dyDescent="0.25">
      <c r="A313" s="109" t="s">
        <v>218</v>
      </c>
      <c r="B313" s="111"/>
      <c r="C313" s="111"/>
      <c r="D313" s="106" t="s">
        <v>41</v>
      </c>
      <c r="E313" s="94">
        <f>E314</f>
        <v>140550753.34</v>
      </c>
      <c r="F313" s="94">
        <f t="shared" ref="F313:J313" si="175">F314</f>
        <v>122793932</v>
      </c>
      <c r="G313" s="94">
        <f t="shared" si="175"/>
        <v>15760200</v>
      </c>
      <c r="H313" s="94">
        <f t="shared" si="175"/>
        <v>376173</v>
      </c>
      <c r="I313" s="94">
        <f t="shared" si="175"/>
        <v>0</v>
      </c>
      <c r="J313" s="94">
        <f t="shared" si="175"/>
        <v>502000</v>
      </c>
      <c r="K313" s="94">
        <f t="shared" ref="K313" si="176">K314</f>
        <v>0</v>
      </c>
      <c r="L313" s="94">
        <f t="shared" ref="L313" si="177">L314</f>
        <v>502000</v>
      </c>
      <c r="M313" s="94">
        <f t="shared" ref="M313" si="178">M314</f>
        <v>0</v>
      </c>
      <c r="N313" s="94">
        <f t="shared" ref="N313" si="179">N314</f>
        <v>0</v>
      </c>
      <c r="O313" s="94">
        <f t="shared" ref="O313:P313" si="180">O314</f>
        <v>0</v>
      </c>
      <c r="P313" s="94">
        <f t="shared" si="180"/>
        <v>141052753.34</v>
      </c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/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  <c r="FK313" s="32"/>
      <c r="FL313" s="32"/>
      <c r="FM313" s="32"/>
      <c r="FN313" s="32"/>
      <c r="FO313" s="32"/>
      <c r="FP313" s="32"/>
      <c r="FQ313" s="32"/>
      <c r="FR313" s="32"/>
      <c r="FS313" s="32"/>
      <c r="FT313" s="32"/>
      <c r="FU313" s="32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  <c r="GH313" s="32"/>
      <c r="GI313" s="32"/>
      <c r="GJ313" s="32"/>
      <c r="GK313" s="32"/>
      <c r="GL313" s="32"/>
      <c r="GM313" s="32"/>
      <c r="GN313" s="32"/>
      <c r="GO313" s="32"/>
      <c r="GP313" s="32"/>
      <c r="GQ313" s="32"/>
      <c r="GR313" s="32"/>
      <c r="GS313" s="32"/>
      <c r="GT313" s="32"/>
      <c r="GU313" s="32"/>
      <c r="GV313" s="32"/>
      <c r="GW313" s="32"/>
      <c r="GX313" s="32"/>
      <c r="GY313" s="32"/>
      <c r="GZ313" s="32"/>
      <c r="HA313" s="32"/>
      <c r="HB313" s="32"/>
      <c r="HC313" s="32"/>
      <c r="HD313" s="32"/>
      <c r="HE313" s="32"/>
      <c r="HF313" s="32"/>
      <c r="HG313" s="32"/>
      <c r="HH313" s="32"/>
      <c r="HI313" s="32"/>
      <c r="HJ313" s="32"/>
      <c r="HK313" s="32"/>
      <c r="HL313" s="32"/>
      <c r="HM313" s="32"/>
      <c r="HN313" s="32"/>
      <c r="HO313" s="32"/>
      <c r="HP313" s="32"/>
      <c r="HQ313" s="32"/>
      <c r="HR313" s="32"/>
      <c r="HS313" s="32"/>
      <c r="HT313" s="32"/>
      <c r="HU313" s="32"/>
      <c r="HV313" s="32"/>
      <c r="HW313" s="32"/>
      <c r="HX313" s="32"/>
      <c r="HY313" s="32"/>
      <c r="HZ313" s="32"/>
      <c r="IA313" s="32"/>
      <c r="IB313" s="32"/>
      <c r="IC313" s="32"/>
      <c r="ID313" s="32"/>
      <c r="IE313" s="32"/>
      <c r="IF313" s="32"/>
      <c r="IG313" s="32"/>
      <c r="IH313" s="32"/>
      <c r="II313" s="32"/>
      <c r="IJ313" s="32"/>
      <c r="IK313" s="32"/>
      <c r="IL313" s="32"/>
      <c r="IM313" s="32"/>
      <c r="IN313" s="32"/>
      <c r="IO313" s="32"/>
      <c r="IP313" s="32"/>
      <c r="IQ313" s="32"/>
      <c r="IR313" s="32"/>
      <c r="IS313" s="32"/>
      <c r="IT313" s="32"/>
      <c r="IU313" s="32"/>
      <c r="IV313" s="32"/>
      <c r="IW313" s="32"/>
      <c r="IX313" s="32"/>
      <c r="IY313" s="32"/>
      <c r="IZ313" s="32"/>
      <c r="JA313" s="32"/>
      <c r="JB313" s="32"/>
      <c r="JC313" s="32"/>
      <c r="JD313" s="32"/>
      <c r="JE313" s="32"/>
      <c r="JF313" s="32"/>
      <c r="JG313" s="32"/>
      <c r="JH313" s="32"/>
      <c r="JI313" s="32"/>
      <c r="JJ313" s="32"/>
      <c r="JK313" s="32"/>
      <c r="JL313" s="32"/>
      <c r="JM313" s="32"/>
      <c r="JN313" s="32"/>
      <c r="JO313" s="32"/>
      <c r="JP313" s="32"/>
      <c r="JQ313" s="32"/>
      <c r="JR313" s="32"/>
      <c r="JS313" s="32"/>
      <c r="JT313" s="32"/>
      <c r="JU313" s="32"/>
      <c r="JV313" s="32"/>
      <c r="JW313" s="32"/>
      <c r="JX313" s="32"/>
      <c r="JY313" s="32"/>
      <c r="JZ313" s="32"/>
      <c r="KA313" s="32"/>
      <c r="KB313" s="32"/>
      <c r="KC313" s="32"/>
      <c r="KD313" s="32"/>
      <c r="KE313" s="32"/>
      <c r="KF313" s="32"/>
      <c r="KG313" s="32"/>
      <c r="KH313" s="32"/>
      <c r="KI313" s="32"/>
      <c r="KJ313" s="32"/>
      <c r="KK313" s="32"/>
      <c r="KL313" s="32"/>
      <c r="KM313" s="32"/>
      <c r="KN313" s="32"/>
      <c r="KO313" s="32"/>
      <c r="KP313" s="32"/>
      <c r="KQ313" s="32"/>
      <c r="KR313" s="32"/>
      <c r="KS313" s="32"/>
      <c r="KT313" s="32"/>
      <c r="KU313" s="32"/>
      <c r="KV313" s="32"/>
      <c r="KW313" s="32"/>
      <c r="KX313" s="32"/>
      <c r="KY313" s="32"/>
      <c r="KZ313" s="32"/>
      <c r="LA313" s="32"/>
      <c r="LB313" s="32"/>
      <c r="LC313" s="32"/>
      <c r="LD313" s="32"/>
      <c r="LE313" s="32"/>
      <c r="LF313" s="32"/>
      <c r="LG313" s="32"/>
      <c r="LH313" s="32"/>
      <c r="LI313" s="32"/>
      <c r="LJ313" s="32"/>
      <c r="LK313" s="32"/>
      <c r="LL313" s="32"/>
      <c r="LM313" s="32"/>
      <c r="LN313" s="32"/>
      <c r="LO313" s="32"/>
      <c r="LP313" s="32"/>
      <c r="LQ313" s="32"/>
      <c r="LR313" s="32"/>
      <c r="LS313" s="32"/>
      <c r="LT313" s="32"/>
      <c r="LU313" s="32"/>
      <c r="LV313" s="32"/>
      <c r="LW313" s="32"/>
      <c r="LX313" s="32"/>
      <c r="LY313" s="32"/>
      <c r="LZ313" s="32"/>
      <c r="MA313" s="32"/>
      <c r="MB313" s="32"/>
      <c r="MC313" s="32"/>
      <c r="MD313" s="32"/>
      <c r="ME313" s="32"/>
      <c r="MF313" s="32"/>
      <c r="MG313" s="32"/>
      <c r="MH313" s="32"/>
      <c r="MI313" s="32"/>
      <c r="MJ313" s="32"/>
      <c r="MK313" s="32"/>
      <c r="ML313" s="32"/>
      <c r="MM313" s="32"/>
      <c r="MN313" s="32"/>
      <c r="MO313" s="32"/>
      <c r="MP313" s="32"/>
      <c r="MQ313" s="32"/>
      <c r="MR313" s="32"/>
      <c r="MS313" s="32"/>
      <c r="MT313" s="32"/>
      <c r="MU313" s="32"/>
      <c r="MV313" s="32"/>
      <c r="MW313" s="32"/>
      <c r="MX313" s="32"/>
      <c r="MY313" s="32"/>
      <c r="MZ313" s="32"/>
      <c r="NA313" s="32"/>
      <c r="NB313" s="32"/>
      <c r="NC313" s="32"/>
      <c r="ND313" s="32"/>
      <c r="NE313" s="32"/>
      <c r="NF313" s="32"/>
      <c r="NG313" s="32"/>
      <c r="NH313" s="32"/>
      <c r="NI313" s="32"/>
      <c r="NJ313" s="32"/>
      <c r="NK313" s="32"/>
      <c r="NL313" s="32"/>
      <c r="NM313" s="32"/>
      <c r="NN313" s="32"/>
      <c r="NO313" s="32"/>
      <c r="NP313" s="32"/>
      <c r="NQ313" s="32"/>
      <c r="NR313" s="32"/>
      <c r="NS313" s="32"/>
      <c r="NT313" s="32"/>
      <c r="NU313" s="32"/>
      <c r="NV313" s="32"/>
      <c r="NW313" s="32"/>
      <c r="NX313" s="32"/>
      <c r="NY313" s="32"/>
      <c r="NZ313" s="32"/>
      <c r="OA313" s="32"/>
      <c r="OB313" s="32"/>
      <c r="OC313" s="32"/>
      <c r="OD313" s="32"/>
      <c r="OE313" s="32"/>
      <c r="OF313" s="32"/>
      <c r="OG313" s="32"/>
      <c r="OH313" s="32"/>
      <c r="OI313" s="32"/>
      <c r="OJ313" s="32"/>
      <c r="OK313" s="32"/>
      <c r="OL313" s="32"/>
      <c r="OM313" s="32"/>
      <c r="ON313" s="32"/>
      <c r="OO313" s="32"/>
      <c r="OP313" s="32"/>
      <c r="OQ313" s="32"/>
      <c r="OR313" s="32"/>
      <c r="OS313" s="32"/>
      <c r="OT313" s="32"/>
      <c r="OU313" s="32"/>
      <c r="OV313" s="32"/>
      <c r="OW313" s="32"/>
      <c r="OX313" s="32"/>
      <c r="OY313" s="32"/>
      <c r="OZ313" s="32"/>
      <c r="PA313" s="32"/>
      <c r="PB313" s="32"/>
      <c r="PC313" s="32"/>
      <c r="PD313" s="32"/>
      <c r="PE313" s="32"/>
      <c r="PF313" s="32"/>
      <c r="PG313" s="32"/>
      <c r="PH313" s="32"/>
      <c r="PI313" s="32"/>
      <c r="PJ313" s="32"/>
      <c r="PK313" s="32"/>
      <c r="PL313" s="32"/>
      <c r="PM313" s="32"/>
      <c r="PN313" s="32"/>
      <c r="PO313" s="32"/>
      <c r="PP313" s="32"/>
      <c r="PQ313" s="32"/>
      <c r="PR313" s="32"/>
      <c r="PS313" s="32"/>
      <c r="PT313" s="32"/>
      <c r="PU313" s="32"/>
      <c r="PV313" s="32"/>
      <c r="PW313" s="32"/>
      <c r="PX313" s="32"/>
      <c r="PY313" s="32"/>
      <c r="PZ313" s="32"/>
      <c r="QA313" s="32"/>
      <c r="QB313" s="32"/>
      <c r="QC313" s="32"/>
      <c r="QD313" s="32"/>
      <c r="QE313" s="32"/>
      <c r="QF313" s="32"/>
      <c r="QG313" s="32"/>
      <c r="QH313" s="32"/>
      <c r="QI313" s="32"/>
      <c r="QJ313" s="32"/>
      <c r="QK313" s="32"/>
      <c r="QL313" s="32"/>
      <c r="QM313" s="32"/>
      <c r="QN313" s="32"/>
      <c r="QO313" s="32"/>
      <c r="QP313" s="32"/>
      <c r="QQ313" s="32"/>
      <c r="QR313" s="32"/>
      <c r="QS313" s="32"/>
      <c r="QT313" s="32"/>
      <c r="QU313" s="32"/>
      <c r="QV313" s="32"/>
      <c r="QW313" s="32"/>
      <c r="QX313" s="32"/>
      <c r="QY313" s="32"/>
      <c r="QZ313" s="32"/>
      <c r="RA313" s="32"/>
      <c r="RB313" s="32"/>
      <c r="RC313" s="32"/>
      <c r="RD313" s="32"/>
      <c r="RE313" s="32"/>
      <c r="RF313" s="32"/>
      <c r="RG313" s="32"/>
      <c r="RH313" s="32"/>
      <c r="RI313" s="32"/>
      <c r="RJ313" s="32"/>
      <c r="RK313" s="32"/>
      <c r="RL313" s="32"/>
      <c r="RM313" s="32"/>
      <c r="RN313" s="32"/>
      <c r="RO313" s="32"/>
      <c r="RP313" s="32"/>
      <c r="RQ313" s="32"/>
      <c r="RR313" s="32"/>
      <c r="RS313" s="32"/>
      <c r="RT313" s="32"/>
      <c r="RU313" s="32"/>
      <c r="RV313" s="32"/>
      <c r="RW313" s="32"/>
      <c r="RX313" s="32"/>
      <c r="RY313" s="32"/>
      <c r="RZ313" s="32"/>
      <c r="SA313" s="32"/>
      <c r="SB313" s="32"/>
      <c r="SC313" s="32"/>
      <c r="SD313" s="32"/>
      <c r="SE313" s="32"/>
      <c r="SF313" s="32"/>
      <c r="SG313" s="32"/>
      <c r="SH313" s="32"/>
      <c r="SI313" s="32"/>
      <c r="SJ313" s="32"/>
      <c r="SK313" s="32"/>
      <c r="SL313" s="32"/>
      <c r="SM313" s="32"/>
      <c r="SN313" s="32"/>
      <c r="SO313" s="32"/>
      <c r="SP313" s="32"/>
      <c r="SQ313" s="32"/>
      <c r="SR313" s="32"/>
      <c r="SS313" s="32"/>
      <c r="ST313" s="32"/>
      <c r="SU313" s="32"/>
      <c r="SV313" s="32"/>
      <c r="SW313" s="32"/>
      <c r="SX313" s="32"/>
      <c r="SY313" s="32"/>
      <c r="SZ313" s="32"/>
      <c r="TA313" s="32"/>
      <c r="TB313" s="32"/>
      <c r="TC313" s="32"/>
      <c r="TD313" s="32"/>
      <c r="TE313" s="32"/>
      <c r="TF313" s="32"/>
      <c r="TG313" s="32"/>
    </row>
    <row r="314" spans="1:527" s="34" customFormat="1" ht="34.5" customHeight="1" x14ac:dyDescent="0.25">
      <c r="A314" s="95" t="s">
        <v>219</v>
      </c>
      <c r="B314" s="108"/>
      <c r="C314" s="108"/>
      <c r="D314" s="76" t="s">
        <v>41</v>
      </c>
      <c r="E314" s="97">
        <f>SUM(E315+E316+E317+E319+E320+E321+E322+E318)</f>
        <v>140550753.34</v>
      </c>
      <c r="F314" s="97">
        <f t="shared" ref="F314:P314" si="181">SUM(F315+F316+F317+F319+F320+F321+F322+F318)</f>
        <v>122793932</v>
      </c>
      <c r="G314" s="97">
        <f t="shared" si="181"/>
        <v>15760200</v>
      </c>
      <c r="H314" s="97">
        <f t="shared" si="181"/>
        <v>376173</v>
      </c>
      <c r="I314" s="97">
        <f t="shared" si="181"/>
        <v>0</v>
      </c>
      <c r="J314" s="97">
        <f t="shared" si="181"/>
        <v>502000</v>
      </c>
      <c r="K314" s="97">
        <f t="shared" si="181"/>
        <v>0</v>
      </c>
      <c r="L314" s="97">
        <f t="shared" si="181"/>
        <v>502000</v>
      </c>
      <c r="M314" s="97">
        <f t="shared" si="181"/>
        <v>0</v>
      </c>
      <c r="N314" s="97">
        <f t="shared" si="181"/>
        <v>0</v>
      </c>
      <c r="O314" s="97">
        <f t="shared" si="181"/>
        <v>0</v>
      </c>
      <c r="P314" s="97">
        <f t="shared" si="181"/>
        <v>141052753.34</v>
      </c>
      <c r="Q314" s="33"/>
      <c r="R314" s="32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  <c r="DB314" s="33"/>
      <c r="DC314" s="33"/>
      <c r="DD314" s="33"/>
      <c r="DE314" s="33"/>
      <c r="DF314" s="33"/>
      <c r="DG314" s="33"/>
      <c r="DH314" s="33"/>
      <c r="DI314" s="33"/>
      <c r="DJ314" s="33"/>
      <c r="DK314" s="33"/>
      <c r="DL314" s="33"/>
      <c r="DM314" s="33"/>
      <c r="DN314" s="33"/>
      <c r="DO314" s="33"/>
      <c r="DP314" s="33"/>
      <c r="DQ314" s="33"/>
      <c r="DR314" s="33"/>
      <c r="DS314" s="33"/>
      <c r="DT314" s="33"/>
      <c r="DU314" s="33"/>
      <c r="DV314" s="33"/>
      <c r="DW314" s="33"/>
      <c r="DX314" s="33"/>
      <c r="DY314" s="33"/>
      <c r="DZ314" s="33"/>
      <c r="EA314" s="33"/>
      <c r="EB314" s="33"/>
      <c r="EC314" s="33"/>
      <c r="ED314" s="33"/>
      <c r="EE314" s="33"/>
      <c r="EF314" s="33"/>
      <c r="EG314" s="33"/>
      <c r="EH314" s="33"/>
      <c r="EI314" s="33"/>
      <c r="EJ314" s="33"/>
      <c r="EK314" s="33"/>
      <c r="EL314" s="33"/>
      <c r="EM314" s="33"/>
      <c r="EN314" s="33"/>
      <c r="EO314" s="33"/>
      <c r="EP314" s="33"/>
      <c r="EQ314" s="33"/>
      <c r="ER314" s="33"/>
      <c r="ES314" s="33"/>
      <c r="ET314" s="33"/>
      <c r="EU314" s="33"/>
      <c r="EV314" s="33"/>
      <c r="EW314" s="33"/>
      <c r="EX314" s="33"/>
      <c r="EY314" s="33"/>
      <c r="EZ314" s="33"/>
      <c r="FA314" s="33"/>
      <c r="FB314" s="33"/>
      <c r="FC314" s="33"/>
      <c r="FD314" s="33"/>
      <c r="FE314" s="33"/>
      <c r="FF314" s="33"/>
      <c r="FG314" s="33"/>
      <c r="FH314" s="33"/>
      <c r="FI314" s="33"/>
      <c r="FJ314" s="33"/>
      <c r="FK314" s="33"/>
      <c r="FL314" s="33"/>
      <c r="FM314" s="33"/>
      <c r="FN314" s="33"/>
      <c r="FO314" s="33"/>
      <c r="FP314" s="33"/>
      <c r="FQ314" s="33"/>
      <c r="FR314" s="33"/>
      <c r="FS314" s="33"/>
      <c r="FT314" s="33"/>
      <c r="FU314" s="33"/>
      <c r="FV314" s="33"/>
      <c r="FW314" s="33"/>
      <c r="FX314" s="33"/>
      <c r="FY314" s="33"/>
      <c r="FZ314" s="33"/>
      <c r="GA314" s="33"/>
      <c r="GB314" s="33"/>
      <c r="GC314" s="33"/>
      <c r="GD314" s="33"/>
      <c r="GE314" s="33"/>
      <c r="GF314" s="33"/>
      <c r="GG314" s="33"/>
      <c r="GH314" s="33"/>
      <c r="GI314" s="33"/>
      <c r="GJ314" s="33"/>
      <c r="GK314" s="33"/>
      <c r="GL314" s="33"/>
      <c r="GM314" s="33"/>
      <c r="GN314" s="33"/>
      <c r="GO314" s="33"/>
      <c r="GP314" s="33"/>
      <c r="GQ314" s="33"/>
      <c r="GR314" s="33"/>
      <c r="GS314" s="33"/>
      <c r="GT314" s="33"/>
      <c r="GU314" s="33"/>
      <c r="GV314" s="33"/>
      <c r="GW314" s="33"/>
      <c r="GX314" s="33"/>
      <c r="GY314" s="33"/>
      <c r="GZ314" s="33"/>
      <c r="HA314" s="33"/>
      <c r="HB314" s="33"/>
      <c r="HC314" s="33"/>
      <c r="HD314" s="33"/>
      <c r="HE314" s="33"/>
      <c r="HF314" s="33"/>
      <c r="HG314" s="33"/>
      <c r="HH314" s="33"/>
      <c r="HI314" s="33"/>
      <c r="HJ314" s="33"/>
      <c r="HK314" s="33"/>
      <c r="HL314" s="33"/>
      <c r="HM314" s="33"/>
      <c r="HN314" s="33"/>
      <c r="HO314" s="33"/>
      <c r="HP314" s="33"/>
      <c r="HQ314" s="33"/>
      <c r="HR314" s="33"/>
      <c r="HS314" s="33"/>
      <c r="HT314" s="33"/>
      <c r="HU314" s="33"/>
      <c r="HV314" s="33"/>
      <c r="HW314" s="33"/>
      <c r="HX314" s="33"/>
      <c r="HY314" s="33"/>
      <c r="HZ314" s="33"/>
      <c r="IA314" s="33"/>
      <c r="IB314" s="33"/>
      <c r="IC314" s="33"/>
      <c r="ID314" s="33"/>
      <c r="IE314" s="33"/>
      <c r="IF314" s="33"/>
      <c r="IG314" s="33"/>
      <c r="IH314" s="33"/>
      <c r="II314" s="33"/>
      <c r="IJ314" s="33"/>
      <c r="IK314" s="33"/>
      <c r="IL314" s="33"/>
      <c r="IM314" s="33"/>
      <c r="IN314" s="33"/>
      <c r="IO314" s="33"/>
      <c r="IP314" s="33"/>
      <c r="IQ314" s="33"/>
      <c r="IR314" s="33"/>
      <c r="IS314" s="33"/>
      <c r="IT314" s="33"/>
      <c r="IU314" s="33"/>
      <c r="IV314" s="33"/>
      <c r="IW314" s="33"/>
      <c r="IX314" s="33"/>
      <c r="IY314" s="33"/>
      <c r="IZ314" s="33"/>
      <c r="JA314" s="33"/>
      <c r="JB314" s="33"/>
      <c r="JC314" s="33"/>
      <c r="JD314" s="33"/>
      <c r="JE314" s="33"/>
      <c r="JF314" s="33"/>
      <c r="JG314" s="33"/>
      <c r="JH314" s="33"/>
      <c r="JI314" s="33"/>
      <c r="JJ314" s="33"/>
      <c r="JK314" s="33"/>
      <c r="JL314" s="33"/>
      <c r="JM314" s="33"/>
      <c r="JN314" s="33"/>
      <c r="JO314" s="33"/>
      <c r="JP314" s="33"/>
      <c r="JQ314" s="33"/>
      <c r="JR314" s="33"/>
      <c r="JS314" s="33"/>
      <c r="JT314" s="33"/>
      <c r="JU314" s="33"/>
      <c r="JV314" s="33"/>
      <c r="JW314" s="33"/>
      <c r="JX314" s="33"/>
      <c r="JY314" s="33"/>
      <c r="JZ314" s="33"/>
      <c r="KA314" s="33"/>
      <c r="KB314" s="33"/>
      <c r="KC314" s="33"/>
      <c r="KD314" s="33"/>
      <c r="KE314" s="33"/>
      <c r="KF314" s="33"/>
      <c r="KG314" s="33"/>
      <c r="KH314" s="33"/>
      <c r="KI314" s="33"/>
      <c r="KJ314" s="33"/>
      <c r="KK314" s="33"/>
      <c r="KL314" s="33"/>
      <c r="KM314" s="33"/>
      <c r="KN314" s="33"/>
      <c r="KO314" s="33"/>
      <c r="KP314" s="33"/>
      <c r="KQ314" s="33"/>
      <c r="KR314" s="33"/>
      <c r="KS314" s="33"/>
      <c r="KT314" s="33"/>
      <c r="KU314" s="33"/>
      <c r="KV314" s="33"/>
      <c r="KW314" s="33"/>
      <c r="KX314" s="33"/>
      <c r="KY314" s="33"/>
      <c r="KZ314" s="33"/>
      <c r="LA314" s="33"/>
      <c r="LB314" s="33"/>
      <c r="LC314" s="33"/>
      <c r="LD314" s="33"/>
      <c r="LE314" s="33"/>
      <c r="LF314" s="33"/>
      <c r="LG314" s="33"/>
      <c r="LH314" s="33"/>
      <c r="LI314" s="33"/>
      <c r="LJ314" s="33"/>
      <c r="LK314" s="33"/>
      <c r="LL314" s="33"/>
      <c r="LM314" s="33"/>
      <c r="LN314" s="33"/>
      <c r="LO314" s="33"/>
      <c r="LP314" s="33"/>
      <c r="LQ314" s="33"/>
      <c r="LR314" s="33"/>
      <c r="LS314" s="33"/>
      <c r="LT314" s="33"/>
      <c r="LU314" s="33"/>
      <c r="LV314" s="33"/>
      <c r="LW314" s="33"/>
      <c r="LX314" s="33"/>
      <c r="LY314" s="33"/>
      <c r="LZ314" s="33"/>
      <c r="MA314" s="33"/>
      <c r="MB314" s="33"/>
      <c r="MC314" s="33"/>
      <c r="MD314" s="33"/>
      <c r="ME314" s="33"/>
      <c r="MF314" s="33"/>
      <c r="MG314" s="33"/>
      <c r="MH314" s="33"/>
      <c r="MI314" s="33"/>
      <c r="MJ314" s="33"/>
      <c r="MK314" s="33"/>
      <c r="ML314" s="33"/>
      <c r="MM314" s="33"/>
      <c r="MN314" s="33"/>
      <c r="MO314" s="33"/>
      <c r="MP314" s="33"/>
      <c r="MQ314" s="33"/>
      <c r="MR314" s="33"/>
      <c r="MS314" s="33"/>
      <c r="MT314" s="33"/>
      <c r="MU314" s="33"/>
      <c r="MV314" s="33"/>
      <c r="MW314" s="33"/>
      <c r="MX314" s="33"/>
      <c r="MY314" s="33"/>
      <c r="MZ314" s="33"/>
      <c r="NA314" s="33"/>
      <c r="NB314" s="33"/>
      <c r="NC314" s="33"/>
      <c r="ND314" s="33"/>
      <c r="NE314" s="33"/>
      <c r="NF314" s="33"/>
      <c r="NG314" s="33"/>
      <c r="NH314" s="33"/>
      <c r="NI314" s="33"/>
      <c r="NJ314" s="33"/>
      <c r="NK314" s="33"/>
      <c r="NL314" s="33"/>
      <c r="NM314" s="33"/>
      <c r="NN314" s="33"/>
      <c r="NO314" s="33"/>
      <c r="NP314" s="33"/>
      <c r="NQ314" s="33"/>
      <c r="NR314" s="33"/>
      <c r="NS314" s="33"/>
      <c r="NT314" s="33"/>
      <c r="NU314" s="33"/>
      <c r="NV314" s="33"/>
      <c r="NW314" s="33"/>
      <c r="NX314" s="33"/>
      <c r="NY314" s="33"/>
      <c r="NZ314" s="33"/>
      <c r="OA314" s="33"/>
      <c r="OB314" s="33"/>
      <c r="OC314" s="33"/>
      <c r="OD314" s="33"/>
      <c r="OE314" s="33"/>
      <c r="OF314" s="33"/>
      <c r="OG314" s="33"/>
      <c r="OH314" s="33"/>
      <c r="OI314" s="33"/>
      <c r="OJ314" s="33"/>
      <c r="OK314" s="33"/>
      <c r="OL314" s="33"/>
      <c r="OM314" s="33"/>
      <c r="ON314" s="33"/>
      <c r="OO314" s="33"/>
      <c r="OP314" s="33"/>
      <c r="OQ314" s="33"/>
      <c r="OR314" s="33"/>
      <c r="OS314" s="33"/>
      <c r="OT314" s="33"/>
      <c r="OU314" s="33"/>
      <c r="OV314" s="33"/>
      <c r="OW314" s="33"/>
      <c r="OX314" s="33"/>
      <c r="OY314" s="33"/>
      <c r="OZ314" s="33"/>
      <c r="PA314" s="33"/>
      <c r="PB314" s="33"/>
      <c r="PC314" s="33"/>
      <c r="PD314" s="33"/>
      <c r="PE314" s="33"/>
      <c r="PF314" s="33"/>
      <c r="PG314" s="33"/>
      <c r="PH314" s="33"/>
      <c r="PI314" s="33"/>
      <c r="PJ314" s="33"/>
      <c r="PK314" s="33"/>
      <c r="PL314" s="33"/>
      <c r="PM314" s="33"/>
      <c r="PN314" s="33"/>
      <c r="PO314" s="33"/>
      <c r="PP314" s="33"/>
      <c r="PQ314" s="33"/>
      <c r="PR314" s="33"/>
      <c r="PS314" s="33"/>
      <c r="PT314" s="33"/>
      <c r="PU314" s="33"/>
      <c r="PV314" s="33"/>
      <c r="PW314" s="33"/>
      <c r="PX314" s="33"/>
      <c r="PY314" s="33"/>
      <c r="PZ314" s="33"/>
      <c r="QA314" s="33"/>
      <c r="QB314" s="33"/>
      <c r="QC314" s="33"/>
      <c r="QD314" s="33"/>
      <c r="QE314" s="33"/>
      <c r="QF314" s="33"/>
      <c r="QG314" s="33"/>
      <c r="QH314" s="33"/>
      <c r="QI314" s="33"/>
      <c r="QJ314" s="33"/>
      <c r="QK314" s="33"/>
      <c r="QL314" s="33"/>
      <c r="QM314" s="33"/>
      <c r="QN314" s="33"/>
      <c r="QO314" s="33"/>
      <c r="QP314" s="33"/>
      <c r="QQ314" s="33"/>
      <c r="QR314" s="33"/>
      <c r="QS314" s="33"/>
      <c r="QT314" s="33"/>
      <c r="QU314" s="33"/>
      <c r="QV314" s="33"/>
      <c r="QW314" s="33"/>
      <c r="QX314" s="33"/>
      <c r="QY314" s="33"/>
      <c r="QZ314" s="33"/>
      <c r="RA314" s="33"/>
      <c r="RB314" s="33"/>
      <c r="RC314" s="33"/>
      <c r="RD314" s="33"/>
      <c r="RE314" s="33"/>
      <c r="RF314" s="33"/>
      <c r="RG314" s="33"/>
      <c r="RH314" s="33"/>
      <c r="RI314" s="33"/>
      <c r="RJ314" s="33"/>
      <c r="RK314" s="33"/>
      <c r="RL314" s="33"/>
      <c r="RM314" s="33"/>
      <c r="RN314" s="33"/>
      <c r="RO314" s="33"/>
      <c r="RP314" s="33"/>
      <c r="RQ314" s="33"/>
      <c r="RR314" s="33"/>
      <c r="RS314" s="33"/>
      <c r="RT314" s="33"/>
      <c r="RU314" s="33"/>
      <c r="RV314" s="33"/>
      <c r="RW314" s="33"/>
      <c r="RX314" s="33"/>
      <c r="RY314" s="33"/>
      <c r="RZ314" s="33"/>
      <c r="SA314" s="33"/>
      <c r="SB314" s="33"/>
      <c r="SC314" s="33"/>
      <c r="SD314" s="33"/>
      <c r="SE314" s="33"/>
      <c r="SF314" s="33"/>
      <c r="SG314" s="33"/>
      <c r="SH314" s="33"/>
      <c r="SI314" s="33"/>
      <c r="SJ314" s="33"/>
      <c r="SK314" s="33"/>
      <c r="SL314" s="33"/>
      <c r="SM314" s="33"/>
      <c r="SN314" s="33"/>
      <c r="SO314" s="33"/>
      <c r="SP314" s="33"/>
      <c r="SQ314" s="33"/>
      <c r="SR314" s="33"/>
      <c r="SS314" s="33"/>
      <c r="ST314" s="33"/>
      <c r="SU314" s="33"/>
      <c r="SV314" s="33"/>
      <c r="SW314" s="33"/>
      <c r="SX314" s="33"/>
      <c r="SY314" s="33"/>
      <c r="SZ314" s="33"/>
      <c r="TA314" s="33"/>
      <c r="TB314" s="33"/>
      <c r="TC314" s="33"/>
      <c r="TD314" s="33"/>
      <c r="TE314" s="33"/>
      <c r="TF314" s="33"/>
      <c r="TG314" s="33"/>
    </row>
    <row r="315" spans="1:527" s="22" customFormat="1" ht="46.5" customHeight="1" x14ac:dyDescent="0.25">
      <c r="A315" s="59" t="s">
        <v>220</v>
      </c>
      <c r="B315" s="92" t="str">
        <f>'дод 7'!A19</f>
        <v>0160</v>
      </c>
      <c r="C315" s="92" t="str">
        <f>'дод 7'!B19</f>
        <v>0111</v>
      </c>
      <c r="D315" s="36" t="s">
        <v>493</v>
      </c>
      <c r="E315" s="98">
        <f t="shared" ref="E315:E320" si="182">F315+I315</f>
        <v>20250573</v>
      </c>
      <c r="F315" s="98">
        <f>20122100+1000000-1000000+10000+14573+103900</f>
        <v>20250573</v>
      </c>
      <c r="G315" s="98">
        <f>15760200</f>
        <v>15760200</v>
      </c>
      <c r="H315" s="98">
        <f>257700+14573+103900</f>
        <v>376173</v>
      </c>
      <c r="I315" s="98"/>
      <c r="J315" s="98">
        <f>L315+O315</f>
        <v>0</v>
      </c>
      <c r="K315" s="98"/>
      <c r="L315" s="98"/>
      <c r="M315" s="98"/>
      <c r="N315" s="98"/>
      <c r="O315" s="98"/>
      <c r="P315" s="98">
        <f t="shared" ref="P315:P322" si="183">E315+J315</f>
        <v>20250573</v>
      </c>
      <c r="Q315" s="23"/>
      <c r="R315" s="32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  <c r="TF315" s="23"/>
      <c r="TG315" s="23"/>
    </row>
    <row r="316" spans="1:527" s="22" customFormat="1" ht="21" customHeight="1" x14ac:dyDescent="0.25">
      <c r="A316" s="59" t="s">
        <v>258</v>
      </c>
      <c r="B316" s="92" t="str">
        <f>'дод 7'!A218</f>
        <v>7640</v>
      </c>
      <c r="C316" s="92" t="str">
        <f>'дод 7'!B218</f>
        <v>0470</v>
      </c>
      <c r="D316" s="60" t="s">
        <v>422</v>
      </c>
      <c r="E316" s="98">
        <f t="shared" si="182"/>
        <v>330040</v>
      </c>
      <c r="F316" s="98">
        <f>426000-9800-70000-16160</f>
        <v>330040</v>
      </c>
      <c r="G316" s="98"/>
      <c r="H316" s="98"/>
      <c r="I316" s="98"/>
      <c r="J316" s="98">
        <f t="shared" ref="J316:J322" si="184">L316+O316</f>
        <v>0</v>
      </c>
      <c r="K316" s="98"/>
      <c r="L316" s="98"/>
      <c r="M316" s="98"/>
      <c r="N316" s="98"/>
      <c r="O316" s="98"/>
      <c r="P316" s="98">
        <f t="shared" si="183"/>
        <v>330040</v>
      </c>
      <c r="Q316" s="23"/>
      <c r="R316" s="32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  <c r="TF316" s="23"/>
      <c r="TG316" s="23"/>
    </row>
    <row r="317" spans="1:527" s="22" customFormat="1" ht="29.25" customHeight="1" x14ac:dyDescent="0.25">
      <c r="A317" s="59" t="s">
        <v>330</v>
      </c>
      <c r="B317" s="92" t="str">
        <f>'дод 7'!A226</f>
        <v>7693</v>
      </c>
      <c r="C317" s="92" t="str">
        <f>'дод 7'!B226</f>
        <v>0490</v>
      </c>
      <c r="D317" s="60" t="str">
        <f>'дод 7'!C226</f>
        <v>Інші заходи, пов'язані з економічною діяльністю</v>
      </c>
      <c r="E317" s="98">
        <f t="shared" si="182"/>
        <v>181380</v>
      </c>
      <c r="F317" s="98">
        <f>483750-130750-10000-50000-85500-26120</f>
        <v>181380</v>
      </c>
      <c r="G317" s="98"/>
      <c r="H317" s="98"/>
      <c r="I317" s="98"/>
      <c r="J317" s="98">
        <f t="shared" si="184"/>
        <v>0</v>
      </c>
      <c r="K317" s="98"/>
      <c r="L317" s="98"/>
      <c r="M317" s="98"/>
      <c r="N317" s="98"/>
      <c r="O317" s="98"/>
      <c r="P317" s="98">
        <f t="shared" si="183"/>
        <v>181380</v>
      </c>
      <c r="Q317" s="23"/>
      <c r="R317" s="32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  <c r="SQ317" s="23"/>
      <c r="SR317" s="23"/>
      <c r="SS317" s="23"/>
      <c r="ST317" s="23"/>
      <c r="SU317" s="23"/>
      <c r="SV317" s="23"/>
      <c r="SW317" s="23"/>
      <c r="SX317" s="23"/>
      <c r="SY317" s="23"/>
      <c r="SZ317" s="23"/>
      <c r="TA317" s="23"/>
      <c r="TB317" s="23"/>
      <c r="TC317" s="23"/>
      <c r="TD317" s="23"/>
      <c r="TE317" s="23"/>
      <c r="TF317" s="23"/>
      <c r="TG317" s="23"/>
    </row>
    <row r="318" spans="1:527" s="22" customFormat="1" ht="42.75" customHeight="1" x14ac:dyDescent="0.25">
      <c r="A318" s="59">
        <v>3718330</v>
      </c>
      <c r="B318" s="92">
        <f>'дод 7'!A239</f>
        <v>8330</v>
      </c>
      <c r="C318" s="59" t="s">
        <v>92</v>
      </c>
      <c r="D318" s="60" t="str">
        <f>'дод 7'!C239</f>
        <v xml:space="preserve">Інша діяльність у сфері екології та охорони природних ресурсів </v>
      </c>
      <c r="E318" s="98">
        <f t="shared" si="182"/>
        <v>75000</v>
      </c>
      <c r="F318" s="98">
        <v>75000</v>
      </c>
      <c r="G318" s="98"/>
      <c r="H318" s="98"/>
      <c r="I318" s="98"/>
      <c r="J318" s="98">
        <f t="shared" si="184"/>
        <v>0</v>
      </c>
      <c r="K318" s="98"/>
      <c r="L318" s="98"/>
      <c r="M318" s="98"/>
      <c r="N318" s="98"/>
      <c r="O318" s="98"/>
      <c r="P318" s="98">
        <f t="shared" si="183"/>
        <v>75000</v>
      </c>
      <c r="Q318" s="23"/>
      <c r="R318" s="32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  <c r="IS318" s="23"/>
      <c r="IT318" s="23"/>
      <c r="IU318" s="23"/>
      <c r="IV318" s="23"/>
      <c r="IW318" s="23"/>
      <c r="IX318" s="23"/>
      <c r="IY318" s="23"/>
      <c r="IZ318" s="23"/>
      <c r="JA318" s="23"/>
      <c r="JB318" s="23"/>
      <c r="JC318" s="23"/>
      <c r="JD318" s="23"/>
      <c r="JE318" s="23"/>
      <c r="JF318" s="23"/>
      <c r="JG318" s="23"/>
      <c r="JH318" s="23"/>
      <c r="JI318" s="23"/>
      <c r="JJ318" s="23"/>
      <c r="JK318" s="23"/>
      <c r="JL318" s="23"/>
      <c r="JM318" s="23"/>
      <c r="JN318" s="23"/>
      <c r="JO318" s="23"/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  <c r="KC318" s="23"/>
      <c r="KD318" s="23"/>
      <c r="KE318" s="23"/>
      <c r="KF318" s="23"/>
      <c r="KG318" s="23"/>
      <c r="KH318" s="23"/>
      <c r="KI318" s="23"/>
      <c r="KJ318" s="23"/>
      <c r="KK318" s="23"/>
      <c r="KL318" s="23"/>
      <c r="KM318" s="23"/>
      <c r="KN318" s="23"/>
      <c r="KO318" s="23"/>
      <c r="KP318" s="23"/>
      <c r="KQ318" s="23"/>
      <c r="KR318" s="23"/>
      <c r="KS318" s="23"/>
      <c r="KT318" s="23"/>
      <c r="KU318" s="23"/>
      <c r="KV318" s="23"/>
      <c r="KW318" s="23"/>
      <c r="KX318" s="23"/>
      <c r="KY318" s="23"/>
      <c r="KZ318" s="23"/>
      <c r="LA318" s="23"/>
      <c r="LB318" s="23"/>
      <c r="LC318" s="23"/>
      <c r="LD318" s="23"/>
      <c r="LE318" s="23"/>
      <c r="LF318" s="23"/>
      <c r="LG318" s="23"/>
      <c r="LH318" s="23"/>
      <c r="LI318" s="23"/>
      <c r="LJ318" s="23"/>
      <c r="LK318" s="23"/>
      <c r="LL318" s="23"/>
      <c r="LM318" s="23"/>
      <c r="LN318" s="23"/>
      <c r="LO318" s="23"/>
      <c r="LP318" s="23"/>
      <c r="LQ318" s="23"/>
      <c r="LR318" s="23"/>
      <c r="LS318" s="23"/>
      <c r="LT318" s="23"/>
      <c r="LU318" s="23"/>
      <c r="LV318" s="23"/>
      <c r="LW318" s="23"/>
      <c r="LX318" s="23"/>
      <c r="LY318" s="23"/>
      <c r="LZ318" s="23"/>
      <c r="MA318" s="23"/>
      <c r="MB318" s="23"/>
      <c r="MC318" s="23"/>
      <c r="MD318" s="23"/>
      <c r="ME318" s="23"/>
      <c r="MF318" s="23"/>
      <c r="MG318" s="23"/>
      <c r="MH318" s="23"/>
      <c r="MI318" s="23"/>
      <c r="MJ318" s="23"/>
      <c r="MK318" s="23"/>
      <c r="ML318" s="23"/>
      <c r="MM318" s="23"/>
      <c r="MN318" s="23"/>
      <c r="MO318" s="23"/>
      <c r="MP318" s="23"/>
      <c r="MQ318" s="23"/>
      <c r="MR318" s="23"/>
      <c r="MS318" s="23"/>
      <c r="MT318" s="23"/>
      <c r="MU318" s="23"/>
      <c r="MV318" s="23"/>
      <c r="MW318" s="23"/>
      <c r="MX318" s="23"/>
      <c r="MY318" s="23"/>
      <c r="MZ318" s="23"/>
      <c r="NA318" s="23"/>
      <c r="NB318" s="23"/>
      <c r="NC318" s="23"/>
      <c r="ND318" s="23"/>
      <c r="NE318" s="23"/>
      <c r="NF318" s="23"/>
      <c r="NG318" s="23"/>
      <c r="NH318" s="23"/>
      <c r="NI318" s="23"/>
      <c r="NJ318" s="23"/>
      <c r="NK318" s="23"/>
      <c r="NL318" s="23"/>
      <c r="NM318" s="23"/>
      <c r="NN318" s="23"/>
      <c r="NO318" s="23"/>
      <c r="NP318" s="23"/>
      <c r="NQ318" s="23"/>
      <c r="NR318" s="23"/>
      <c r="NS318" s="23"/>
      <c r="NT318" s="23"/>
      <c r="NU318" s="23"/>
      <c r="NV318" s="23"/>
      <c r="NW318" s="23"/>
      <c r="NX318" s="23"/>
      <c r="NY318" s="23"/>
      <c r="NZ318" s="23"/>
      <c r="OA318" s="23"/>
      <c r="OB318" s="23"/>
      <c r="OC318" s="23"/>
      <c r="OD318" s="23"/>
      <c r="OE318" s="23"/>
      <c r="OF318" s="23"/>
      <c r="OG318" s="23"/>
      <c r="OH318" s="23"/>
      <c r="OI318" s="23"/>
      <c r="OJ318" s="23"/>
      <c r="OK318" s="23"/>
      <c r="OL318" s="23"/>
      <c r="OM318" s="23"/>
      <c r="ON318" s="23"/>
      <c r="OO318" s="23"/>
      <c r="OP318" s="23"/>
      <c r="OQ318" s="23"/>
      <c r="OR318" s="23"/>
      <c r="OS318" s="23"/>
      <c r="OT318" s="23"/>
      <c r="OU318" s="23"/>
      <c r="OV318" s="23"/>
      <c r="OW318" s="23"/>
      <c r="OX318" s="23"/>
      <c r="OY318" s="23"/>
      <c r="OZ318" s="23"/>
      <c r="PA318" s="23"/>
      <c r="PB318" s="23"/>
      <c r="PC318" s="23"/>
      <c r="PD318" s="23"/>
      <c r="PE318" s="23"/>
      <c r="PF318" s="23"/>
      <c r="PG318" s="23"/>
      <c r="PH318" s="23"/>
      <c r="PI318" s="23"/>
      <c r="PJ318" s="23"/>
      <c r="PK318" s="23"/>
      <c r="PL318" s="23"/>
      <c r="PM318" s="23"/>
      <c r="PN318" s="23"/>
      <c r="PO318" s="23"/>
      <c r="PP318" s="23"/>
      <c r="PQ318" s="23"/>
      <c r="PR318" s="23"/>
      <c r="PS318" s="23"/>
      <c r="PT318" s="23"/>
      <c r="PU318" s="23"/>
      <c r="PV318" s="23"/>
      <c r="PW318" s="23"/>
      <c r="PX318" s="23"/>
      <c r="PY318" s="23"/>
      <c r="PZ318" s="23"/>
      <c r="QA318" s="23"/>
      <c r="QB318" s="23"/>
      <c r="QC318" s="23"/>
      <c r="QD318" s="23"/>
      <c r="QE318" s="23"/>
      <c r="QF318" s="23"/>
      <c r="QG318" s="23"/>
      <c r="QH318" s="23"/>
      <c r="QI318" s="23"/>
      <c r="QJ318" s="23"/>
      <c r="QK318" s="23"/>
      <c r="QL318" s="23"/>
      <c r="QM318" s="23"/>
      <c r="QN318" s="23"/>
      <c r="QO318" s="23"/>
      <c r="QP318" s="23"/>
      <c r="QQ318" s="23"/>
      <c r="QR318" s="23"/>
      <c r="QS318" s="23"/>
      <c r="QT318" s="23"/>
      <c r="QU318" s="23"/>
      <c r="QV318" s="23"/>
      <c r="QW318" s="23"/>
      <c r="QX318" s="23"/>
      <c r="QY318" s="23"/>
      <c r="QZ318" s="23"/>
      <c r="RA318" s="23"/>
      <c r="RB318" s="23"/>
      <c r="RC318" s="23"/>
      <c r="RD318" s="23"/>
      <c r="RE318" s="23"/>
      <c r="RF318" s="23"/>
      <c r="RG318" s="23"/>
      <c r="RH318" s="23"/>
      <c r="RI318" s="23"/>
      <c r="RJ318" s="23"/>
      <c r="RK318" s="23"/>
      <c r="RL318" s="23"/>
      <c r="RM318" s="23"/>
      <c r="RN318" s="23"/>
      <c r="RO318" s="23"/>
      <c r="RP318" s="23"/>
      <c r="RQ318" s="23"/>
      <c r="RR318" s="23"/>
      <c r="RS318" s="23"/>
      <c r="RT318" s="23"/>
      <c r="RU318" s="23"/>
      <c r="RV318" s="23"/>
      <c r="RW318" s="23"/>
      <c r="RX318" s="23"/>
      <c r="RY318" s="23"/>
      <c r="RZ318" s="23"/>
      <c r="SA318" s="23"/>
      <c r="SB318" s="23"/>
      <c r="SC318" s="23"/>
      <c r="SD318" s="23"/>
      <c r="SE318" s="23"/>
      <c r="SF318" s="23"/>
      <c r="SG318" s="23"/>
      <c r="SH318" s="23"/>
      <c r="SI318" s="23"/>
      <c r="SJ318" s="23"/>
      <c r="SK318" s="23"/>
      <c r="SL318" s="23"/>
      <c r="SM318" s="23"/>
      <c r="SN318" s="23"/>
      <c r="SO318" s="23"/>
      <c r="SP318" s="23"/>
      <c r="SQ318" s="23"/>
      <c r="SR318" s="23"/>
      <c r="SS318" s="23"/>
      <c r="ST318" s="23"/>
      <c r="SU318" s="23"/>
      <c r="SV318" s="23"/>
      <c r="SW318" s="23"/>
      <c r="SX318" s="23"/>
      <c r="SY318" s="23"/>
      <c r="SZ318" s="23"/>
      <c r="TA318" s="23"/>
      <c r="TB318" s="23"/>
      <c r="TC318" s="23"/>
      <c r="TD318" s="23"/>
      <c r="TE318" s="23"/>
      <c r="TF318" s="23"/>
      <c r="TG318" s="23"/>
    </row>
    <row r="319" spans="1:527" s="22" customFormat="1" ht="30.75" customHeight="1" x14ac:dyDescent="0.25">
      <c r="A319" s="59" t="s">
        <v>221</v>
      </c>
      <c r="B319" s="92" t="str">
        <f>'дод 7'!A240</f>
        <v>8340</v>
      </c>
      <c r="C319" s="59" t="str">
        <f>'дод 7'!B240</f>
        <v>0540</v>
      </c>
      <c r="D319" s="60" t="str">
        <f>'дод 7'!C240</f>
        <v>Природоохоронні заходи за рахунок цільових фондів</v>
      </c>
      <c r="E319" s="98">
        <f t="shared" si="182"/>
        <v>0</v>
      </c>
      <c r="F319" s="98"/>
      <c r="G319" s="98"/>
      <c r="H319" s="98"/>
      <c r="I319" s="98"/>
      <c r="J319" s="98">
        <f t="shared" si="184"/>
        <v>502000</v>
      </c>
      <c r="K319" s="98"/>
      <c r="L319" s="98">
        <f>103000+399000</f>
        <v>502000</v>
      </c>
      <c r="M319" s="98"/>
      <c r="N319" s="98"/>
      <c r="O319" s="98"/>
      <c r="P319" s="98">
        <f t="shared" si="183"/>
        <v>502000</v>
      </c>
      <c r="Q319" s="23"/>
      <c r="R319" s="32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  <c r="IS319" s="23"/>
      <c r="IT319" s="23"/>
      <c r="IU319" s="23"/>
      <c r="IV319" s="23"/>
      <c r="IW319" s="23"/>
      <c r="IX319" s="23"/>
      <c r="IY319" s="23"/>
      <c r="IZ319" s="23"/>
      <c r="JA319" s="23"/>
      <c r="JB319" s="23"/>
      <c r="JC319" s="23"/>
      <c r="JD319" s="23"/>
      <c r="JE319" s="23"/>
      <c r="JF319" s="23"/>
      <c r="JG319" s="23"/>
      <c r="JH319" s="23"/>
      <c r="JI319" s="23"/>
      <c r="JJ319" s="23"/>
      <c r="JK319" s="23"/>
      <c r="JL319" s="23"/>
      <c r="JM319" s="23"/>
      <c r="JN319" s="23"/>
      <c r="JO319" s="23"/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  <c r="KC319" s="23"/>
      <c r="KD319" s="23"/>
      <c r="KE319" s="23"/>
      <c r="KF319" s="23"/>
      <c r="KG319" s="23"/>
      <c r="KH319" s="23"/>
      <c r="KI319" s="23"/>
      <c r="KJ319" s="23"/>
      <c r="KK319" s="23"/>
      <c r="KL319" s="23"/>
      <c r="KM319" s="23"/>
      <c r="KN319" s="23"/>
      <c r="KO319" s="23"/>
      <c r="KP319" s="23"/>
      <c r="KQ319" s="23"/>
      <c r="KR319" s="23"/>
      <c r="KS319" s="23"/>
      <c r="KT319" s="23"/>
      <c r="KU319" s="23"/>
      <c r="KV319" s="23"/>
      <c r="KW319" s="23"/>
      <c r="KX319" s="23"/>
      <c r="KY319" s="23"/>
      <c r="KZ319" s="23"/>
      <c r="LA319" s="23"/>
      <c r="LB319" s="23"/>
      <c r="LC319" s="23"/>
      <c r="LD319" s="23"/>
      <c r="LE319" s="23"/>
      <c r="LF319" s="23"/>
      <c r="LG319" s="23"/>
      <c r="LH319" s="23"/>
      <c r="LI319" s="23"/>
      <c r="LJ319" s="23"/>
      <c r="LK319" s="23"/>
      <c r="LL319" s="23"/>
      <c r="LM319" s="23"/>
      <c r="LN319" s="23"/>
      <c r="LO319" s="23"/>
      <c r="LP319" s="23"/>
      <c r="LQ319" s="23"/>
      <c r="LR319" s="23"/>
      <c r="LS319" s="23"/>
      <c r="LT319" s="23"/>
      <c r="LU319" s="23"/>
      <c r="LV319" s="23"/>
      <c r="LW319" s="23"/>
      <c r="LX319" s="23"/>
      <c r="LY319" s="23"/>
      <c r="LZ319" s="23"/>
      <c r="MA319" s="23"/>
      <c r="MB319" s="23"/>
      <c r="MC319" s="23"/>
      <c r="MD319" s="23"/>
      <c r="ME319" s="23"/>
      <c r="MF319" s="23"/>
      <c r="MG319" s="23"/>
      <c r="MH319" s="23"/>
      <c r="MI319" s="23"/>
      <c r="MJ319" s="23"/>
      <c r="MK319" s="23"/>
      <c r="ML319" s="23"/>
      <c r="MM319" s="23"/>
      <c r="MN319" s="23"/>
      <c r="MO319" s="23"/>
      <c r="MP319" s="23"/>
      <c r="MQ319" s="23"/>
      <c r="MR319" s="23"/>
      <c r="MS319" s="23"/>
      <c r="MT319" s="23"/>
      <c r="MU319" s="23"/>
      <c r="MV319" s="23"/>
      <c r="MW319" s="23"/>
      <c r="MX319" s="23"/>
      <c r="MY319" s="23"/>
      <c r="MZ319" s="23"/>
      <c r="NA319" s="23"/>
      <c r="NB319" s="23"/>
      <c r="NC319" s="23"/>
      <c r="ND319" s="23"/>
      <c r="NE319" s="23"/>
      <c r="NF319" s="23"/>
      <c r="NG319" s="23"/>
      <c r="NH319" s="23"/>
      <c r="NI319" s="23"/>
      <c r="NJ319" s="23"/>
      <c r="NK319" s="23"/>
      <c r="NL319" s="23"/>
      <c r="NM319" s="23"/>
      <c r="NN319" s="23"/>
      <c r="NO319" s="23"/>
      <c r="NP319" s="23"/>
      <c r="NQ319" s="23"/>
      <c r="NR319" s="23"/>
      <c r="NS319" s="23"/>
      <c r="NT319" s="23"/>
      <c r="NU319" s="23"/>
      <c r="NV319" s="23"/>
      <c r="NW319" s="23"/>
      <c r="NX319" s="23"/>
      <c r="NY319" s="23"/>
      <c r="NZ319" s="23"/>
      <c r="OA319" s="23"/>
      <c r="OB319" s="23"/>
      <c r="OC319" s="23"/>
      <c r="OD319" s="23"/>
      <c r="OE319" s="23"/>
      <c r="OF319" s="23"/>
      <c r="OG319" s="23"/>
      <c r="OH319" s="23"/>
      <c r="OI319" s="23"/>
      <c r="OJ319" s="23"/>
      <c r="OK319" s="23"/>
      <c r="OL319" s="23"/>
      <c r="OM319" s="23"/>
      <c r="ON319" s="23"/>
      <c r="OO319" s="23"/>
      <c r="OP319" s="23"/>
      <c r="OQ319" s="23"/>
      <c r="OR319" s="23"/>
      <c r="OS319" s="23"/>
      <c r="OT319" s="23"/>
      <c r="OU319" s="23"/>
      <c r="OV319" s="23"/>
      <c r="OW319" s="23"/>
      <c r="OX319" s="23"/>
      <c r="OY319" s="23"/>
      <c r="OZ319" s="23"/>
      <c r="PA319" s="23"/>
      <c r="PB319" s="23"/>
      <c r="PC319" s="23"/>
      <c r="PD319" s="23"/>
      <c r="PE319" s="23"/>
      <c r="PF319" s="23"/>
      <c r="PG319" s="23"/>
      <c r="PH319" s="23"/>
      <c r="PI319" s="23"/>
      <c r="PJ319" s="23"/>
      <c r="PK319" s="23"/>
      <c r="PL319" s="23"/>
      <c r="PM319" s="23"/>
      <c r="PN319" s="23"/>
      <c r="PO319" s="23"/>
      <c r="PP319" s="23"/>
      <c r="PQ319" s="23"/>
      <c r="PR319" s="23"/>
      <c r="PS319" s="23"/>
      <c r="PT319" s="23"/>
      <c r="PU319" s="23"/>
      <c r="PV319" s="23"/>
      <c r="PW319" s="23"/>
      <c r="PX319" s="23"/>
      <c r="PY319" s="23"/>
      <c r="PZ319" s="23"/>
      <c r="QA319" s="23"/>
      <c r="QB319" s="23"/>
      <c r="QC319" s="23"/>
      <c r="QD319" s="23"/>
      <c r="QE319" s="23"/>
      <c r="QF319" s="23"/>
      <c r="QG319" s="23"/>
      <c r="QH319" s="23"/>
      <c r="QI319" s="23"/>
      <c r="QJ319" s="23"/>
      <c r="QK319" s="23"/>
      <c r="QL319" s="23"/>
      <c r="QM319" s="23"/>
      <c r="QN319" s="23"/>
      <c r="QO319" s="23"/>
      <c r="QP319" s="23"/>
      <c r="QQ319" s="23"/>
      <c r="QR319" s="23"/>
      <c r="QS319" s="23"/>
      <c r="QT319" s="23"/>
      <c r="QU319" s="23"/>
      <c r="QV319" s="23"/>
      <c r="QW319" s="23"/>
      <c r="QX319" s="23"/>
      <c r="QY319" s="23"/>
      <c r="QZ319" s="23"/>
      <c r="RA319" s="23"/>
      <c r="RB319" s="23"/>
      <c r="RC319" s="23"/>
      <c r="RD319" s="23"/>
      <c r="RE319" s="23"/>
      <c r="RF319" s="23"/>
      <c r="RG319" s="23"/>
      <c r="RH319" s="23"/>
      <c r="RI319" s="23"/>
      <c r="RJ319" s="23"/>
      <c r="RK319" s="23"/>
      <c r="RL319" s="23"/>
      <c r="RM319" s="23"/>
      <c r="RN319" s="23"/>
      <c r="RO319" s="23"/>
      <c r="RP319" s="23"/>
      <c r="RQ319" s="23"/>
      <c r="RR319" s="23"/>
      <c r="RS319" s="23"/>
      <c r="RT319" s="23"/>
      <c r="RU319" s="23"/>
      <c r="RV319" s="23"/>
      <c r="RW319" s="23"/>
      <c r="RX319" s="23"/>
      <c r="RY319" s="23"/>
      <c r="RZ319" s="23"/>
      <c r="SA319" s="23"/>
      <c r="SB319" s="23"/>
      <c r="SC319" s="23"/>
      <c r="SD319" s="23"/>
      <c r="SE319" s="23"/>
      <c r="SF319" s="23"/>
      <c r="SG319" s="23"/>
      <c r="SH319" s="23"/>
      <c r="SI319" s="23"/>
      <c r="SJ319" s="23"/>
      <c r="SK319" s="23"/>
      <c r="SL319" s="23"/>
      <c r="SM319" s="23"/>
      <c r="SN319" s="23"/>
      <c r="SO319" s="23"/>
      <c r="SP319" s="23"/>
      <c r="SQ319" s="23"/>
      <c r="SR319" s="23"/>
      <c r="SS319" s="23"/>
      <c r="ST319" s="23"/>
      <c r="SU319" s="23"/>
      <c r="SV319" s="23"/>
      <c r="SW319" s="23"/>
      <c r="SX319" s="23"/>
      <c r="SY319" s="23"/>
      <c r="SZ319" s="23"/>
      <c r="TA319" s="23"/>
      <c r="TB319" s="23"/>
      <c r="TC319" s="23"/>
      <c r="TD319" s="23"/>
      <c r="TE319" s="23"/>
      <c r="TF319" s="23"/>
      <c r="TG319" s="23"/>
    </row>
    <row r="320" spans="1:527" s="22" customFormat="1" ht="21.75" customHeight="1" x14ac:dyDescent="0.25">
      <c r="A320" s="59" t="s">
        <v>222</v>
      </c>
      <c r="B320" s="92" t="str">
        <f>'дод 7'!A243</f>
        <v>8600</v>
      </c>
      <c r="C320" s="92" t="str">
        <f>'дод 7'!B243</f>
        <v>0170</v>
      </c>
      <c r="D320" s="60" t="str">
        <f>'дод 7'!C243</f>
        <v>Обслуговування місцевого боргу</v>
      </c>
      <c r="E320" s="98">
        <f t="shared" si="182"/>
        <v>1086239</v>
      </c>
      <c r="F320" s="98">
        <f>1833489+130750-878000</f>
        <v>1086239</v>
      </c>
      <c r="G320" s="98"/>
      <c r="H320" s="98"/>
      <c r="I320" s="98"/>
      <c r="J320" s="98">
        <f t="shared" si="184"/>
        <v>0</v>
      </c>
      <c r="K320" s="98"/>
      <c r="L320" s="98"/>
      <c r="M320" s="98"/>
      <c r="N320" s="98"/>
      <c r="O320" s="98"/>
      <c r="P320" s="98">
        <f t="shared" si="183"/>
        <v>1086239</v>
      </c>
      <c r="Q320" s="23"/>
      <c r="R320" s="32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  <c r="TF320" s="23"/>
      <c r="TG320" s="23"/>
    </row>
    <row r="321" spans="1:527" s="22" customFormat="1" ht="22.5" customHeight="1" x14ac:dyDescent="0.25">
      <c r="A321" s="59" t="s">
        <v>516</v>
      </c>
      <c r="B321" s="92">
        <v>8710</v>
      </c>
      <c r="C321" s="92" t="str">
        <f>'дод 7'!B244</f>
        <v>0133</v>
      </c>
      <c r="D321" s="60" t="str">
        <f>'дод 7'!C244</f>
        <v>Резервний фонд місцевого бюджету</v>
      </c>
      <c r="E321" s="98">
        <f>16076686.44+30260-2902100-6378100+81980-1553963+117260-370000-4100550-30000-1773800-1500000-1764511-50000+18143581-134000-2214239-49500-6050358-1200000+14335013-35000-50000+179880.17+498000+353600-4276710.77+2373392.5</f>
        <v>17756821.34</v>
      </c>
      <c r="F321" s="98"/>
      <c r="G321" s="98"/>
      <c r="H321" s="98"/>
      <c r="I321" s="98"/>
      <c r="J321" s="98">
        <f t="shared" si="184"/>
        <v>0</v>
      </c>
      <c r="K321" s="98"/>
      <c r="L321" s="98"/>
      <c r="M321" s="98"/>
      <c r="N321" s="98"/>
      <c r="O321" s="98"/>
      <c r="P321" s="98">
        <f t="shared" si="183"/>
        <v>17756821.34</v>
      </c>
      <c r="Q321" s="23"/>
      <c r="R321" s="32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  <c r="TF321" s="23"/>
      <c r="TG321" s="23"/>
    </row>
    <row r="322" spans="1:527" s="22" customFormat="1" ht="24.75" customHeight="1" x14ac:dyDescent="0.25">
      <c r="A322" s="59" t="s">
        <v>232</v>
      </c>
      <c r="B322" s="92" t="str">
        <f>'дод 7'!A248</f>
        <v>9110</v>
      </c>
      <c r="C322" s="92" t="str">
        <f>'дод 7'!B248</f>
        <v>0180</v>
      </c>
      <c r="D322" s="60" t="str">
        <f>'дод 7'!C248</f>
        <v>Реверсна дотація</v>
      </c>
      <c r="E322" s="98">
        <f>F322+I322</f>
        <v>100870700</v>
      </c>
      <c r="F322" s="98">
        <v>100870700</v>
      </c>
      <c r="G322" s="98"/>
      <c r="H322" s="98"/>
      <c r="I322" s="98"/>
      <c r="J322" s="98">
        <f t="shared" si="184"/>
        <v>0</v>
      </c>
      <c r="K322" s="98"/>
      <c r="L322" s="98"/>
      <c r="M322" s="98"/>
      <c r="N322" s="98"/>
      <c r="O322" s="98"/>
      <c r="P322" s="98">
        <f t="shared" si="183"/>
        <v>100870700</v>
      </c>
      <c r="Q322" s="23"/>
      <c r="R322" s="32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  <c r="SQ322" s="23"/>
      <c r="SR322" s="23"/>
      <c r="SS322" s="23"/>
      <c r="ST322" s="23"/>
      <c r="SU322" s="23"/>
      <c r="SV322" s="23"/>
      <c r="SW322" s="23"/>
      <c r="SX322" s="23"/>
      <c r="SY322" s="23"/>
      <c r="SZ322" s="23"/>
      <c r="TA322" s="23"/>
      <c r="TB322" s="23"/>
      <c r="TC322" s="23"/>
      <c r="TD322" s="23"/>
      <c r="TE322" s="23"/>
      <c r="TF322" s="23"/>
      <c r="TG322" s="23"/>
    </row>
    <row r="323" spans="1:527" s="27" customFormat="1" ht="22.5" customHeight="1" x14ac:dyDescent="0.25">
      <c r="A323" s="117"/>
      <c r="B323" s="111"/>
      <c r="C323" s="145"/>
      <c r="D323" s="106" t="s">
        <v>408</v>
      </c>
      <c r="E323" s="94">
        <f t="shared" ref="E323:P323" si="185">E17+E63+E127+E163+E204+E212+E223+E267+E270+E292+E299+E302+E310+E313</f>
        <v>2343104951.4900002</v>
      </c>
      <c r="F323" s="94">
        <f t="shared" si="185"/>
        <v>2229828610.8400002</v>
      </c>
      <c r="G323" s="94">
        <f t="shared" si="185"/>
        <v>1078601075</v>
      </c>
      <c r="H323" s="94">
        <f t="shared" si="185"/>
        <v>137315124</v>
      </c>
      <c r="I323" s="94">
        <f t="shared" si="185"/>
        <v>95519519.310000002</v>
      </c>
      <c r="J323" s="94">
        <f t="shared" si="185"/>
        <v>811710587.38</v>
      </c>
      <c r="K323" s="94">
        <f t="shared" si="185"/>
        <v>731022742.86000001</v>
      </c>
      <c r="L323" s="94">
        <f t="shared" si="185"/>
        <v>61672501.869999997</v>
      </c>
      <c r="M323" s="94">
        <f t="shared" si="185"/>
        <v>6033355</v>
      </c>
      <c r="N323" s="94">
        <f t="shared" si="185"/>
        <v>266522</v>
      </c>
      <c r="O323" s="94">
        <f t="shared" si="185"/>
        <v>750038085.50999999</v>
      </c>
      <c r="P323" s="94">
        <f t="shared" si="185"/>
        <v>3154815538.8700008</v>
      </c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  <c r="EH323" s="32"/>
      <c r="EI323" s="32"/>
      <c r="EJ323" s="32"/>
      <c r="EK323" s="32"/>
      <c r="EL323" s="32"/>
      <c r="EM323" s="32"/>
      <c r="EN323" s="32"/>
      <c r="EO323" s="32"/>
      <c r="EP323" s="32"/>
      <c r="EQ323" s="32"/>
      <c r="ER323" s="32"/>
      <c r="ES323" s="32"/>
      <c r="ET323" s="32"/>
      <c r="EU323" s="32"/>
      <c r="EV323" s="32"/>
      <c r="EW323" s="32"/>
      <c r="EX323" s="32"/>
      <c r="EY323" s="32"/>
      <c r="EZ323" s="32"/>
      <c r="FA323" s="32"/>
      <c r="FB323" s="32"/>
      <c r="FC323" s="32"/>
      <c r="FD323" s="32"/>
      <c r="FE323" s="32"/>
      <c r="FF323" s="32"/>
      <c r="FG323" s="32"/>
      <c r="FH323" s="32"/>
      <c r="FI323" s="32"/>
      <c r="FJ323" s="32"/>
      <c r="FK323" s="32"/>
      <c r="FL323" s="32"/>
      <c r="FM323" s="32"/>
      <c r="FN323" s="32"/>
      <c r="FO323" s="32"/>
      <c r="FP323" s="32"/>
      <c r="FQ323" s="32"/>
      <c r="FR323" s="32"/>
      <c r="FS323" s="32"/>
      <c r="FT323" s="32"/>
      <c r="FU323" s="32"/>
      <c r="FV323" s="32"/>
      <c r="FW323" s="32"/>
      <c r="FX323" s="32"/>
      <c r="FY323" s="32"/>
      <c r="FZ323" s="32"/>
      <c r="GA323" s="32"/>
      <c r="GB323" s="32"/>
      <c r="GC323" s="32"/>
      <c r="GD323" s="32"/>
      <c r="GE323" s="32"/>
      <c r="GF323" s="32"/>
      <c r="GG323" s="32"/>
      <c r="GH323" s="32"/>
      <c r="GI323" s="32"/>
      <c r="GJ323" s="32"/>
      <c r="GK323" s="32"/>
      <c r="GL323" s="32"/>
      <c r="GM323" s="32"/>
      <c r="GN323" s="32"/>
      <c r="GO323" s="32"/>
      <c r="GP323" s="32"/>
      <c r="GQ323" s="32"/>
      <c r="GR323" s="32"/>
      <c r="GS323" s="32"/>
      <c r="GT323" s="32"/>
      <c r="GU323" s="32"/>
      <c r="GV323" s="32"/>
      <c r="GW323" s="32"/>
      <c r="GX323" s="32"/>
      <c r="GY323" s="32"/>
      <c r="GZ323" s="32"/>
      <c r="HA323" s="32"/>
      <c r="HB323" s="32"/>
      <c r="HC323" s="32"/>
      <c r="HD323" s="32"/>
      <c r="HE323" s="32"/>
      <c r="HF323" s="32"/>
      <c r="HG323" s="32"/>
      <c r="HH323" s="32"/>
      <c r="HI323" s="32"/>
      <c r="HJ323" s="32"/>
      <c r="HK323" s="32"/>
      <c r="HL323" s="32"/>
      <c r="HM323" s="32"/>
      <c r="HN323" s="32"/>
      <c r="HO323" s="32"/>
      <c r="HP323" s="32"/>
      <c r="HQ323" s="32"/>
      <c r="HR323" s="32"/>
      <c r="HS323" s="32"/>
      <c r="HT323" s="32"/>
      <c r="HU323" s="32"/>
      <c r="HV323" s="32"/>
      <c r="HW323" s="32"/>
      <c r="HX323" s="32"/>
      <c r="HY323" s="32"/>
      <c r="HZ323" s="32"/>
      <c r="IA323" s="32"/>
      <c r="IB323" s="32"/>
      <c r="IC323" s="32"/>
      <c r="ID323" s="32"/>
      <c r="IE323" s="32"/>
      <c r="IF323" s="32"/>
      <c r="IG323" s="32"/>
      <c r="IH323" s="32"/>
      <c r="II323" s="32"/>
      <c r="IJ323" s="32"/>
      <c r="IK323" s="32"/>
      <c r="IL323" s="32"/>
      <c r="IM323" s="32"/>
      <c r="IN323" s="32"/>
      <c r="IO323" s="32"/>
      <c r="IP323" s="32"/>
      <c r="IQ323" s="32"/>
      <c r="IR323" s="32"/>
      <c r="IS323" s="32"/>
      <c r="IT323" s="32"/>
      <c r="IU323" s="32"/>
      <c r="IV323" s="32"/>
      <c r="IW323" s="32"/>
      <c r="IX323" s="32"/>
      <c r="IY323" s="32"/>
      <c r="IZ323" s="32"/>
      <c r="JA323" s="32"/>
      <c r="JB323" s="32"/>
      <c r="JC323" s="32"/>
      <c r="JD323" s="32"/>
      <c r="JE323" s="32"/>
      <c r="JF323" s="32"/>
      <c r="JG323" s="32"/>
      <c r="JH323" s="32"/>
      <c r="JI323" s="32"/>
      <c r="JJ323" s="32"/>
      <c r="JK323" s="32"/>
      <c r="JL323" s="32"/>
      <c r="JM323" s="32"/>
      <c r="JN323" s="32"/>
      <c r="JO323" s="32"/>
      <c r="JP323" s="32"/>
      <c r="JQ323" s="32"/>
      <c r="JR323" s="32"/>
      <c r="JS323" s="32"/>
      <c r="JT323" s="32"/>
      <c r="JU323" s="32"/>
      <c r="JV323" s="32"/>
      <c r="JW323" s="32"/>
      <c r="JX323" s="32"/>
      <c r="JY323" s="32"/>
      <c r="JZ323" s="32"/>
      <c r="KA323" s="32"/>
      <c r="KB323" s="32"/>
      <c r="KC323" s="32"/>
      <c r="KD323" s="32"/>
      <c r="KE323" s="32"/>
      <c r="KF323" s="32"/>
      <c r="KG323" s="32"/>
      <c r="KH323" s="32"/>
      <c r="KI323" s="32"/>
      <c r="KJ323" s="32"/>
      <c r="KK323" s="32"/>
      <c r="KL323" s="32"/>
      <c r="KM323" s="32"/>
      <c r="KN323" s="32"/>
      <c r="KO323" s="32"/>
      <c r="KP323" s="32"/>
      <c r="KQ323" s="32"/>
      <c r="KR323" s="32"/>
      <c r="KS323" s="32"/>
      <c r="KT323" s="32"/>
      <c r="KU323" s="32"/>
      <c r="KV323" s="32"/>
      <c r="KW323" s="32"/>
      <c r="KX323" s="32"/>
      <c r="KY323" s="32"/>
      <c r="KZ323" s="32"/>
      <c r="LA323" s="32"/>
      <c r="LB323" s="32"/>
      <c r="LC323" s="32"/>
      <c r="LD323" s="32"/>
      <c r="LE323" s="32"/>
      <c r="LF323" s="32"/>
      <c r="LG323" s="32"/>
      <c r="LH323" s="32"/>
      <c r="LI323" s="32"/>
      <c r="LJ323" s="32"/>
      <c r="LK323" s="32"/>
      <c r="LL323" s="32"/>
      <c r="LM323" s="32"/>
      <c r="LN323" s="32"/>
      <c r="LO323" s="32"/>
      <c r="LP323" s="32"/>
      <c r="LQ323" s="32"/>
      <c r="LR323" s="32"/>
      <c r="LS323" s="32"/>
      <c r="LT323" s="32"/>
      <c r="LU323" s="32"/>
      <c r="LV323" s="32"/>
      <c r="LW323" s="32"/>
      <c r="LX323" s="32"/>
      <c r="LY323" s="32"/>
      <c r="LZ323" s="32"/>
      <c r="MA323" s="32"/>
      <c r="MB323" s="32"/>
      <c r="MC323" s="32"/>
      <c r="MD323" s="32"/>
      <c r="ME323" s="32"/>
      <c r="MF323" s="32"/>
      <c r="MG323" s="32"/>
      <c r="MH323" s="32"/>
      <c r="MI323" s="32"/>
      <c r="MJ323" s="32"/>
      <c r="MK323" s="32"/>
      <c r="ML323" s="32"/>
      <c r="MM323" s="32"/>
      <c r="MN323" s="32"/>
      <c r="MO323" s="32"/>
      <c r="MP323" s="32"/>
      <c r="MQ323" s="32"/>
      <c r="MR323" s="32"/>
      <c r="MS323" s="32"/>
      <c r="MT323" s="32"/>
      <c r="MU323" s="32"/>
      <c r="MV323" s="32"/>
      <c r="MW323" s="32"/>
      <c r="MX323" s="32"/>
      <c r="MY323" s="32"/>
      <c r="MZ323" s="32"/>
      <c r="NA323" s="32"/>
      <c r="NB323" s="32"/>
      <c r="NC323" s="32"/>
      <c r="ND323" s="32"/>
      <c r="NE323" s="32"/>
      <c r="NF323" s="32"/>
      <c r="NG323" s="32"/>
      <c r="NH323" s="32"/>
      <c r="NI323" s="32"/>
      <c r="NJ323" s="32"/>
      <c r="NK323" s="32"/>
      <c r="NL323" s="32"/>
      <c r="NM323" s="32"/>
      <c r="NN323" s="32"/>
      <c r="NO323" s="32"/>
      <c r="NP323" s="32"/>
      <c r="NQ323" s="32"/>
      <c r="NR323" s="32"/>
      <c r="NS323" s="32"/>
      <c r="NT323" s="32"/>
      <c r="NU323" s="32"/>
      <c r="NV323" s="32"/>
      <c r="NW323" s="32"/>
      <c r="NX323" s="32"/>
      <c r="NY323" s="32"/>
      <c r="NZ323" s="32"/>
      <c r="OA323" s="32"/>
      <c r="OB323" s="32"/>
      <c r="OC323" s="32"/>
      <c r="OD323" s="32"/>
      <c r="OE323" s="32"/>
      <c r="OF323" s="32"/>
      <c r="OG323" s="32"/>
      <c r="OH323" s="32"/>
      <c r="OI323" s="32"/>
      <c r="OJ323" s="32"/>
      <c r="OK323" s="32"/>
      <c r="OL323" s="32"/>
      <c r="OM323" s="32"/>
      <c r="ON323" s="32"/>
      <c r="OO323" s="32"/>
      <c r="OP323" s="32"/>
      <c r="OQ323" s="32"/>
      <c r="OR323" s="32"/>
      <c r="OS323" s="32"/>
      <c r="OT323" s="32"/>
      <c r="OU323" s="32"/>
      <c r="OV323" s="32"/>
      <c r="OW323" s="32"/>
      <c r="OX323" s="32"/>
      <c r="OY323" s="32"/>
      <c r="OZ323" s="32"/>
      <c r="PA323" s="32"/>
      <c r="PB323" s="32"/>
      <c r="PC323" s="32"/>
      <c r="PD323" s="32"/>
      <c r="PE323" s="32"/>
      <c r="PF323" s="32"/>
      <c r="PG323" s="32"/>
      <c r="PH323" s="32"/>
      <c r="PI323" s="32"/>
      <c r="PJ323" s="32"/>
      <c r="PK323" s="32"/>
      <c r="PL323" s="32"/>
      <c r="PM323" s="32"/>
      <c r="PN323" s="32"/>
      <c r="PO323" s="32"/>
      <c r="PP323" s="32"/>
      <c r="PQ323" s="32"/>
      <c r="PR323" s="32"/>
      <c r="PS323" s="32"/>
      <c r="PT323" s="32"/>
      <c r="PU323" s="32"/>
      <c r="PV323" s="32"/>
      <c r="PW323" s="32"/>
      <c r="PX323" s="32"/>
      <c r="PY323" s="32"/>
      <c r="PZ323" s="32"/>
      <c r="QA323" s="32"/>
      <c r="QB323" s="32"/>
      <c r="QC323" s="32"/>
      <c r="QD323" s="32"/>
      <c r="QE323" s="32"/>
      <c r="QF323" s="32"/>
      <c r="QG323" s="32"/>
      <c r="QH323" s="32"/>
      <c r="QI323" s="32"/>
      <c r="QJ323" s="32"/>
      <c r="QK323" s="32"/>
      <c r="QL323" s="32"/>
      <c r="QM323" s="32"/>
      <c r="QN323" s="32"/>
      <c r="QO323" s="32"/>
      <c r="QP323" s="32"/>
      <c r="QQ323" s="32"/>
      <c r="QR323" s="32"/>
      <c r="QS323" s="32"/>
      <c r="QT323" s="32"/>
      <c r="QU323" s="32"/>
      <c r="QV323" s="32"/>
      <c r="QW323" s="32"/>
      <c r="QX323" s="32"/>
      <c r="QY323" s="32"/>
      <c r="QZ323" s="32"/>
      <c r="RA323" s="32"/>
      <c r="RB323" s="32"/>
      <c r="RC323" s="32"/>
      <c r="RD323" s="32"/>
      <c r="RE323" s="32"/>
      <c r="RF323" s="32"/>
      <c r="RG323" s="32"/>
      <c r="RH323" s="32"/>
      <c r="RI323" s="32"/>
      <c r="RJ323" s="32"/>
      <c r="RK323" s="32"/>
      <c r="RL323" s="32"/>
      <c r="RM323" s="32"/>
      <c r="RN323" s="32"/>
      <c r="RO323" s="32"/>
      <c r="RP323" s="32"/>
      <c r="RQ323" s="32"/>
      <c r="RR323" s="32"/>
      <c r="RS323" s="32"/>
      <c r="RT323" s="32"/>
      <c r="RU323" s="32"/>
      <c r="RV323" s="32"/>
      <c r="RW323" s="32"/>
      <c r="RX323" s="32"/>
      <c r="RY323" s="32"/>
      <c r="RZ323" s="32"/>
      <c r="SA323" s="32"/>
      <c r="SB323" s="32"/>
      <c r="SC323" s="32"/>
      <c r="SD323" s="32"/>
      <c r="SE323" s="32"/>
      <c r="SF323" s="32"/>
      <c r="SG323" s="32"/>
      <c r="SH323" s="32"/>
      <c r="SI323" s="32"/>
      <c r="SJ323" s="32"/>
      <c r="SK323" s="32"/>
      <c r="SL323" s="32"/>
      <c r="SM323" s="32"/>
      <c r="SN323" s="32"/>
      <c r="SO323" s="32"/>
      <c r="SP323" s="32"/>
      <c r="SQ323" s="32"/>
      <c r="SR323" s="32"/>
      <c r="SS323" s="32"/>
      <c r="ST323" s="32"/>
      <c r="SU323" s="32"/>
      <c r="SV323" s="32"/>
      <c r="SW323" s="32"/>
      <c r="SX323" s="32"/>
      <c r="SY323" s="32"/>
      <c r="SZ323" s="32"/>
      <c r="TA323" s="32"/>
      <c r="TB323" s="32"/>
      <c r="TC323" s="32"/>
      <c r="TD323" s="32"/>
      <c r="TE323" s="32"/>
      <c r="TF323" s="32"/>
      <c r="TG323" s="32"/>
    </row>
    <row r="324" spans="1:527" s="34" customFormat="1" ht="39.75" customHeight="1" x14ac:dyDescent="0.25">
      <c r="A324" s="118"/>
      <c r="B324" s="108"/>
      <c r="C324" s="96"/>
      <c r="D324" s="76" t="s">
        <v>401</v>
      </c>
      <c r="E324" s="97">
        <f>E65+E72+E226+E227+E75+E133+E74+E272</f>
        <v>485697135.60000002</v>
      </c>
      <c r="F324" s="97">
        <f t="shared" ref="F324:P324" si="186">F65+F72+F226+F227+F75+F133+F74+F272</f>
        <v>485697135.60000002</v>
      </c>
      <c r="G324" s="97">
        <f t="shared" si="186"/>
        <v>395816000</v>
      </c>
      <c r="H324" s="97">
        <f t="shared" si="186"/>
        <v>0</v>
      </c>
      <c r="I324" s="97">
        <f t="shared" si="186"/>
        <v>0</v>
      </c>
      <c r="J324" s="97">
        <f t="shared" si="186"/>
        <v>41444460.18</v>
      </c>
      <c r="K324" s="97">
        <f t="shared" si="186"/>
        <v>37951510.18</v>
      </c>
      <c r="L324" s="97">
        <f t="shared" si="186"/>
        <v>0</v>
      </c>
      <c r="M324" s="97">
        <f t="shared" si="186"/>
        <v>0</v>
      </c>
      <c r="N324" s="97">
        <f t="shared" si="186"/>
        <v>0</v>
      </c>
      <c r="O324" s="97">
        <f t="shared" si="186"/>
        <v>41444460.18</v>
      </c>
      <c r="P324" s="97">
        <f t="shared" si="186"/>
        <v>527141595.77999997</v>
      </c>
      <c r="Q324" s="33"/>
      <c r="R324" s="32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  <c r="DB324" s="33"/>
      <c r="DC324" s="33"/>
      <c r="DD324" s="33"/>
      <c r="DE324" s="33"/>
      <c r="DF324" s="33"/>
      <c r="DG324" s="33"/>
      <c r="DH324" s="33"/>
      <c r="DI324" s="33"/>
      <c r="DJ324" s="33"/>
      <c r="DK324" s="33"/>
      <c r="DL324" s="33"/>
      <c r="DM324" s="33"/>
      <c r="DN324" s="33"/>
      <c r="DO324" s="33"/>
      <c r="DP324" s="33"/>
      <c r="DQ324" s="33"/>
      <c r="DR324" s="33"/>
      <c r="DS324" s="33"/>
      <c r="DT324" s="33"/>
      <c r="DU324" s="33"/>
      <c r="DV324" s="33"/>
      <c r="DW324" s="33"/>
      <c r="DX324" s="33"/>
      <c r="DY324" s="33"/>
      <c r="DZ324" s="33"/>
      <c r="EA324" s="33"/>
      <c r="EB324" s="33"/>
      <c r="EC324" s="33"/>
      <c r="ED324" s="33"/>
      <c r="EE324" s="33"/>
      <c r="EF324" s="33"/>
      <c r="EG324" s="33"/>
      <c r="EH324" s="33"/>
      <c r="EI324" s="33"/>
      <c r="EJ324" s="33"/>
      <c r="EK324" s="33"/>
      <c r="EL324" s="33"/>
      <c r="EM324" s="33"/>
      <c r="EN324" s="33"/>
      <c r="EO324" s="33"/>
      <c r="EP324" s="33"/>
      <c r="EQ324" s="33"/>
      <c r="ER324" s="33"/>
      <c r="ES324" s="33"/>
      <c r="ET324" s="33"/>
      <c r="EU324" s="33"/>
      <c r="EV324" s="33"/>
      <c r="EW324" s="33"/>
      <c r="EX324" s="33"/>
      <c r="EY324" s="33"/>
      <c r="EZ324" s="33"/>
      <c r="FA324" s="33"/>
      <c r="FB324" s="33"/>
      <c r="FC324" s="33"/>
      <c r="FD324" s="33"/>
      <c r="FE324" s="33"/>
      <c r="FF324" s="33"/>
      <c r="FG324" s="33"/>
      <c r="FH324" s="33"/>
      <c r="FI324" s="33"/>
      <c r="FJ324" s="33"/>
      <c r="FK324" s="33"/>
      <c r="FL324" s="33"/>
      <c r="FM324" s="33"/>
      <c r="FN324" s="33"/>
      <c r="FO324" s="33"/>
      <c r="FP324" s="33"/>
      <c r="FQ324" s="33"/>
      <c r="FR324" s="33"/>
      <c r="FS324" s="33"/>
      <c r="FT324" s="33"/>
      <c r="FU324" s="33"/>
      <c r="FV324" s="33"/>
      <c r="FW324" s="33"/>
      <c r="FX324" s="33"/>
      <c r="FY324" s="33"/>
      <c r="FZ324" s="33"/>
      <c r="GA324" s="33"/>
      <c r="GB324" s="33"/>
      <c r="GC324" s="33"/>
      <c r="GD324" s="33"/>
      <c r="GE324" s="33"/>
      <c r="GF324" s="33"/>
      <c r="GG324" s="33"/>
      <c r="GH324" s="33"/>
      <c r="GI324" s="33"/>
      <c r="GJ324" s="33"/>
      <c r="GK324" s="33"/>
      <c r="GL324" s="33"/>
      <c r="GM324" s="33"/>
      <c r="GN324" s="33"/>
      <c r="GO324" s="33"/>
      <c r="GP324" s="33"/>
      <c r="GQ324" s="33"/>
      <c r="GR324" s="33"/>
      <c r="GS324" s="33"/>
      <c r="GT324" s="33"/>
      <c r="GU324" s="33"/>
      <c r="GV324" s="33"/>
      <c r="GW324" s="33"/>
      <c r="GX324" s="33"/>
      <c r="GY324" s="33"/>
      <c r="GZ324" s="33"/>
      <c r="HA324" s="33"/>
      <c r="HB324" s="33"/>
      <c r="HC324" s="33"/>
      <c r="HD324" s="33"/>
      <c r="HE324" s="33"/>
      <c r="HF324" s="33"/>
      <c r="HG324" s="33"/>
      <c r="HH324" s="33"/>
      <c r="HI324" s="33"/>
      <c r="HJ324" s="33"/>
      <c r="HK324" s="33"/>
      <c r="HL324" s="33"/>
      <c r="HM324" s="33"/>
      <c r="HN324" s="33"/>
      <c r="HO324" s="33"/>
      <c r="HP324" s="33"/>
      <c r="HQ324" s="33"/>
      <c r="HR324" s="33"/>
      <c r="HS324" s="33"/>
      <c r="HT324" s="33"/>
      <c r="HU324" s="33"/>
      <c r="HV324" s="33"/>
      <c r="HW324" s="33"/>
      <c r="HX324" s="33"/>
      <c r="HY324" s="33"/>
      <c r="HZ324" s="33"/>
      <c r="IA324" s="33"/>
      <c r="IB324" s="33"/>
      <c r="IC324" s="33"/>
      <c r="ID324" s="33"/>
      <c r="IE324" s="33"/>
      <c r="IF324" s="33"/>
      <c r="IG324" s="33"/>
      <c r="IH324" s="33"/>
      <c r="II324" s="33"/>
      <c r="IJ324" s="33"/>
      <c r="IK324" s="33"/>
      <c r="IL324" s="33"/>
      <c r="IM324" s="33"/>
      <c r="IN324" s="33"/>
      <c r="IO324" s="33"/>
      <c r="IP324" s="33"/>
      <c r="IQ324" s="33"/>
      <c r="IR324" s="33"/>
      <c r="IS324" s="33"/>
      <c r="IT324" s="33"/>
      <c r="IU324" s="33"/>
      <c r="IV324" s="33"/>
      <c r="IW324" s="33"/>
      <c r="IX324" s="33"/>
      <c r="IY324" s="33"/>
      <c r="IZ324" s="33"/>
      <c r="JA324" s="33"/>
      <c r="JB324" s="33"/>
      <c r="JC324" s="33"/>
      <c r="JD324" s="33"/>
      <c r="JE324" s="33"/>
      <c r="JF324" s="33"/>
      <c r="JG324" s="33"/>
      <c r="JH324" s="33"/>
      <c r="JI324" s="33"/>
      <c r="JJ324" s="33"/>
      <c r="JK324" s="33"/>
      <c r="JL324" s="33"/>
      <c r="JM324" s="33"/>
      <c r="JN324" s="33"/>
      <c r="JO324" s="33"/>
      <c r="JP324" s="33"/>
      <c r="JQ324" s="33"/>
      <c r="JR324" s="33"/>
      <c r="JS324" s="33"/>
      <c r="JT324" s="33"/>
      <c r="JU324" s="33"/>
      <c r="JV324" s="33"/>
      <c r="JW324" s="33"/>
      <c r="JX324" s="33"/>
      <c r="JY324" s="33"/>
      <c r="JZ324" s="33"/>
      <c r="KA324" s="33"/>
      <c r="KB324" s="33"/>
      <c r="KC324" s="33"/>
      <c r="KD324" s="33"/>
      <c r="KE324" s="33"/>
      <c r="KF324" s="33"/>
      <c r="KG324" s="33"/>
      <c r="KH324" s="33"/>
      <c r="KI324" s="33"/>
      <c r="KJ324" s="33"/>
      <c r="KK324" s="33"/>
      <c r="KL324" s="33"/>
      <c r="KM324" s="33"/>
      <c r="KN324" s="33"/>
      <c r="KO324" s="33"/>
      <c r="KP324" s="33"/>
      <c r="KQ324" s="33"/>
      <c r="KR324" s="33"/>
      <c r="KS324" s="33"/>
      <c r="KT324" s="33"/>
      <c r="KU324" s="33"/>
      <c r="KV324" s="33"/>
      <c r="KW324" s="33"/>
      <c r="KX324" s="33"/>
      <c r="KY324" s="33"/>
      <c r="KZ324" s="33"/>
      <c r="LA324" s="33"/>
      <c r="LB324" s="33"/>
      <c r="LC324" s="33"/>
      <c r="LD324" s="33"/>
      <c r="LE324" s="33"/>
      <c r="LF324" s="33"/>
      <c r="LG324" s="33"/>
      <c r="LH324" s="33"/>
      <c r="LI324" s="33"/>
      <c r="LJ324" s="33"/>
      <c r="LK324" s="33"/>
      <c r="LL324" s="33"/>
      <c r="LM324" s="33"/>
      <c r="LN324" s="33"/>
      <c r="LO324" s="33"/>
      <c r="LP324" s="33"/>
      <c r="LQ324" s="33"/>
      <c r="LR324" s="33"/>
      <c r="LS324" s="33"/>
      <c r="LT324" s="33"/>
      <c r="LU324" s="33"/>
      <c r="LV324" s="33"/>
      <c r="LW324" s="33"/>
      <c r="LX324" s="33"/>
      <c r="LY324" s="33"/>
      <c r="LZ324" s="33"/>
      <c r="MA324" s="33"/>
      <c r="MB324" s="33"/>
      <c r="MC324" s="33"/>
      <c r="MD324" s="33"/>
      <c r="ME324" s="33"/>
      <c r="MF324" s="33"/>
      <c r="MG324" s="33"/>
      <c r="MH324" s="33"/>
      <c r="MI324" s="33"/>
      <c r="MJ324" s="33"/>
      <c r="MK324" s="33"/>
      <c r="ML324" s="33"/>
      <c r="MM324" s="33"/>
      <c r="MN324" s="33"/>
      <c r="MO324" s="33"/>
      <c r="MP324" s="33"/>
      <c r="MQ324" s="33"/>
      <c r="MR324" s="33"/>
      <c r="MS324" s="33"/>
      <c r="MT324" s="33"/>
      <c r="MU324" s="33"/>
      <c r="MV324" s="33"/>
      <c r="MW324" s="33"/>
      <c r="MX324" s="33"/>
      <c r="MY324" s="33"/>
      <c r="MZ324" s="33"/>
      <c r="NA324" s="33"/>
      <c r="NB324" s="33"/>
      <c r="NC324" s="33"/>
      <c r="ND324" s="33"/>
      <c r="NE324" s="33"/>
      <c r="NF324" s="33"/>
      <c r="NG324" s="33"/>
      <c r="NH324" s="33"/>
      <c r="NI324" s="33"/>
      <c r="NJ324" s="33"/>
      <c r="NK324" s="33"/>
      <c r="NL324" s="33"/>
      <c r="NM324" s="33"/>
      <c r="NN324" s="33"/>
      <c r="NO324" s="33"/>
      <c r="NP324" s="33"/>
      <c r="NQ324" s="33"/>
      <c r="NR324" s="33"/>
      <c r="NS324" s="33"/>
      <c r="NT324" s="33"/>
      <c r="NU324" s="33"/>
      <c r="NV324" s="33"/>
      <c r="NW324" s="33"/>
      <c r="NX324" s="33"/>
      <c r="NY324" s="33"/>
      <c r="NZ324" s="33"/>
      <c r="OA324" s="33"/>
      <c r="OB324" s="33"/>
      <c r="OC324" s="33"/>
      <c r="OD324" s="33"/>
      <c r="OE324" s="33"/>
      <c r="OF324" s="33"/>
      <c r="OG324" s="33"/>
      <c r="OH324" s="33"/>
      <c r="OI324" s="33"/>
      <c r="OJ324" s="33"/>
      <c r="OK324" s="33"/>
      <c r="OL324" s="33"/>
      <c r="OM324" s="33"/>
      <c r="ON324" s="33"/>
      <c r="OO324" s="33"/>
      <c r="OP324" s="33"/>
      <c r="OQ324" s="33"/>
      <c r="OR324" s="33"/>
      <c r="OS324" s="33"/>
      <c r="OT324" s="33"/>
      <c r="OU324" s="33"/>
      <c r="OV324" s="33"/>
      <c r="OW324" s="33"/>
      <c r="OX324" s="33"/>
      <c r="OY324" s="33"/>
      <c r="OZ324" s="33"/>
      <c r="PA324" s="33"/>
      <c r="PB324" s="33"/>
      <c r="PC324" s="33"/>
      <c r="PD324" s="33"/>
      <c r="PE324" s="33"/>
      <c r="PF324" s="33"/>
      <c r="PG324" s="33"/>
      <c r="PH324" s="33"/>
      <c r="PI324" s="33"/>
      <c r="PJ324" s="33"/>
      <c r="PK324" s="33"/>
      <c r="PL324" s="33"/>
      <c r="PM324" s="33"/>
      <c r="PN324" s="33"/>
      <c r="PO324" s="33"/>
      <c r="PP324" s="33"/>
      <c r="PQ324" s="33"/>
      <c r="PR324" s="33"/>
      <c r="PS324" s="33"/>
      <c r="PT324" s="33"/>
      <c r="PU324" s="33"/>
      <c r="PV324" s="33"/>
      <c r="PW324" s="33"/>
      <c r="PX324" s="33"/>
      <c r="PY324" s="33"/>
      <c r="PZ324" s="33"/>
      <c r="QA324" s="33"/>
      <c r="QB324" s="33"/>
      <c r="QC324" s="33"/>
      <c r="QD324" s="33"/>
      <c r="QE324" s="33"/>
      <c r="QF324" s="33"/>
      <c r="QG324" s="33"/>
      <c r="QH324" s="33"/>
      <c r="QI324" s="33"/>
      <c r="QJ324" s="33"/>
      <c r="QK324" s="33"/>
      <c r="QL324" s="33"/>
      <c r="QM324" s="33"/>
      <c r="QN324" s="33"/>
      <c r="QO324" s="33"/>
      <c r="QP324" s="33"/>
      <c r="QQ324" s="33"/>
      <c r="QR324" s="33"/>
      <c r="QS324" s="33"/>
      <c r="QT324" s="33"/>
      <c r="QU324" s="33"/>
      <c r="QV324" s="33"/>
      <c r="QW324" s="33"/>
      <c r="QX324" s="33"/>
      <c r="QY324" s="33"/>
      <c r="QZ324" s="33"/>
      <c r="RA324" s="33"/>
      <c r="RB324" s="33"/>
      <c r="RC324" s="33"/>
      <c r="RD324" s="33"/>
      <c r="RE324" s="33"/>
      <c r="RF324" s="33"/>
      <c r="RG324" s="33"/>
      <c r="RH324" s="33"/>
      <c r="RI324" s="33"/>
      <c r="RJ324" s="33"/>
      <c r="RK324" s="33"/>
      <c r="RL324" s="33"/>
      <c r="RM324" s="33"/>
      <c r="RN324" s="33"/>
      <c r="RO324" s="33"/>
      <c r="RP324" s="33"/>
      <c r="RQ324" s="33"/>
      <c r="RR324" s="33"/>
      <c r="RS324" s="33"/>
      <c r="RT324" s="33"/>
      <c r="RU324" s="33"/>
      <c r="RV324" s="33"/>
      <c r="RW324" s="33"/>
      <c r="RX324" s="33"/>
      <c r="RY324" s="33"/>
      <c r="RZ324" s="33"/>
      <c r="SA324" s="33"/>
      <c r="SB324" s="33"/>
      <c r="SC324" s="33"/>
      <c r="SD324" s="33"/>
      <c r="SE324" s="33"/>
      <c r="SF324" s="33"/>
      <c r="SG324" s="33"/>
      <c r="SH324" s="33"/>
      <c r="SI324" s="33"/>
      <c r="SJ324" s="33"/>
      <c r="SK324" s="33"/>
      <c r="SL324" s="33"/>
      <c r="SM324" s="33"/>
      <c r="SN324" s="33"/>
      <c r="SO324" s="33"/>
      <c r="SP324" s="33"/>
      <c r="SQ324" s="33"/>
      <c r="SR324" s="33"/>
      <c r="SS324" s="33"/>
      <c r="ST324" s="33"/>
      <c r="SU324" s="33"/>
      <c r="SV324" s="33"/>
      <c r="SW324" s="33"/>
      <c r="SX324" s="33"/>
      <c r="SY324" s="33"/>
      <c r="SZ324" s="33"/>
      <c r="TA324" s="33"/>
      <c r="TB324" s="33"/>
      <c r="TC324" s="33"/>
      <c r="TD324" s="33"/>
      <c r="TE324" s="33"/>
      <c r="TF324" s="33"/>
      <c r="TG324" s="33"/>
    </row>
    <row r="325" spans="1:527" s="34" customFormat="1" ht="37.5" customHeight="1" x14ac:dyDescent="0.25">
      <c r="A325" s="118"/>
      <c r="B325" s="108"/>
      <c r="C325" s="96"/>
      <c r="D325" s="76" t="s">
        <v>402</v>
      </c>
      <c r="E325" s="97">
        <f>E19+E68+E70+E167+E67+E71+E132+E73+E76+E135+E168+E169+E229+E206+E225+E228+E134</f>
        <v>33940606.130000003</v>
      </c>
      <c r="F325" s="97">
        <f t="shared" ref="F325:P325" si="187">F19+F68+F70+F167+F67+F71+F132+F73+F76+F135+F168+F169+F229+F206+F225+F228+F134</f>
        <v>33940606.130000003</v>
      </c>
      <c r="G325" s="97">
        <f t="shared" si="187"/>
        <v>4103499</v>
      </c>
      <c r="H325" s="97">
        <f t="shared" si="187"/>
        <v>0</v>
      </c>
      <c r="I325" s="97">
        <f t="shared" si="187"/>
        <v>0</v>
      </c>
      <c r="J325" s="97">
        <f t="shared" si="187"/>
        <v>31113850.450000003</v>
      </c>
      <c r="K325" s="97">
        <f t="shared" si="187"/>
        <v>19013850.450000003</v>
      </c>
      <c r="L325" s="97">
        <f t="shared" si="187"/>
        <v>12100000</v>
      </c>
      <c r="M325" s="97">
        <f t="shared" si="187"/>
        <v>0</v>
      </c>
      <c r="N325" s="97">
        <f t="shared" si="187"/>
        <v>0</v>
      </c>
      <c r="O325" s="97">
        <f t="shared" si="187"/>
        <v>19013850.450000003</v>
      </c>
      <c r="P325" s="97">
        <f t="shared" si="187"/>
        <v>65054456.580000006</v>
      </c>
      <c r="Q325" s="33"/>
      <c r="R325" s="32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  <c r="DB325" s="33"/>
      <c r="DC325" s="33"/>
      <c r="DD325" s="33"/>
      <c r="DE325" s="33"/>
      <c r="DF325" s="33"/>
      <c r="DG325" s="33"/>
      <c r="DH325" s="33"/>
      <c r="DI325" s="33"/>
      <c r="DJ325" s="33"/>
      <c r="DK325" s="33"/>
      <c r="DL325" s="33"/>
      <c r="DM325" s="33"/>
      <c r="DN325" s="33"/>
      <c r="DO325" s="33"/>
      <c r="DP325" s="33"/>
      <c r="DQ325" s="33"/>
      <c r="DR325" s="33"/>
      <c r="DS325" s="33"/>
      <c r="DT325" s="33"/>
      <c r="DU325" s="33"/>
      <c r="DV325" s="33"/>
      <c r="DW325" s="33"/>
      <c r="DX325" s="33"/>
      <c r="DY325" s="33"/>
      <c r="DZ325" s="33"/>
      <c r="EA325" s="33"/>
      <c r="EB325" s="33"/>
      <c r="EC325" s="33"/>
      <c r="ED325" s="33"/>
      <c r="EE325" s="33"/>
      <c r="EF325" s="33"/>
      <c r="EG325" s="33"/>
      <c r="EH325" s="33"/>
      <c r="EI325" s="33"/>
      <c r="EJ325" s="33"/>
      <c r="EK325" s="33"/>
      <c r="EL325" s="33"/>
      <c r="EM325" s="33"/>
      <c r="EN325" s="33"/>
      <c r="EO325" s="33"/>
      <c r="EP325" s="33"/>
      <c r="EQ325" s="33"/>
      <c r="ER325" s="33"/>
      <c r="ES325" s="33"/>
      <c r="ET325" s="33"/>
      <c r="EU325" s="33"/>
      <c r="EV325" s="33"/>
      <c r="EW325" s="33"/>
      <c r="EX325" s="33"/>
      <c r="EY325" s="33"/>
      <c r="EZ325" s="33"/>
      <c r="FA325" s="33"/>
      <c r="FB325" s="33"/>
      <c r="FC325" s="33"/>
      <c r="FD325" s="33"/>
      <c r="FE325" s="33"/>
      <c r="FF325" s="33"/>
      <c r="FG325" s="33"/>
      <c r="FH325" s="33"/>
      <c r="FI325" s="33"/>
      <c r="FJ325" s="33"/>
      <c r="FK325" s="33"/>
      <c r="FL325" s="33"/>
      <c r="FM325" s="33"/>
      <c r="FN325" s="33"/>
      <c r="FO325" s="33"/>
      <c r="FP325" s="33"/>
      <c r="FQ325" s="33"/>
      <c r="FR325" s="33"/>
      <c r="FS325" s="33"/>
      <c r="FT325" s="33"/>
      <c r="FU325" s="33"/>
      <c r="FV325" s="33"/>
      <c r="FW325" s="33"/>
      <c r="FX325" s="33"/>
      <c r="FY325" s="33"/>
      <c r="FZ325" s="33"/>
      <c r="GA325" s="33"/>
      <c r="GB325" s="33"/>
      <c r="GC325" s="33"/>
      <c r="GD325" s="33"/>
      <c r="GE325" s="33"/>
      <c r="GF325" s="33"/>
      <c r="GG325" s="33"/>
      <c r="GH325" s="33"/>
      <c r="GI325" s="33"/>
      <c r="GJ325" s="33"/>
      <c r="GK325" s="33"/>
      <c r="GL325" s="33"/>
      <c r="GM325" s="33"/>
      <c r="GN325" s="33"/>
      <c r="GO325" s="33"/>
      <c r="GP325" s="33"/>
      <c r="GQ325" s="33"/>
      <c r="GR325" s="33"/>
      <c r="GS325" s="33"/>
      <c r="GT325" s="33"/>
      <c r="GU325" s="33"/>
      <c r="GV325" s="33"/>
      <c r="GW325" s="33"/>
      <c r="GX325" s="33"/>
      <c r="GY325" s="33"/>
      <c r="GZ325" s="33"/>
      <c r="HA325" s="33"/>
      <c r="HB325" s="33"/>
      <c r="HC325" s="33"/>
      <c r="HD325" s="33"/>
      <c r="HE325" s="33"/>
      <c r="HF325" s="33"/>
      <c r="HG325" s="33"/>
      <c r="HH325" s="33"/>
      <c r="HI325" s="33"/>
      <c r="HJ325" s="33"/>
      <c r="HK325" s="33"/>
      <c r="HL325" s="33"/>
      <c r="HM325" s="33"/>
      <c r="HN325" s="33"/>
      <c r="HO325" s="33"/>
      <c r="HP325" s="33"/>
      <c r="HQ325" s="33"/>
      <c r="HR325" s="33"/>
      <c r="HS325" s="33"/>
      <c r="HT325" s="33"/>
      <c r="HU325" s="33"/>
      <c r="HV325" s="33"/>
      <c r="HW325" s="33"/>
      <c r="HX325" s="33"/>
      <c r="HY325" s="33"/>
      <c r="HZ325" s="33"/>
      <c r="IA325" s="33"/>
      <c r="IB325" s="33"/>
      <c r="IC325" s="33"/>
      <c r="ID325" s="33"/>
      <c r="IE325" s="33"/>
      <c r="IF325" s="33"/>
      <c r="IG325" s="33"/>
      <c r="IH325" s="33"/>
      <c r="II325" s="33"/>
      <c r="IJ325" s="33"/>
      <c r="IK325" s="33"/>
      <c r="IL325" s="33"/>
      <c r="IM325" s="33"/>
      <c r="IN325" s="33"/>
      <c r="IO325" s="33"/>
      <c r="IP325" s="33"/>
      <c r="IQ325" s="33"/>
      <c r="IR325" s="33"/>
      <c r="IS325" s="33"/>
      <c r="IT325" s="33"/>
      <c r="IU325" s="33"/>
      <c r="IV325" s="33"/>
      <c r="IW325" s="33"/>
      <c r="IX325" s="33"/>
      <c r="IY325" s="33"/>
      <c r="IZ325" s="33"/>
      <c r="JA325" s="33"/>
      <c r="JB325" s="33"/>
      <c r="JC325" s="33"/>
      <c r="JD325" s="33"/>
      <c r="JE325" s="33"/>
      <c r="JF325" s="33"/>
      <c r="JG325" s="33"/>
      <c r="JH325" s="33"/>
      <c r="JI325" s="33"/>
      <c r="JJ325" s="33"/>
      <c r="JK325" s="33"/>
      <c r="JL325" s="33"/>
      <c r="JM325" s="33"/>
      <c r="JN325" s="33"/>
      <c r="JO325" s="33"/>
      <c r="JP325" s="33"/>
      <c r="JQ325" s="33"/>
      <c r="JR325" s="33"/>
      <c r="JS325" s="33"/>
      <c r="JT325" s="33"/>
      <c r="JU325" s="33"/>
      <c r="JV325" s="33"/>
      <c r="JW325" s="33"/>
      <c r="JX325" s="33"/>
      <c r="JY325" s="33"/>
      <c r="JZ325" s="33"/>
      <c r="KA325" s="33"/>
      <c r="KB325" s="33"/>
      <c r="KC325" s="33"/>
      <c r="KD325" s="33"/>
      <c r="KE325" s="33"/>
      <c r="KF325" s="33"/>
      <c r="KG325" s="33"/>
      <c r="KH325" s="33"/>
      <c r="KI325" s="33"/>
      <c r="KJ325" s="33"/>
      <c r="KK325" s="33"/>
      <c r="KL325" s="33"/>
      <c r="KM325" s="33"/>
      <c r="KN325" s="33"/>
      <c r="KO325" s="33"/>
      <c r="KP325" s="33"/>
      <c r="KQ325" s="33"/>
      <c r="KR325" s="33"/>
      <c r="KS325" s="33"/>
      <c r="KT325" s="33"/>
      <c r="KU325" s="33"/>
      <c r="KV325" s="33"/>
      <c r="KW325" s="33"/>
      <c r="KX325" s="33"/>
      <c r="KY325" s="33"/>
      <c r="KZ325" s="33"/>
      <c r="LA325" s="33"/>
      <c r="LB325" s="33"/>
      <c r="LC325" s="33"/>
      <c r="LD325" s="33"/>
      <c r="LE325" s="33"/>
      <c r="LF325" s="33"/>
      <c r="LG325" s="33"/>
      <c r="LH325" s="33"/>
      <c r="LI325" s="33"/>
      <c r="LJ325" s="33"/>
      <c r="LK325" s="33"/>
      <c r="LL325" s="33"/>
      <c r="LM325" s="33"/>
      <c r="LN325" s="33"/>
      <c r="LO325" s="33"/>
      <c r="LP325" s="33"/>
      <c r="LQ325" s="33"/>
      <c r="LR325" s="33"/>
      <c r="LS325" s="33"/>
      <c r="LT325" s="33"/>
      <c r="LU325" s="33"/>
      <c r="LV325" s="33"/>
      <c r="LW325" s="33"/>
      <c r="LX325" s="33"/>
      <c r="LY325" s="33"/>
      <c r="LZ325" s="33"/>
      <c r="MA325" s="33"/>
      <c r="MB325" s="33"/>
      <c r="MC325" s="33"/>
      <c r="MD325" s="33"/>
      <c r="ME325" s="33"/>
      <c r="MF325" s="33"/>
      <c r="MG325" s="33"/>
      <c r="MH325" s="33"/>
      <c r="MI325" s="33"/>
      <c r="MJ325" s="33"/>
      <c r="MK325" s="33"/>
      <c r="ML325" s="33"/>
      <c r="MM325" s="33"/>
      <c r="MN325" s="33"/>
      <c r="MO325" s="33"/>
      <c r="MP325" s="33"/>
      <c r="MQ325" s="33"/>
      <c r="MR325" s="33"/>
      <c r="MS325" s="33"/>
      <c r="MT325" s="33"/>
      <c r="MU325" s="33"/>
      <c r="MV325" s="33"/>
      <c r="MW325" s="33"/>
      <c r="MX325" s="33"/>
      <c r="MY325" s="33"/>
      <c r="MZ325" s="33"/>
      <c r="NA325" s="33"/>
      <c r="NB325" s="33"/>
      <c r="NC325" s="33"/>
      <c r="ND325" s="33"/>
      <c r="NE325" s="33"/>
      <c r="NF325" s="33"/>
      <c r="NG325" s="33"/>
      <c r="NH325" s="33"/>
      <c r="NI325" s="33"/>
      <c r="NJ325" s="33"/>
      <c r="NK325" s="33"/>
      <c r="NL325" s="33"/>
      <c r="NM325" s="33"/>
      <c r="NN325" s="33"/>
      <c r="NO325" s="33"/>
      <c r="NP325" s="33"/>
      <c r="NQ325" s="33"/>
      <c r="NR325" s="33"/>
      <c r="NS325" s="33"/>
      <c r="NT325" s="33"/>
      <c r="NU325" s="33"/>
      <c r="NV325" s="33"/>
      <c r="NW325" s="33"/>
      <c r="NX325" s="33"/>
      <c r="NY325" s="33"/>
      <c r="NZ325" s="33"/>
      <c r="OA325" s="33"/>
      <c r="OB325" s="33"/>
      <c r="OC325" s="33"/>
      <c r="OD325" s="33"/>
      <c r="OE325" s="33"/>
      <c r="OF325" s="33"/>
      <c r="OG325" s="33"/>
      <c r="OH325" s="33"/>
      <c r="OI325" s="33"/>
      <c r="OJ325" s="33"/>
      <c r="OK325" s="33"/>
      <c r="OL325" s="33"/>
      <c r="OM325" s="33"/>
      <c r="ON325" s="33"/>
      <c r="OO325" s="33"/>
      <c r="OP325" s="33"/>
      <c r="OQ325" s="33"/>
      <c r="OR325" s="33"/>
      <c r="OS325" s="33"/>
      <c r="OT325" s="33"/>
      <c r="OU325" s="33"/>
      <c r="OV325" s="33"/>
      <c r="OW325" s="33"/>
      <c r="OX325" s="33"/>
      <c r="OY325" s="33"/>
      <c r="OZ325" s="33"/>
      <c r="PA325" s="33"/>
      <c r="PB325" s="33"/>
      <c r="PC325" s="33"/>
      <c r="PD325" s="33"/>
      <c r="PE325" s="33"/>
      <c r="PF325" s="33"/>
      <c r="PG325" s="33"/>
      <c r="PH325" s="33"/>
      <c r="PI325" s="33"/>
      <c r="PJ325" s="33"/>
      <c r="PK325" s="33"/>
      <c r="PL325" s="33"/>
      <c r="PM325" s="33"/>
      <c r="PN325" s="33"/>
      <c r="PO325" s="33"/>
      <c r="PP325" s="33"/>
      <c r="PQ325" s="33"/>
      <c r="PR325" s="33"/>
      <c r="PS325" s="33"/>
      <c r="PT325" s="33"/>
      <c r="PU325" s="33"/>
      <c r="PV325" s="33"/>
      <c r="PW325" s="33"/>
      <c r="PX325" s="33"/>
      <c r="PY325" s="33"/>
      <c r="PZ325" s="33"/>
      <c r="QA325" s="33"/>
      <c r="QB325" s="33"/>
      <c r="QC325" s="33"/>
      <c r="QD325" s="33"/>
      <c r="QE325" s="33"/>
      <c r="QF325" s="33"/>
      <c r="QG325" s="33"/>
      <c r="QH325" s="33"/>
      <c r="QI325" s="33"/>
      <c r="QJ325" s="33"/>
      <c r="QK325" s="33"/>
      <c r="QL325" s="33"/>
      <c r="QM325" s="33"/>
      <c r="QN325" s="33"/>
      <c r="QO325" s="33"/>
      <c r="QP325" s="33"/>
      <c r="QQ325" s="33"/>
      <c r="QR325" s="33"/>
      <c r="QS325" s="33"/>
      <c r="QT325" s="33"/>
      <c r="QU325" s="33"/>
      <c r="QV325" s="33"/>
      <c r="QW325" s="33"/>
      <c r="QX325" s="33"/>
      <c r="QY325" s="33"/>
      <c r="QZ325" s="33"/>
      <c r="RA325" s="33"/>
      <c r="RB325" s="33"/>
      <c r="RC325" s="33"/>
      <c r="RD325" s="33"/>
      <c r="RE325" s="33"/>
      <c r="RF325" s="33"/>
      <c r="RG325" s="33"/>
      <c r="RH325" s="33"/>
      <c r="RI325" s="33"/>
      <c r="RJ325" s="33"/>
      <c r="RK325" s="33"/>
      <c r="RL325" s="33"/>
      <c r="RM325" s="33"/>
      <c r="RN325" s="33"/>
      <c r="RO325" s="33"/>
      <c r="RP325" s="33"/>
      <c r="RQ325" s="33"/>
      <c r="RR325" s="33"/>
      <c r="RS325" s="33"/>
      <c r="RT325" s="33"/>
      <c r="RU325" s="33"/>
      <c r="RV325" s="33"/>
      <c r="RW325" s="33"/>
      <c r="RX325" s="33"/>
      <c r="RY325" s="33"/>
      <c r="RZ325" s="33"/>
      <c r="SA325" s="33"/>
      <c r="SB325" s="33"/>
      <c r="SC325" s="33"/>
      <c r="SD325" s="33"/>
      <c r="SE325" s="33"/>
      <c r="SF325" s="33"/>
      <c r="SG325" s="33"/>
      <c r="SH325" s="33"/>
      <c r="SI325" s="33"/>
      <c r="SJ325" s="33"/>
      <c r="SK325" s="33"/>
      <c r="SL325" s="33"/>
      <c r="SM325" s="33"/>
      <c r="SN325" s="33"/>
      <c r="SO325" s="33"/>
      <c r="SP325" s="33"/>
      <c r="SQ325" s="33"/>
      <c r="SR325" s="33"/>
      <c r="SS325" s="33"/>
      <c r="ST325" s="33"/>
      <c r="SU325" s="33"/>
      <c r="SV325" s="33"/>
      <c r="SW325" s="33"/>
      <c r="SX325" s="33"/>
      <c r="SY325" s="33"/>
      <c r="SZ325" s="33"/>
      <c r="TA325" s="33"/>
      <c r="TB325" s="33"/>
      <c r="TC325" s="33"/>
      <c r="TD325" s="33"/>
      <c r="TE325" s="33"/>
      <c r="TF325" s="33"/>
      <c r="TG325" s="33"/>
    </row>
    <row r="326" spans="1:527" s="34" customFormat="1" ht="26.25" customHeight="1" x14ac:dyDescent="0.25">
      <c r="A326" s="95"/>
      <c r="B326" s="108"/>
      <c r="C326" s="108"/>
      <c r="D326" s="82" t="s">
        <v>419</v>
      </c>
      <c r="E326" s="97">
        <f t="shared" ref="E326:P326" si="188">E136+E273+E230</f>
        <v>0</v>
      </c>
      <c r="F326" s="97">
        <f t="shared" si="188"/>
        <v>0</v>
      </c>
      <c r="G326" s="97">
        <f t="shared" si="188"/>
        <v>0</v>
      </c>
      <c r="H326" s="97">
        <f t="shared" si="188"/>
        <v>0</v>
      </c>
      <c r="I326" s="97">
        <f t="shared" si="188"/>
        <v>0</v>
      </c>
      <c r="J326" s="97">
        <f t="shared" si="188"/>
        <v>127771665.12</v>
      </c>
      <c r="K326" s="97">
        <f t="shared" si="188"/>
        <v>127771665.12</v>
      </c>
      <c r="L326" s="97">
        <f t="shared" si="188"/>
        <v>0</v>
      </c>
      <c r="M326" s="97">
        <f t="shared" si="188"/>
        <v>0</v>
      </c>
      <c r="N326" s="97">
        <f t="shared" si="188"/>
        <v>0</v>
      </c>
      <c r="O326" s="97">
        <f t="shared" si="188"/>
        <v>127771665.12</v>
      </c>
      <c r="P326" s="97">
        <f t="shared" si="188"/>
        <v>127771665.12</v>
      </c>
      <c r="Q326" s="33"/>
      <c r="R326" s="32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CW326" s="33"/>
      <c r="CX326" s="33"/>
      <c r="CY326" s="33"/>
      <c r="CZ326" s="33"/>
      <c r="DA326" s="33"/>
      <c r="DB326" s="33"/>
      <c r="DC326" s="33"/>
      <c r="DD326" s="33"/>
      <c r="DE326" s="33"/>
      <c r="DF326" s="33"/>
      <c r="DG326" s="33"/>
      <c r="DH326" s="33"/>
      <c r="DI326" s="33"/>
      <c r="DJ326" s="33"/>
      <c r="DK326" s="33"/>
      <c r="DL326" s="33"/>
      <c r="DM326" s="33"/>
      <c r="DN326" s="33"/>
      <c r="DO326" s="33"/>
      <c r="DP326" s="33"/>
      <c r="DQ326" s="33"/>
      <c r="DR326" s="33"/>
      <c r="DS326" s="33"/>
      <c r="DT326" s="33"/>
      <c r="DU326" s="33"/>
      <c r="DV326" s="33"/>
      <c r="DW326" s="33"/>
      <c r="DX326" s="33"/>
      <c r="DY326" s="33"/>
      <c r="DZ326" s="33"/>
      <c r="EA326" s="33"/>
      <c r="EB326" s="33"/>
      <c r="EC326" s="33"/>
      <c r="ED326" s="33"/>
      <c r="EE326" s="33"/>
      <c r="EF326" s="33"/>
      <c r="EG326" s="33"/>
      <c r="EH326" s="33"/>
      <c r="EI326" s="33"/>
      <c r="EJ326" s="33"/>
      <c r="EK326" s="33"/>
      <c r="EL326" s="33"/>
      <c r="EM326" s="33"/>
      <c r="EN326" s="33"/>
      <c r="EO326" s="33"/>
      <c r="EP326" s="33"/>
      <c r="EQ326" s="33"/>
      <c r="ER326" s="33"/>
      <c r="ES326" s="33"/>
      <c r="ET326" s="33"/>
      <c r="EU326" s="33"/>
      <c r="EV326" s="33"/>
      <c r="EW326" s="33"/>
      <c r="EX326" s="33"/>
      <c r="EY326" s="33"/>
      <c r="EZ326" s="33"/>
      <c r="FA326" s="33"/>
      <c r="FB326" s="33"/>
      <c r="FC326" s="33"/>
      <c r="FD326" s="33"/>
      <c r="FE326" s="33"/>
      <c r="FF326" s="33"/>
      <c r="FG326" s="33"/>
      <c r="FH326" s="33"/>
      <c r="FI326" s="33"/>
      <c r="FJ326" s="33"/>
      <c r="FK326" s="33"/>
      <c r="FL326" s="33"/>
      <c r="FM326" s="33"/>
      <c r="FN326" s="33"/>
      <c r="FO326" s="33"/>
      <c r="FP326" s="33"/>
      <c r="FQ326" s="33"/>
      <c r="FR326" s="33"/>
      <c r="FS326" s="33"/>
      <c r="FT326" s="33"/>
      <c r="FU326" s="33"/>
      <c r="FV326" s="33"/>
      <c r="FW326" s="33"/>
      <c r="FX326" s="33"/>
      <c r="FY326" s="33"/>
      <c r="FZ326" s="33"/>
      <c r="GA326" s="33"/>
      <c r="GB326" s="33"/>
      <c r="GC326" s="33"/>
      <c r="GD326" s="33"/>
      <c r="GE326" s="33"/>
      <c r="GF326" s="33"/>
      <c r="GG326" s="33"/>
      <c r="GH326" s="33"/>
      <c r="GI326" s="33"/>
      <c r="GJ326" s="33"/>
      <c r="GK326" s="33"/>
      <c r="GL326" s="33"/>
      <c r="GM326" s="33"/>
      <c r="GN326" s="33"/>
      <c r="GO326" s="33"/>
      <c r="GP326" s="33"/>
      <c r="GQ326" s="33"/>
      <c r="GR326" s="33"/>
      <c r="GS326" s="33"/>
      <c r="GT326" s="33"/>
      <c r="GU326" s="33"/>
      <c r="GV326" s="33"/>
      <c r="GW326" s="33"/>
      <c r="GX326" s="33"/>
      <c r="GY326" s="33"/>
      <c r="GZ326" s="33"/>
      <c r="HA326" s="33"/>
      <c r="HB326" s="33"/>
      <c r="HC326" s="33"/>
      <c r="HD326" s="33"/>
      <c r="HE326" s="33"/>
      <c r="HF326" s="33"/>
      <c r="HG326" s="33"/>
      <c r="HH326" s="33"/>
      <c r="HI326" s="33"/>
      <c r="HJ326" s="33"/>
      <c r="HK326" s="33"/>
      <c r="HL326" s="33"/>
      <c r="HM326" s="33"/>
      <c r="HN326" s="33"/>
      <c r="HO326" s="33"/>
      <c r="HP326" s="33"/>
      <c r="HQ326" s="33"/>
      <c r="HR326" s="33"/>
      <c r="HS326" s="33"/>
      <c r="HT326" s="33"/>
      <c r="HU326" s="33"/>
      <c r="HV326" s="33"/>
      <c r="HW326" s="33"/>
      <c r="HX326" s="33"/>
      <c r="HY326" s="33"/>
      <c r="HZ326" s="33"/>
      <c r="IA326" s="33"/>
      <c r="IB326" s="33"/>
      <c r="IC326" s="33"/>
      <c r="ID326" s="33"/>
      <c r="IE326" s="33"/>
      <c r="IF326" s="33"/>
      <c r="IG326" s="33"/>
      <c r="IH326" s="33"/>
      <c r="II326" s="33"/>
      <c r="IJ326" s="33"/>
      <c r="IK326" s="33"/>
      <c r="IL326" s="33"/>
      <c r="IM326" s="33"/>
      <c r="IN326" s="33"/>
      <c r="IO326" s="33"/>
      <c r="IP326" s="33"/>
      <c r="IQ326" s="33"/>
      <c r="IR326" s="33"/>
      <c r="IS326" s="33"/>
      <c r="IT326" s="33"/>
      <c r="IU326" s="33"/>
      <c r="IV326" s="33"/>
      <c r="IW326" s="33"/>
      <c r="IX326" s="33"/>
      <c r="IY326" s="33"/>
      <c r="IZ326" s="33"/>
      <c r="JA326" s="33"/>
      <c r="JB326" s="33"/>
      <c r="JC326" s="33"/>
      <c r="JD326" s="33"/>
      <c r="JE326" s="33"/>
      <c r="JF326" s="33"/>
      <c r="JG326" s="33"/>
      <c r="JH326" s="33"/>
      <c r="JI326" s="33"/>
      <c r="JJ326" s="33"/>
      <c r="JK326" s="33"/>
      <c r="JL326" s="33"/>
      <c r="JM326" s="33"/>
      <c r="JN326" s="33"/>
      <c r="JO326" s="33"/>
      <c r="JP326" s="33"/>
      <c r="JQ326" s="33"/>
      <c r="JR326" s="33"/>
      <c r="JS326" s="33"/>
      <c r="JT326" s="33"/>
      <c r="JU326" s="33"/>
      <c r="JV326" s="33"/>
      <c r="JW326" s="33"/>
      <c r="JX326" s="33"/>
      <c r="JY326" s="33"/>
      <c r="JZ326" s="33"/>
      <c r="KA326" s="33"/>
      <c r="KB326" s="33"/>
      <c r="KC326" s="33"/>
      <c r="KD326" s="33"/>
      <c r="KE326" s="33"/>
      <c r="KF326" s="33"/>
      <c r="KG326" s="33"/>
      <c r="KH326" s="33"/>
      <c r="KI326" s="33"/>
      <c r="KJ326" s="33"/>
      <c r="KK326" s="33"/>
      <c r="KL326" s="33"/>
      <c r="KM326" s="33"/>
      <c r="KN326" s="33"/>
      <c r="KO326" s="33"/>
      <c r="KP326" s="33"/>
      <c r="KQ326" s="33"/>
      <c r="KR326" s="33"/>
      <c r="KS326" s="33"/>
      <c r="KT326" s="33"/>
      <c r="KU326" s="33"/>
      <c r="KV326" s="33"/>
      <c r="KW326" s="33"/>
      <c r="KX326" s="33"/>
      <c r="KY326" s="33"/>
      <c r="KZ326" s="33"/>
      <c r="LA326" s="33"/>
      <c r="LB326" s="33"/>
      <c r="LC326" s="33"/>
      <c r="LD326" s="33"/>
      <c r="LE326" s="33"/>
      <c r="LF326" s="33"/>
      <c r="LG326" s="33"/>
      <c r="LH326" s="33"/>
      <c r="LI326" s="33"/>
      <c r="LJ326" s="33"/>
      <c r="LK326" s="33"/>
      <c r="LL326" s="33"/>
      <c r="LM326" s="33"/>
      <c r="LN326" s="33"/>
      <c r="LO326" s="33"/>
      <c r="LP326" s="33"/>
      <c r="LQ326" s="33"/>
      <c r="LR326" s="33"/>
      <c r="LS326" s="33"/>
      <c r="LT326" s="33"/>
      <c r="LU326" s="33"/>
      <c r="LV326" s="33"/>
      <c r="LW326" s="33"/>
      <c r="LX326" s="33"/>
      <c r="LY326" s="33"/>
      <c r="LZ326" s="33"/>
      <c r="MA326" s="33"/>
      <c r="MB326" s="33"/>
      <c r="MC326" s="33"/>
      <c r="MD326" s="33"/>
      <c r="ME326" s="33"/>
      <c r="MF326" s="33"/>
      <c r="MG326" s="33"/>
      <c r="MH326" s="33"/>
      <c r="MI326" s="33"/>
      <c r="MJ326" s="33"/>
      <c r="MK326" s="33"/>
      <c r="ML326" s="33"/>
      <c r="MM326" s="33"/>
      <c r="MN326" s="33"/>
      <c r="MO326" s="33"/>
      <c r="MP326" s="33"/>
      <c r="MQ326" s="33"/>
      <c r="MR326" s="33"/>
      <c r="MS326" s="33"/>
      <c r="MT326" s="33"/>
      <c r="MU326" s="33"/>
      <c r="MV326" s="33"/>
      <c r="MW326" s="33"/>
      <c r="MX326" s="33"/>
      <c r="MY326" s="33"/>
      <c r="MZ326" s="33"/>
      <c r="NA326" s="33"/>
      <c r="NB326" s="33"/>
      <c r="NC326" s="33"/>
      <c r="ND326" s="33"/>
      <c r="NE326" s="33"/>
      <c r="NF326" s="33"/>
      <c r="NG326" s="33"/>
      <c r="NH326" s="33"/>
      <c r="NI326" s="33"/>
      <c r="NJ326" s="33"/>
      <c r="NK326" s="33"/>
      <c r="NL326" s="33"/>
      <c r="NM326" s="33"/>
      <c r="NN326" s="33"/>
      <c r="NO326" s="33"/>
      <c r="NP326" s="33"/>
      <c r="NQ326" s="33"/>
      <c r="NR326" s="33"/>
      <c r="NS326" s="33"/>
      <c r="NT326" s="33"/>
      <c r="NU326" s="33"/>
      <c r="NV326" s="33"/>
      <c r="NW326" s="33"/>
      <c r="NX326" s="33"/>
      <c r="NY326" s="33"/>
      <c r="NZ326" s="33"/>
      <c r="OA326" s="33"/>
      <c r="OB326" s="33"/>
      <c r="OC326" s="33"/>
      <c r="OD326" s="33"/>
      <c r="OE326" s="33"/>
      <c r="OF326" s="33"/>
      <c r="OG326" s="33"/>
      <c r="OH326" s="33"/>
      <c r="OI326" s="33"/>
      <c r="OJ326" s="33"/>
      <c r="OK326" s="33"/>
      <c r="OL326" s="33"/>
      <c r="OM326" s="33"/>
      <c r="ON326" s="33"/>
      <c r="OO326" s="33"/>
      <c r="OP326" s="33"/>
      <c r="OQ326" s="33"/>
      <c r="OR326" s="33"/>
      <c r="OS326" s="33"/>
      <c r="OT326" s="33"/>
      <c r="OU326" s="33"/>
      <c r="OV326" s="33"/>
      <c r="OW326" s="33"/>
      <c r="OX326" s="33"/>
      <c r="OY326" s="33"/>
      <c r="OZ326" s="33"/>
      <c r="PA326" s="33"/>
      <c r="PB326" s="33"/>
      <c r="PC326" s="33"/>
      <c r="PD326" s="33"/>
      <c r="PE326" s="33"/>
      <c r="PF326" s="33"/>
      <c r="PG326" s="33"/>
      <c r="PH326" s="33"/>
      <c r="PI326" s="33"/>
      <c r="PJ326" s="33"/>
      <c r="PK326" s="33"/>
      <c r="PL326" s="33"/>
      <c r="PM326" s="33"/>
      <c r="PN326" s="33"/>
      <c r="PO326" s="33"/>
      <c r="PP326" s="33"/>
      <c r="PQ326" s="33"/>
      <c r="PR326" s="33"/>
      <c r="PS326" s="33"/>
      <c r="PT326" s="33"/>
      <c r="PU326" s="33"/>
      <c r="PV326" s="33"/>
      <c r="PW326" s="33"/>
      <c r="PX326" s="33"/>
      <c r="PY326" s="33"/>
      <c r="PZ326" s="33"/>
      <c r="QA326" s="33"/>
      <c r="QB326" s="33"/>
      <c r="QC326" s="33"/>
      <c r="QD326" s="33"/>
      <c r="QE326" s="33"/>
      <c r="QF326" s="33"/>
      <c r="QG326" s="33"/>
      <c r="QH326" s="33"/>
      <c r="QI326" s="33"/>
      <c r="QJ326" s="33"/>
      <c r="QK326" s="33"/>
      <c r="QL326" s="33"/>
      <c r="QM326" s="33"/>
      <c r="QN326" s="33"/>
      <c r="QO326" s="33"/>
      <c r="QP326" s="33"/>
      <c r="QQ326" s="33"/>
      <c r="QR326" s="33"/>
      <c r="QS326" s="33"/>
      <c r="QT326" s="33"/>
      <c r="QU326" s="33"/>
      <c r="QV326" s="33"/>
      <c r="QW326" s="33"/>
      <c r="QX326" s="33"/>
      <c r="QY326" s="33"/>
      <c r="QZ326" s="33"/>
      <c r="RA326" s="33"/>
      <c r="RB326" s="33"/>
      <c r="RC326" s="33"/>
      <c r="RD326" s="33"/>
      <c r="RE326" s="33"/>
      <c r="RF326" s="33"/>
      <c r="RG326" s="33"/>
      <c r="RH326" s="33"/>
      <c r="RI326" s="33"/>
      <c r="RJ326" s="33"/>
      <c r="RK326" s="33"/>
      <c r="RL326" s="33"/>
      <c r="RM326" s="33"/>
      <c r="RN326" s="33"/>
      <c r="RO326" s="33"/>
      <c r="RP326" s="33"/>
      <c r="RQ326" s="33"/>
      <c r="RR326" s="33"/>
      <c r="RS326" s="33"/>
      <c r="RT326" s="33"/>
      <c r="RU326" s="33"/>
      <c r="RV326" s="33"/>
      <c r="RW326" s="33"/>
      <c r="RX326" s="33"/>
      <c r="RY326" s="33"/>
      <c r="RZ326" s="33"/>
      <c r="SA326" s="33"/>
      <c r="SB326" s="33"/>
      <c r="SC326" s="33"/>
      <c r="SD326" s="33"/>
      <c r="SE326" s="33"/>
      <c r="SF326" s="33"/>
      <c r="SG326" s="33"/>
      <c r="SH326" s="33"/>
      <c r="SI326" s="33"/>
      <c r="SJ326" s="33"/>
      <c r="SK326" s="33"/>
      <c r="SL326" s="33"/>
      <c r="SM326" s="33"/>
      <c r="SN326" s="33"/>
      <c r="SO326" s="33"/>
      <c r="SP326" s="33"/>
      <c r="SQ326" s="33"/>
      <c r="SR326" s="33"/>
      <c r="SS326" s="33"/>
      <c r="ST326" s="33"/>
      <c r="SU326" s="33"/>
      <c r="SV326" s="33"/>
      <c r="SW326" s="33"/>
      <c r="SX326" s="33"/>
      <c r="SY326" s="33"/>
      <c r="SZ326" s="33"/>
      <c r="TA326" s="33"/>
      <c r="TB326" s="33"/>
      <c r="TC326" s="33"/>
      <c r="TD326" s="33"/>
      <c r="TE326" s="33"/>
      <c r="TF326" s="33"/>
      <c r="TG326" s="33"/>
    </row>
    <row r="327" spans="1:527" s="27" customFormat="1" ht="30" customHeight="1" x14ac:dyDescent="0.25">
      <c r="A327" s="66"/>
      <c r="B327" s="67"/>
      <c r="C327" s="68"/>
      <c r="D327" s="69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  <c r="EH327" s="32"/>
      <c r="EI327" s="32"/>
      <c r="EJ327" s="32"/>
      <c r="EK327" s="32"/>
      <c r="EL327" s="32"/>
      <c r="EM327" s="32"/>
      <c r="EN327" s="32"/>
      <c r="EO327" s="32"/>
      <c r="EP327" s="32"/>
      <c r="EQ327" s="32"/>
      <c r="ER327" s="32"/>
      <c r="ES327" s="32"/>
      <c r="ET327" s="32"/>
      <c r="EU327" s="32"/>
      <c r="EV327" s="32"/>
      <c r="EW327" s="32"/>
      <c r="EX327" s="32"/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2"/>
      <c r="FK327" s="32"/>
      <c r="FL327" s="32"/>
      <c r="FM327" s="32"/>
      <c r="FN327" s="32"/>
      <c r="FO327" s="32"/>
      <c r="FP327" s="32"/>
      <c r="FQ327" s="32"/>
      <c r="FR327" s="32"/>
      <c r="FS327" s="32"/>
      <c r="FT327" s="32"/>
      <c r="FU327" s="32"/>
      <c r="FV327" s="32"/>
      <c r="FW327" s="32"/>
      <c r="FX327" s="32"/>
      <c r="FY327" s="32"/>
      <c r="FZ327" s="32"/>
      <c r="GA327" s="32"/>
      <c r="GB327" s="32"/>
      <c r="GC327" s="32"/>
      <c r="GD327" s="32"/>
      <c r="GE327" s="32"/>
      <c r="GF327" s="32"/>
      <c r="GG327" s="32"/>
      <c r="GH327" s="32"/>
      <c r="GI327" s="32"/>
      <c r="GJ327" s="32"/>
      <c r="GK327" s="32"/>
      <c r="GL327" s="32"/>
      <c r="GM327" s="32"/>
      <c r="GN327" s="32"/>
      <c r="GO327" s="32"/>
      <c r="GP327" s="32"/>
      <c r="GQ327" s="32"/>
      <c r="GR327" s="32"/>
      <c r="GS327" s="32"/>
      <c r="GT327" s="32"/>
      <c r="GU327" s="32"/>
      <c r="GV327" s="32"/>
      <c r="GW327" s="32"/>
      <c r="GX327" s="32"/>
      <c r="GY327" s="32"/>
      <c r="GZ327" s="32"/>
      <c r="HA327" s="32"/>
      <c r="HB327" s="32"/>
      <c r="HC327" s="32"/>
      <c r="HD327" s="32"/>
      <c r="HE327" s="32"/>
      <c r="HF327" s="32"/>
      <c r="HG327" s="32"/>
      <c r="HH327" s="32"/>
      <c r="HI327" s="32"/>
      <c r="HJ327" s="32"/>
      <c r="HK327" s="32"/>
      <c r="HL327" s="32"/>
      <c r="HM327" s="32"/>
      <c r="HN327" s="32"/>
      <c r="HO327" s="32"/>
      <c r="HP327" s="32"/>
      <c r="HQ327" s="32"/>
      <c r="HR327" s="32"/>
      <c r="HS327" s="32"/>
      <c r="HT327" s="32"/>
      <c r="HU327" s="32"/>
      <c r="HV327" s="32"/>
      <c r="HW327" s="32"/>
      <c r="HX327" s="32"/>
      <c r="HY327" s="32"/>
      <c r="HZ327" s="32"/>
      <c r="IA327" s="32"/>
      <c r="IB327" s="32"/>
      <c r="IC327" s="32"/>
      <c r="ID327" s="32"/>
      <c r="IE327" s="32"/>
      <c r="IF327" s="32"/>
      <c r="IG327" s="32"/>
      <c r="IH327" s="32"/>
      <c r="II327" s="32"/>
      <c r="IJ327" s="32"/>
      <c r="IK327" s="32"/>
      <c r="IL327" s="32"/>
      <c r="IM327" s="32"/>
      <c r="IN327" s="32"/>
      <c r="IO327" s="32"/>
      <c r="IP327" s="32"/>
      <c r="IQ327" s="32"/>
      <c r="IR327" s="32"/>
      <c r="IS327" s="32"/>
      <c r="IT327" s="32"/>
      <c r="IU327" s="32"/>
      <c r="IV327" s="32"/>
      <c r="IW327" s="32"/>
      <c r="IX327" s="32"/>
      <c r="IY327" s="32"/>
      <c r="IZ327" s="32"/>
      <c r="JA327" s="32"/>
      <c r="JB327" s="32"/>
      <c r="JC327" s="32"/>
      <c r="JD327" s="32"/>
      <c r="JE327" s="32"/>
      <c r="JF327" s="32"/>
      <c r="JG327" s="32"/>
      <c r="JH327" s="32"/>
      <c r="JI327" s="32"/>
      <c r="JJ327" s="32"/>
      <c r="JK327" s="32"/>
      <c r="JL327" s="32"/>
      <c r="JM327" s="32"/>
      <c r="JN327" s="32"/>
      <c r="JO327" s="32"/>
      <c r="JP327" s="32"/>
      <c r="JQ327" s="32"/>
      <c r="JR327" s="32"/>
      <c r="JS327" s="32"/>
      <c r="JT327" s="32"/>
      <c r="JU327" s="32"/>
      <c r="JV327" s="32"/>
      <c r="JW327" s="32"/>
      <c r="JX327" s="32"/>
      <c r="JY327" s="32"/>
      <c r="JZ327" s="32"/>
      <c r="KA327" s="32"/>
      <c r="KB327" s="32"/>
      <c r="KC327" s="32"/>
      <c r="KD327" s="32"/>
      <c r="KE327" s="32"/>
      <c r="KF327" s="32"/>
      <c r="KG327" s="32"/>
      <c r="KH327" s="32"/>
      <c r="KI327" s="32"/>
      <c r="KJ327" s="32"/>
      <c r="KK327" s="32"/>
      <c r="KL327" s="32"/>
      <c r="KM327" s="32"/>
      <c r="KN327" s="32"/>
      <c r="KO327" s="32"/>
      <c r="KP327" s="32"/>
      <c r="KQ327" s="32"/>
      <c r="KR327" s="32"/>
      <c r="KS327" s="32"/>
      <c r="KT327" s="32"/>
      <c r="KU327" s="32"/>
      <c r="KV327" s="32"/>
      <c r="KW327" s="32"/>
      <c r="KX327" s="32"/>
      <c r="KY327" s="32"/>
      <c r="KZ327" s="32"/>
      <c r="LA327" s="32"/>
      <c r="LB327" s="32"/>
      <c r="LC327" s="32"/>
      <c r="LD327" s="32"/>
      <c r="LE327" s="32"/>
      <c r="LF327" s="32"/>
      <c r="LG327" s="32"/>
      <c r="LH327" s="32"/>
      <c r="LI327" s="32"/>
      <c r="LJ327" s="32"/>
      <c r="LK327" s="32"/>
      <c r="LL327" s="32"/>
      <c r="LM327" s="32"/>
      <c r="LN327" s="32"/>
      <c r="LO327" s="32"/>
      <c r="LP327" s="32"/>
      <c r="LQ327" s="32"/>
      <c r="LR327" s="32"/>
      <c r="LS327" s="32"/>
      <c r="LT327" s="32"/>
      <c r="LU327" s="32"/>
      <c r="LV327" s="32"/>
      <c r="LW327" s="32"/>
      <c r="LX327" s="32"/>
      <c r="LY327" s="32"/>
      <c r="LZ327" s="32"/>
      <c r="MA327" s="32"/>
      <c r="MB327" s="32"/>
      <c r="MC327" s="32"/>
      <c r="MD327" s="32"/>
      <c r="ME327" s="32"/>
      <c r="MF327" s="32"/>
      <c r="MG327" s="32"/>
      <c r="MH327" s="32"/>
      <c r="MI327" s="32"/>
      <c r="MJ327" s="32"/>
      <c r="MK327" s="32"/>
      <c r="ML327" s="32"/>
      <c r="MM327" s="32"/>
      <c r="MN327" s="32"/>
      <c r="MO327" s="32"/>
      <c r="MP327" s="32"/>
      <c r="MQ327" s="32"/>
      <c r="MR327" s="32"/>
      <c r="MS327" s="32"/>
      <c r="MT327" s="32"/>
      <c r="MU327" s="32"/>
      <c r="MV327" s="32"/>
      <c r="MW327" s="32"/>
      <c r="MX327" s="32"/>
      <c r="MY327" s="32"/>
      <c r="MZ327" s="32"/>
      <c r="NA327" s="32"/>
      <c r="NB327" s="32"/>
      <c r="NC327" s="32"/>
      <c r="ND327" s="32"/>
      <c r="NE327" s="32"/>
      <c r="NF327" s="32"/>
      <c r="NG327" s="32"/>
      <c r="NH327" s="32"/>
      <c r="NI327" s="32"/>
      <c r="NJ327" s="32"/>
      <c r="NK327" s="32"/>
      <c r="NL327" s="32"/>
      <c r="NM327" s="32"/>
      <c r="NN327" s="32"/>
      <c r="NO327" s="32"/>
      <c r="NP327" s="32"/>
      <c r="NQ327" s="32"/>
      <c r="NR327" s="32"/>
      <c r="NS327" s="32"/>
      <c r="NT327" s="32"/>
      <c r="NU327" s="32"/>
      <c r="NV327" s="32"/>
      <c r="NW327" s="32"/>
      <c r="NX327" s="32"/>
      <c r="NY327" s="32"/>
      <c r="NZ327" s="32"/>
      <c r="OA327" s="32"/>
      <c r="OB327" s="32"/>
      <c r="OC327" s="32"/>
      <c r="OD327" s="32"/>
      <c r="OE327" s="32"/>
      <c r="OF327" s="32"/>
      <c r="OG327" s="32"/>
      <c r="OH327" s="32"/>
      <c r="OI327" s="32"/>
      <c r="OJ327" s="32"/>
      <c r="OK327" s="32"/>
      <c r="OL327" s="32"/>
      <c r="OM327" s="32"/>
      <c r="ON327" s="32"/>
      <c r="OO327" s="32"/>
      <c r="OP327" s="32"/>
      <c r="OQ327" s="32"/>
      <c r="OR327" s="32"/>
      <c r="OS327" s="32"/>
      <c r="OT327" s="32"/>
      <c r="OU327" s="32"/>
      <c r="OV327" s="32"/>
      <c r="OW327" s="32"/>
      <c r="OX327" s="32"/>
      <c r="OY327" s="32"/>
      <c r="OZ327" s="32"/>
      <c r="PA327" s="32"/>
      <c r="PB327" s="32"/>
      <c r="PC327" s="32"/>
      <c r="PD327" s="32"/>
      <c r="PE327" s="32"/>
      <c r="PF327" s="32"/>
      <c r="PG327" s="32"/>
      <c r="PH327" s="32"/>
      <c r="PI327" s="32"/>
      <c r="PJ327" s="32"/>
      <c r="PK327" s="32"/>
      <c r="PL327" s="32"/>
      <c r="PM327" s="32"/>
      <c r="PN327" s="32"/>
      <c r="PO327" s="32"/>
      <c r="PP327" s="32"/>
      <c r="PQ327" s="32"/>
      <c r="PR327" s="32"/>
      <c r="PS327" s="32"/>
      <c r="PT327" s="32"/>
      <c r="PU327" s="32"/>
      <c r="PV327" s="32"/>
      <c r="PW327" s="32"/>
      <c r="PX327" s="32"/>
      <c r="PY327" s="32"/>
      <c r="PZ327" s="32"/>
      <c r="QA327" s="32"/>
      <c r="QB327" s="32"/>
      <c r="QC327" s="32"/>
      <c r="QD327" s="32"/>
      <c r="QE327" s="32"/>
      <c r="QF327" s="32"/>
      <c r="QG327" s="32"/>
      <c r="QH327" s="32"/>
      <c r="QI327" s="32"/>
      <c r="QJ327" s="32"/>
      <c r="QK327" s="32"/>
      <c r="QL327" s="32"/>
      <c r="QM327" s="32"/>
      <c r="QN327" s="32"/>
      <c r="QO327" s="32"/>
      <c r="QP327" s="32"/>
      <c r="QQ327" s="32"/>
      <c r="QR327" s="32"/>
      <c r="QS327" s="32"/>
      <c r="QT327" s="32"/>
      <c r="QU327" s="32"/>
      <c r="QV327" s="32"/>
      <c r="QW327" s="32"/>
      <c r="QX327" s="32"/>
      <c r="QY327" s="32"/>
      <c r="QZ327" s="32"/>
      <c r="RA327" s="32"/>
      <c r="RB327" s="32"/>
      <c r="RC327" s="32"/>
      <c r="RD327" s="32"/>
      <c r="RE327" s="32"/>
      <c r="RF327" s="32"/>
      <c r="RG327" s="32"/>
      <c r="RH327" s="32"/>
      <c r="RI327" s="32"/>
      <c r="RJ327" s="32"/>
      <c r="RK327" s="32"/>
      <c r="RL327" s="32"/>
      <c r="RM327" s="32"/>
      <c r="RN327" s="32"/>
      <c r="RO327" s="32"/>
      <c r="RP327" s="32"/>
      <c r="RQ327" s="32"/>
      <c r="RR327" s="32"/>
      <c r="RS327" s="32"/>
      <c r="RT327" s="32"/>
      <c r="RU327" s="32"/>
      <c r="RV327" s="32"/>
      <c r="RW327" s="32"/>
      <c r="RX327" s="32"/>
      <c r="RY327" s="32"/>
      <c r="RZ327" s="32"/>
      <c r="SA327" s="32"/>
      <c r="SB327" s="32"/>
      <c r="SC327" s="32"/>
      <c r="SD327" s="32"/>
      <c r="SE327" s="32"/>
      <c r="SF327" s="32"/>
      <c r="SG327" s="32"/>
      <c r="SH327" s="32"/>
      <c r="SI327" s="32"/>
      <c r="SJ327" s="32"/>
      <c r="SK327" s="32"/>
      <c r="SL327" s="32"/>
      <c r="SM327" s="32"/>
      <c r="SN327" s="32"/>
      <c r="SO327" s="32"/>
      <c r="SP327" s="32"/>
      <c r="SQ327" s="32"/>
      <c r="SR327" s="32"/>
      <c r="SS327" s="32"/>
      <c r="ST327" s="32"/>
      <c r="SU327" s="32"/>
      <c r="SV327" s="32"/>
      <c r="SW327" s="32"/>
      <c r="SX327" s="32"/>
      <c r="SY327" s="32"/>
      <c r="SZ327" s="32"/>
      <c r="TA327" s="32"/>
      <c r="TB327" s="32"/>
      <c r="TC327" s="32"/>
      <c r="TD327" s="32"/>
      <c r="TE327" s="32"/>
      <c r="TF327" s="32"/>
      <c r="TG327" s="32"/>
    </row>
    <row r="328" spans="1:527" s="27" customFormat="1" ht="30" customHeight="1" x14ac:dyDescent="0.25">
      <c r="A328" s="66"/>
      <c r="B328" s="67"/>
      <c r="C328" s="68"/>
      <c r="D328" s="69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  <c r="GH328" s="32"/>
      <c r="GI328" s="32"/>
      <c r="GJ328" s="32"/>
      <c r="GK328" s="32"/>
      <c r="GL328" s="32"/>
      <c r="GM328" s="32"/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32"/>
      <c r="IB328" s="32"/>
      <c r="IC328" s="32"/>
      <c r="ID328" s="32"/>
      <c r="IE328" s="32"/>
      <c r="IF328" s="32"/>
      <c r="IG328" s="32"/>
      <c r="IH328" s="32"/>
      <c r="II328" s="32"/>
      <c r="IJ328" s="32"/>
      <c r="IK328" s="32"/>
      <c r="IL328" s="32"/>
      <c r="IM328" s="32"/>
      <c r="IN328" s="32"/>
      <c r="IO328" s="32"/>
      <c r="IP328" s="32"/>
      <c r="IQ328" s="32"/>
      <c r="IR328" s="32"/>
      <c r="IS328" s="32"/>
      <c r="IT328" s="32"/>
      <c r="IU328" s="32"/>
      <c r="IV328" s="32"/>
      <c r="IW328" s="32"/>
      <c r="IX328" s="32"/>
      <c r="IY328" s="32"/>
      <c r="IZ328" s="32"/>
      <c r="JA328" s="32"/>
      <c r="JB328" s="32"/>
      <c r="JC328" s="32"/>
      <c r="JD328" s="32"/>
      <c r="JE328" s="32"/>
      <c r="JF328" s="32"/>
      <c r="JG328" s="32"/>
      <c r="JH328" s="32"/>
      <c r="JI328" s="32"/>
      <c r="JJ328" s="32"/>
      <c r="JK328" s="32"/>
      <c r="JL328" s="32"/>
      <c r="JM328" s="32"/>
      <c r="JN328" s="32"/>
      <c r="JO328" s="32"/>
      <c r="JP328" s="32"/>
      <c r="JQ328" s="32"/>
      <c r="JR328" s="32"/>
      <c r="JS328" s="32"/>
      <c r="JT328" s="32"/>
      <c r="JU328" s="32"/>
      <c r="JV328" s="32"/>
      <c r="JW328" s="32"/>
      <c r="JX328" s="32"/>
      <c r="JY328" s="32"/>
      <c r="JZ328" s="32"/>
      <c r="KA328" s="32"/>
      <c r="KB328" s="32"/>
      <c r="KC328" s="32"/>
      <c r="KD328" s="32"/>
      <c r="KE328" s="32"/>
      <c r="KF328" s="32"/>
      <c r="KG328" s="32"/>
      <c r="KH328" s="32"/>
      <c r="KI328" s="32"/>
      <c r="KJ328" s="32"/>
      <c r="KK328" s="32"/>
      <c r="KL328" s="32"/>
      <c r="KM328" s="32"/>
      <c r="KN328" s="32"/>
      <c r="KO328" s="32"/>
      <c r="KP328" s="32"/>
      <c r="KQ328" s="32"/>
      <c r="KR328" s="32"/>
      <c r="KS328" s="32"/>
      <c r="KT328" s="32"/>
      <c r="KU328" s="32"/>
      <c r="KV328" s="32"/>
      <c r="KW328" s="32"/>
      <c r="KX328" s="32"/>
      <c r="KY328" s="32"/>
      <c r="KZ328" s="32"/>
      <c r="LA328" s="32"/>
      <c r="LB328" s="32"/>
      <c r="LC328" s="32"/>
      <c r="LD328" s="32"/>
      <c r="LE328" s="32"/>
      <c r="LF328" s="32"/>
      <c r="LG328" s="32"/>
      <c r="LH328" s="32"/>
      <c r="LI328" s="32"/>
      <c r="LJ328" s="32"/>
      <c r="LK328" s="32"/>
      <c r="LL328" s="32"/>
      <c r="LM328" s="32"/>
      <c r="LN328" s="32"/>
      <c r="LO328" s="32"/>
      <c r="LP328" s="32"/>
      <c r="LQ328" s="32"/>
      <c r="LR328" s="32"/>
      <c r="LS328" s="32"/>
      <c r="LT328" s="32"/>
      <c r="LU328" s="32"/>
      <c r="LV328" s="32"/>
      <c r="LW328" s="32"/>
      <c r="LX328" s="32"/>
      <c r="LY328" s="32"/>
      <c r="LZ328" s="32"/>
      <c r="MA328" s="32"/>
      <c r="MB328" s="32"/>
      <c r="MC328" s="32"/>
      <c r="MD328" s="32"/>
      <c r="ME328" s="32"/>
      <c r="MF328" s="32"/>
      <c r="MG328" s="32"/>
      <c r="MH328" s="32"/>
      <c r="MI328" s="32"/>
      <c r="MJ328" s="32"/>
      <c r="MK328" s="32"/>
      <c r="ML328" s="32"/>
      <c r="MM328" s="32"/>
      <c r="MN328" s="32"/>
      <c r="MO328" s="32"/>
      <c r="MP328" s="32"/>
      <c r="MQ328" s="32"/>
      <c r="MR328" s="32"/>
      <c r="MS328" s="32"/>
      <c r="MT328" s="32"/>
      <c r="MU328" s="32"/>
      <c r="MV328" s="32"/>
      <c r="MW328" s="32"/>
      <c r="MX328" s="32"/>
      <c r="MY328" s="32"/>
      <c r="MZ328" s="32"/>
      <c r="NA328" s="32"/>
      <c r="NB328" s="32"/>
      <c r="NC328" s="32"/>
      <c r="ND328" s="32"/>
      <c r="NE328" s="32"/>
      <c r="NF328" s="32"/>
      <c r="NG328" s="32"/>
      <c r="NH328" s="32"/>
      <c r="NI328" s="32"/>
      <c r="NJ328" s="32"/>
      <c r="NK328" s="32"/>
      <c r="NL328" s="32"/>
      <c r="NM328" s="32"/>
      <c r="NN328" s="32"/>
      <c r="NO328" s="32"/>
      <c r="NP328" s="32"/>
      <c r="NQ328" s="32"/>
      <c r="NR328" s="32"/>
      <c r="NS328" s="32"/>
      <c r="NT328" s="32"/>
      <c r="NU328" s="32"/>
      <c r="NV328" s="32"/>
      <c r="NW328" s="32"/>
      <c r="NX328" s="32"/>
      <c r="NY328" s="32"/>
      <c r="NZ328" s="32"/>
      <c r="OA328" s="32"/>
      <c r="OB328" s="32"/>
      <c r="OC328" s="32"/>
      <c r="OD328" s="32"/>
      <c r="OE328" s="32"/>
      <c r="OF328" s="32"/>
      <c r="OG328" s="32"/>
      <c r="OH328" s="32"/>
      <c r="OI328" s="32"/>
      <c r="OJ328" s="32"/>
      <c r="OK328" s="32"/>
      <c r="OL328" s="32"/>
      <c r="OM328" s="32"/>
      <c r="ON328" s="32"/>
      <c r="OO328" s="32"/>
      <c r="OP328" s="32"/>
      <c r="OQ328" s="32"/>
      <c r="OR328" s="32"/>
      <c r="OS328" s="32"/>
      <c r="OT328" s="32"/>
      <c r="OU328" s="32"/>
      <c r="OV328" s="32"/>
      <c r="OW328" s="32"/>
      <c r="OX328" s="32"/>
      <c r="OY328" s="32"/>
      <c r="OZ328" s="32"/>
      <c r="PA328" s="32"/>
      <c r="PB328" s="32"/>
      <c r="PC328" s="32"/>
      <c r="PD328" s="32"/>
      <c r="PE328" s="32"/>
      <c r="PF328" s="32"/>
      <c r="PG328" s="32"/>
      <c r="PH328" s="32"/>
      <c r="PI328" s="32"/>
      <c r="PJ328" s="32"/>
      <c r="PK328" s="32"/>
      <c r="PL328" s="32"/>
      <c r="PM328" s="32"/>
      <c r="PN328" s="32"/>
      <c r="PO328" s="32"/>
      <c r="PP328" s="32"/>
      <c r="PQ328" s="32"/>
      <c r="PR328" s="32"/>
      <c r="PS328" s="32"/>
      <c r="PT328" s="32"/>
      <c r="PU328" s="32"/>
      <c r="PV328" s="32"/>
      <c r="PW328" s="32"/>
      <c r="PX328" s="32"/>
      <c r="PY328" s="32"/>
      <c r="PZ328" s="32"/>
      <c r="QA328" s="32"/>
      <c r="QB328" s="32"/>
      <c r="QC328" s="32"/>
      <c r="QD328" s="32"/>
      <c r="QE328" s="32"/>
      <c r="QF328" s="32"/>
      <c r="QG328" s="32"/>
      <c r="QH328" s="32"/>
      <c r="QI328" s="32"/>
      <c r="QJ328" s="32"/>
      <c r="QK328" s="32"/>
      <c r="QL328" s="32"/>
      <c r="QM328" s="32"/>
      <c r="QN328" s="32"/>
      <c r="QO328" s="32"/>
      <c r="QP328" s="32"/>
      <c r="QQ328" s="32"/>
      <c r="QR328" s="32"/>
      <c r="QS328" s="32"/>
      <c r="QT328" s="32"/>
      <c r="QU328" s="32"/>
      <c r="QV328" s="32"/>
      <c r="QW328" s="32"/>
      <c r="QX328" s="32"/>
      <c r="QY328" s="32"/>
      <c r="QZ328" s="32"/>
      <c r="RA328" s="32"/>
      <c r="RB328" s="32"/>
      <c r="RC328" s="32"/>
      <c r="RD328" s="32"/>
      <c r="RE328" s="32"/>
      <c r="RF328" s="32"/>
      <c r="RG328" s="32"/>
      <c r="RH328" s="32"/>
      <c r="RI328" s="32"/>
      <c r="RJ328" s="32"/>
      <c r="RK328" s="32"/>
      <c r="RL328" s="32"/>
      <c r="RM328" s="32"/>
      <c r="RN328" s="32"/>
      <c r="RO328" s="32"/>
      <c r="RP328" s="32"/>
      <c r="RQ328" s="32"/>
      <c r="RR328" s="32"/>
      <c r="RS328" s="32"/>
      <c r="RT328" s="32"/>
      <c r="RU328" s="32"/>
      <c r="RV328" s="32"/>
      <c r="RW328" s="32"/>
      <c r="RX328" s="32"/>
      <c r="RY328" s="32"/>
      <c r="RZ328" s="32"/>
      <c r="SA328" s="32"/>
      <c r="SB328" s="32"/>
      <c r="SC328" s="32"/>
      <c r="SD328" s="32"/>
      <c r="SE328" s="32"/>
      <c r="SF328" s="32"/>
      <c r="SG328" s="32"/>
      <c r="SH328" s="32"/>
      <c r="SI328" s="32"/>
      <c r="SJ328" s="32"/>
      <c r="SK328" s="32"/>
      <c r="SL328" s="32"/>
      <c r="SM328" s="32"/>
      <c r="SN328" s="32"/>
      <c r="SO328" s="32"/>
      <c r="SP328" s="32"/>
      <c r="SQ328" s="32"/>
      <c r="SR328" s="32"/>
      <c r="SS328" s="32"/>
      <c r="ST328" s="32"/>
      <c r="SU328" s="32"/>
      <c r="SV328" s="32"/>
      <c r="SW328" s="32"/>
      <c r="SX328" s="32"/>
      <c r="SY328" s="32"/>
      <c r="SZ328" s="32"/>
      <c r="TA328" s="32"/>
      <c r="TB328" s="32"/>
      <c r="TC328" s="32"/>
      <c r="TD328" s="32"/>
      <c r="TE328" s="32"/>
      <c r="TF328" s="32"/>
      <c r="TG328" s="32"/>
    </row>
    <row r="329" spans="1:527" s="27" customFormat="1" ht="30" customHeight="1" x14ac:dyDescent="0.25">
      <c r="A329" s="66"/>
      <c r="B329" s="67"/>
      <c r="C329" s="68"/>
      <c r="D329" s="69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  <c r="EH329" s="32"/>
      <c r="EI329" s="32"/>
      <c r="EJ329" s="32"/>
      <c r="EK329" s="32"/>
      <c r="EL329" s="32"/>
      <c r="EM329" s="32"/>
      <c r="EN329" s="32"/>
      <c r="EO329" s="32"/>
      <c r="EP329" s="32"/>
      <c r="EQ329" s="32"/>
      <c r="ER329" s="32"/>
      <c r="ES329" s="32"/>
      <c r="ET329" s="32"/>
      <c r="EU329" s="32"/>
      <c r="EV329" s="32"/>
      <c r="EW329" s="32"/>
      <c r="EX329" s="32"/>
      <c r="EY329" s="32"/>
      <c r="EZ329" s="32"/>
      <c r="FA329" s="32"/>
      <c r="FB329" s="32"/>
      <c r="FC329" s="32"/>
      <c r="FD329" s="32"/>
      <c r="FE329" s="32"/>
      <c r="FF329" s="32"/>
      <c r="FG329" s="32"/>
      <c r="FH329" s="32"/>
      <c r="FI329" s="32"/>
      <c r="FJ329" s="32"/>
      <c r="FK329" s="32"/>
      <c r="FL329" s="32"/>
      <c r="FM329" s="32"/>
      <c r="FN329" s="32"/>
      <c r="FO329" s="32"/>
      <c r="FP329" s="32"/>
      <c r="FQ329" s="32"/>
      <c r="FR329" s="32"/>
      <c r="FS329" s="32"/>
      <c r="FT329" s="32"/>
      <c r="FU329" s="32"/>
      <c r="FV329" s="32"/>
      <c r="FW329" s="32"/>
      <c r="FX329" s="32"/>
      <c r="FY329" s="32"/>
      <c r="FZ329" s="32"/>
      <c r="GA329" s="32"/>
      <c r="GB329" s="32"/>
      <c r="GC329" s="32"/>
      <c r="GD329" s="32"/>
      <c r="GE329" s="32"/>
      <c r="GF329" s="32"/>
      <c r="GG329" s="32"/>
      <c r="GH329" s="32"/>
      <c r="GI329" s="32"/>
      <c r="GJ329" s="32"/>
      <c r="GK329" s="32"/>
      <c r="GL329" s="32"/>
      <c r="GM329" s="32"/>
      <c r="GN329" s="32"/>
      <c r="GO329" s="32"/>
      <c r="GP329" s="32"/>
      <c r="GQ329" s="32"/>
      <c r="GR329" s="32"/>
      <c r="GS329" s="32"/>
      <c r="GT329" s="32"/>
      <c r="GU329" s="32"/>
      <c r="GV329" s="32"/>
      <c r="GW329" s="32"/>
      <c r="GX329" s="32"/>
      <c r="GY329" s="32"/>
      <c r="GZ329" s="32"/>
      <c r="HA329" s="32"/>
      <c r="HB329" s="32"/>
      <c r="HC329" s="32"/>
      <c r="HD329" s="32"/>
      <c r="HE329" s="32"/>
      <c r="HF329" s="32"/>
      <c r="HG329" s="32"/>
      <c r="HH329" s="32"/>
      <c r="HI329" s="32"/>
      <c r="HJ329" s="32"/>
      <c r="HK329" s="32"/>
      <c r="HL329" s="32"/>
      <c r="HM329" s="32"/>
      <c r="HN329" s="32"/>
      <c r="HO329" s="32"/>
      <c r="HP329" s="32"/>
      <c r="HQ329" s="32"/>
      <c r="HR329" s="32"/>
      <c r="HS329" s="32"/>
      <c r="HT329" s="32"/>
      <c r="HU329" s="32"/>
      <c r="HV329" s="32"/>
      <c r="HW329" s="32"/>
      <c r="HX329" s="32"/>
      <c r="HY329" s="32"/>
      <c r="HZ329" s="32"/>
      <c r="IA329" s="32"/>
      <c r="IB329" s="32"/>
      <c r="IC329" s="32"/>
      <c r="ID329" s="32"/>
      <c r="IE329" s="32"/>
      <c r="IF329" s="32"/>
      <c r="IG329" s="32"/>
      <c r="IH329" s="32"/>
      <c r="II329" s="32"/>
      <c r="IJ329" s="32"/>
      <c r="IK329" s="32"/>
      <c r="IL329" s="32"/>
      <c r="IM329" s="32"/>
      <c r="IN329" s="32"/>
      <c r="IO329" s="32"/>
      <c r="IP329" s="32"/>
      <c r="IQ329" s="32"/>
      <c r="IR329" s="32"/>
      <c r="IS329" s="32"/>
      <c r="IT329" s="32"/>
      <c r="IU329" s="32"/>
      <c r="IV329" s="32"/>
      <c r="IW329" s="32"/>
      <c r="IX329" s="32"/>
      <c r="IY329" s="32"/>
      <c r="IZ329" s="32"/>
      <c r="JA329" s="32"/>
      <c r="JB329" s="32"/>
      <c r="JC329" s="32"/>
      <c r="JD329" s="32"/>
      <c r="JE329" s="32"/>
      <c r="JF329" s="32"/>
      <c r="JG329" s="32"/>
      <c r="JH329" s="32"/>
      <c r="JI329" s="32"/>
      <c r="JJ329" s="32"/>
      <c r="JK329" s="32"/>
      <c r="JL329" s="32"/>
      <c r="JM329" s="32"/>
      <c r="JN329" s="32"/>
      <c r="JO329" s="32"/>
      <c r="JP329" s="32"/>
      <c r="JQ329" s="32"/>
      <c r="JR329" s="32"/>
      <c r="JS329" s="32"/>
      <c r="JT329" s="32"/>
      <c r="JU329" s="32"/>
      <c r="JV329" s="32"/>
      <c r="JW329" s="32"/>
      <c r="JX329" s="32"/>
      <c r="JY329" s="32"/>
      <c r="JZ329" s="32"/>
      <c r="KA329" s="32"/>
      <c r="KB329" s="32"/>
      <c r="KC329" s="32"/>
      <c r="KD329" s="32"/>
      <c r="KE329" s="32"/>
      <c r="KF329" s="32"/>
      <c r="KG329" s="32"/>
      <c r="KH329" s="32"/>
      <c r="KI329" s="32"/>
      <c r="KJ329" s="32"/>
      <c r="KK329" s="32"/>
      <c r="KL329" s="32"/>
      <c r="KM329" s="32"/>
      <c r="KN329" s="32"/>
      <c r="KO329" s="32"/>
      <c r="KP329" s="32"/>
      <c r="KQ329" s="32"/>
      <c r="KR329" s="32"/>
      <c r="KS329" s="32"/>
      <c r="KT329" s="32"/>
      <c r="KU329" s="32"/>
      <c r="KV329" s="32"/>
      <c r="KW329" s="32"/>
      <c r="KX329" s="32"/>
      <c r="KY329" s="32"/>
      <c r="KZ329" s="32"/>
      <c r="LA329" s="32"/>
      <c r="LB329" s="32"/>
      <c r="LC329" s="32"/>
      <c r="LD329" s="32"/>
      <c r="LE329" s="32"/>
      <c r="LF329" s="32"/>
      <c r="LG329" s="32"/>
      <c r="LH329" s="32"/>
      <c r="LI329" s="32"/>
      <c r="LJ329" s="32"/>
      <c r="LK329" s="32"/>
      <c r="LL329" s="32"/>
      <c r="LM329" s="32"/>
      <c r="LN329" s="32"/>
      <c r="LO329" s="32"/>
      <c r="LP329" s="32"/>
      <c r="LQ329" s="32"/>
      <c r="LR329" s="32"/>
      <c r="LS329" s="32"/>
      <c r="LT329" s="32"/>
      <c r="LU329" s="32"/>
      <c r="LV329" s="32"/>
      <c r="LW329" s="32"/>
      <c r="LX329" s="32"/>
      <c r="LY329" s="32"/>
      <c r="LZ329" s="32"/>
      <c r="MA329" s="32"/>
      <c r="MB329" s="32"/>
      <c r="MC329" s="32"/>
      <c r="MD329" s="32"/>
      <c r="ME329" s="32"/>
      <c r="MF329" s="32"/>
      <c r="MG329" s="32"/>
      <c r="MH329" s="32"/>
      <c r="MI329" s="32"/>
      <c r="MJ329" s="32"/>
      <c r="MK329" s="32"/>
      <c r="ML329" s="32"/>
      <c r="MM329" s="32"/>
      <c r="MN329" s="32"/>
      <c r="MO329" s="32"/>
      <c r="MP329" s="32"/>
      <c r="MQ329" s="32"/>
      <c r="MR329" s="32"/>
      <c r="MS329" s="32"/>
      <c r="MT329" s="32"/>
      <c r="MU329" s="32"/>
      <c r="MV329" s="32"/>
      <c r="MW329" s="32"/>
      <c r="MX329" s="32"/>
      <c r="MY329" s="32"/>
      <c r="MZ329" s="32"/>
      <c r="NA329" s="32"/>
      <c r="NB329" s="32"/>
      <c r="NC329" s="32"/>
      <c r="ND329" s="32"/>
      <c r="NE329" s="32"/>
      <c r="NF329" s="32"/>
      <c r="NG329" s="32"/>
      <c r="NH329" s="32"/>
      <c r="NI329" s="32"/>
      <c r="NJ329" s="32"/>
      <c r="NK329" s="32"/>
      <c r="NL329" s="32"/>
      <c r="NM329" s="32"/>
      <c r="NN329" s="32"/>
      <c r="NO329" s="32"/>
      <c r="NP329" s="32"/>
      <c r="NQ329" s="32"/>
      <c r="NR329" s="32"/>
      <c r="NS329" s="32"/>
      <c r="NT329" s="32"/>
      <c r="NU329" s="32"/>
      <c r="NV329" s="32"/>
      <c r="NW329" s="32"/>
      <c r="NX329" s="32"/>
      <c r="NY329" s="32"/>
      <c r="NZ329" s="32"/>
      <c r="OA329" s="32"/>
      <c r="OB329" s="32"/>
      <c r="OC329" s="32"/>
      <c r="OD329" s="32"/>
      <c r="OE329" s="32"/>
      <c r="OF329" s="32"/>
      <c r="OG329" s="32"/>
      <c r="OH329" s="32"/>
      <c r="OI329" s="32"/>
      <c r="OJ329" s="32"/>
      <c r="OK329" s="32"/>
      <c r="OL329" s="32"/>
      <c r="OM329" s="32"/>
      <c r="ON329" s="32"/>
      <c r="OO329" s="32"/>
      <c r="OP329" s="32"/>
      <c r="OQ329" s="32"/>
      <c r="OR329" s="32"/>
      <c r="OS329" s="32"/>
      <c r="OT329" s="32"/>
      <c r="OU329" s="32"/>
      <c r="OV329" s="32"/>
      <c r="OW329" s="32"/>
      <c r="OX329" s="32"/>
      <c r="OY329" s="32"/>
      <c r="OZ329" s="32"/>
      <c r="PA329" s="32"/>
      <c r="PB329" s="32"/>
      <c r="PC329" s="32"/>
      <c r="PD329" s="32"/>
      <c r="PE329" s="32"/>
      <c r="PF329" s="32"/>
      <c r="PG329" s="32"/>
      <c r="PH329" s="32"/>
      <c r="PI329" s="32"/>
      <c r="PJ329" s="32"/>
      <c r="PK329" s="32"/>
      <c r="PL329" s="32"/>
      <c r="PM329" s="32"/>
      <c r="PN329" s="32"/>
      <c r="PO329" s="32"/>
      <c r="PP329" s="32"/>
      <c r="PQ329" s="32"/>
      <c r="PR329" s="32"/>
      <c r="PS329" s="32"/>
      <c r="PT329" s="32"/>
      <c r="PU329" s="32"/>
      <c r="PV329" s="32"/>
      <c r="PW329" s="32"/>
      <c r="PX329" s="32"/>
      <c r="PY329" s="32"/>
      <c r="PZ329" s="32"/>
      <c r="QA329" s="32"/>
      <c r="QB329" s="32"/>
      <c r="QC329" s="32"/>
      <c r="QD329" s="32"/>
      <c r="QE329" s="32"/>
      <c r="QF329" s="32"/>
      <c r="QG329" s="32"/>
      <c r="QH329" s="32"/>
      <c r="QI329" s="32"/>
      <c r="QJ329" s="32"/>
      <c r="QK329" s="32"/>
      <c r="QL329" s="32"/>
      <c r="QM329" s="32"/>
      <c r="QN329" s="32"/>
      <c r="QO329" s="32"/>
      <c r="QP329" s="32"/>
      <c r="QQ329" s="32"/>
      <c r="QR329" s="32"/>
      <c r="QS329" s="32"/>
      <c r="QT329" s="32"/>
      <c r="QU329" s="32"/>
      <c r="QV329" s="32"/>
      <c r="QW329" s="32"/>
      <c r="QX329" s="32"/>
      <c r="QY329" s="32"/>
      <c r="QZ329" s="32"/>
      <c r="RA329" s="32"/>
      <c r="RB329" s="32"/>
      <c r="RC329" s="32"/>
      <c r="RD329" s="32"/>
      <c r="RE329" s="32"/>
      <c r="RF329" s="32"/>
      <c r="RG329" s="32"/>
      <c r="RH329" s="32"/>
      <c r="RI329" s="32"/>
      <c r="RJ329" s="32"/>
      <c r="RK329" s="32"/>
      <c r="RL329" s="32"/>
      <c r="RM329" s="32"/>
      <c r="RN329" s="32"/>
      <c r="RO329" s="32"/>
      <c r="RP329" s="32"/>
      <c r="RQ329" s="32"/>
      <c r="RR329" s="32"/>
      <c r="RS329" s="32"/>
      <c r="RT329" s="32"/>
      <c r="RU329" s="32"/>
      <c r="RV329" s="32"/>
      <c r="RW329" s="32"/>
      <c r="RX329" s="32"/>
      <c r="RY329" s="32"/>
      <c r="RZ329" s="32"/>
      <c r="SA329" s="32"/>
      <c r="SB329" s="32"/>
      <c r="SC329" s="32"/>
      <c r="SD329" s="32"/>
      <c r="SE329" s="32"/>
      <c r="SF329" s="32"/>
      <c r="SG329" s="32"/>
      <c r="SH329" s="32"/>
      <c r="SI329" s="32"/>
      <c r="SJ329" s="32"/>
      <c r="SK329" s="32"/>
      <c r="SL329" s="32"/>
      <c r="SM329" s="32"/>
      <c r="SN329" s="32"/>
      <c r="SO329" s="32"/>
      <c r="SP329" s="32"/>
      <c r="SQ329" s="32"/>
      <c r="SR329" s="32"/>
      <c r="SS329" s="32"/>
      <c r="ST329" s="32"/>
      <c r="SU329" s="32"/>
      <c r="SV329" s="32"/>
      <c r="SW329" s="32"/>
      <c r="SX329" s="32"/>
      <c r="SY329" s="32"/>
      <c r="SZ329" s="32"/>
      <c r="TA329" s="32"/>
      <c r="TB329" s="32"/>
      <c r="TC329" s="32"/>
      <c r="TD329" s="32"/>
      <c r="TE329" s="32"/>
      <c r="TF329" s="32"/>
      <c r="TG329" s="32"/>
    </row>
    <row r="330" spans="1:527" s="27" customFormat="1" ht="30" customHeight="1" x14ac:dyDescent="0.25">
      <c r="A330" s="66"/>
      <c r="B330" s="67"/>
      <c r="C330" s="68"/>
      <c r="D330" s="69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  <c r="IG330" s="32"/>
      <c r="IH330" s="32"/>
      <c r="II330" s="32"/>
      <c r="IJ330" s="32"/>
      <c r="IK330" s="32"/>
      <c r="IL330" s="32"/>
      <c r="IM330" s="32"/>
      <c r="IN330" s="32"/>
      <c r="IO330" s="32"/>
      <c r="IP330" s="32"/>
      <c r="IQ330" s="32"/>
      <c r="IR330" s="32"/>
      <c r="IS330" s="32"/>
      <c r="IT330" s="32"/>
      <c r="IU330" s="32"/>
      <c r="IV330" s="32"/>
      <c r="IW330" s="32"/>
      <c r="IX330" s="32"/>
      <c r="IY330" s="32"/>
      <c r="IZ330" s="32"/>
      <c r="JA330" s="32"/>
      <c r="JB330" s="32"/>
      <c r="JC330" s="32"/>
      <c r="JD330" s="32"/>
      <c r="JE330" s="32"/>
      <c r="JF330" s="32"/>
      <c r="JG330" s="32"/>
      <c r="JH330" s="32"/>
      <c r="JI330" s="32"/>
      <c r="JJ330" s="32"/>
      <c r="JK330" s="32"/>
      <c r="JL330" s="32"/>
      <c r="JM330" s="32"/>
      <c r="JN330" s="32"/>
      <c r="JO330" s="32"/>
      <c r="JP330" s="32"/>
      <c r="JQ330" s="32"/>
      <c r="JR330" s="32"/>
      <c r="JS330" s="32"/>
      <c r="JT330" s="32"/>
      <c r="JU330" s="32"/>
      <c r="JV330" s="32"/>
      <c r="JW330" s="32"/>
      <c r="JX330" s="32"/>
      <c r="JY330" s="32"/>
      <c r="JZ330" s="32"/>
      <c r="KA330" s="32"/>
      <c r="KB330" s="32"/>
      <c r="KC330" s="32"/>
      <c r="KD330" s="32"/>
      <c r="KE330" s="32"/>
      <c r="KF330" s="32"/>
      <c r="KG330" s="32"/>
      <c r="KH330" s="32"/>
      <c r="KI330" s="32"/>
      <c r="KJ330" s="32"/>
      <c r="KK330" s="32"/>
      <c r="KL330" s="32"/>
      <c r="KM330" s="32"/>
      <c r="KN330" s="32"/>
      <c r="KO330" s="32"/>
      <c r="KP330" s="32"/>
      <c r="KQ330" s="32"/>
      <c r="KR330" s="32"/>
      <c r="KS330" s="32"/>
      <c r="KT330" s="32"/>
      <c r="KU330" s="32"/>
      <c r="KV330" s="32"/>
      <c r="KW330" s="32"/>
      <c r="KX330" s="32"/>
      <c r="KY330" s="32"/>
      <c r="KZ330" s="32"/>
      <c r="LA330" s="32"/>
      <c r="LB330" s="32"/>
      <c r="LC330" s="32"/>
      <c r="LD330" s="32"/>
      <c r="LE330" s="32"/>
      <c r="LF330" s="32"/>
      <c r="LG330" s="32"/>
      <c r="LH330" s="32"/>
      <c r="LI330" s="32"/>
      <c r="LJ330" s="32"/>
      <c r="LK330" s="32"/>
      <c r="LL330" s="32"/>
      <c r="LM330" s="32"/>
      <c r="LN330" s="32"/>
      <c r="LO330" s="32"/>
      <c r="LP330" s="32"/>
      <c r="LQ330" s="32"/>
      <c r="LR330" s="32"/>
      <c r="LS330" s="32"/>
      <c r="LT330" s="32"/>
      <c r="LU330" s="32"/>
      <c r="LV330" s="32"/>
      <c r="LW330" s="32"/>
      <c r="LX330" s="32"/>
      <c r="LY330" s="32"/>
      <c r="LZ330" s="32"/>
      <c r="MA330" s="32"/>
      <c r="MB330" s="32"/>
      <c r="MC330" s="32"/>
      <c r="MD330" s="32"/>
      <c r="ME330" s="32"/>
      <c r="MF330" s="32"/>
      <c r="MG330" s="32"/>
      <c r="MH330" s="32"/>
      <c r="MI330" s="32"/>
      <c r="MJ330" s="32"/>
      <c r="MK330" s="32"/>
      <c r="ML330" s="32"/>
      <c r="MM330" s="32"/>
      <c r="MN330" s="32"/>
      <c r="MO330" s="32"/>
      <c r="MP330" s="32"/>
      <c r="MQ330" s="32"/>
      <c r="MR330" s="32"/>
      <c r="MS330" s="32"/>
      <c r="MT330" s="32"/>
      <c r="MU330" s="32"/>
      <c r="MV330" s="32"/>
      <c r="MW330" s="32"/>
      <c r="MX330" s="32"/>
      <c r="MY330" s="32"/>
      <c r="MZ330" s="32"/>
      <c r="NA330" s="32"/>
      <c r="NB330" s="32"/>
      <c r="NC330" s="32"/>
      <c r="ND330" s="32"/>
      <c r="NE330" s="32"/>
      <c r="NF330" s="32"/>
      <c r="NG330" s="32"/>
      <c r="NH330" s="32"/>
      <c r="NI330" s="32"/>
      <c r="NJ330" s="32"/>
      <c r="NK330" s="32"/>
      <c r="NL330" s="32"/>
      <c r="NM330" s="32"/>
      <c r="NN330" s="32"/>
      <c r="NO330" s="32"/>
      <c r="NP330" s="32"/>
      <c r="NQ330" s="32"/>
      <c r="NR330" s="32"/>
      <c r="NS330" s="32"/>
      <c r="NT330" s="32"/>
      <c r="NU330" s="32"/>
      <c r="NV330" s="32"/>
      <c r="NW330" s="32"/>
      <c r="NX330" s="32"/>
      <c r="NY330" s="32"/>
      <c r="NZ330" s="32"/>
      <c r="OA330" s="32"/>
      <c r="OB330" s="32"/>
      <c r="OC330" s="32"/>
      <c r="OD330" s="32"/>
      <c r="OE330" s="32"/>
      <c r="OF330" s="32"/>
      <c r="OG330" s="32"/>
      <c r="OH330" s="32"/>
      <c r="OI330" s="32"/>
      <c r="OJ330" s="32"/>
      <c r="OK330" s="32"/>
      <c r="OL330" s="32"/>
      <c r="OM330" s="32"/>
      <c r="ON330" s="32"/>
      <c r="OO330" s="32"/>
      <c r="OP330" s="32"/>
      <c r="OQ330" s="32"/>
      <c r="OR330" s="32"/>
      <c r="OS330" s="32"/>
      <c r="OT330" s="32"/>
      <c r="OU330" s="32"/>
      <c r="OV330" s="32"/>
      <c r="OW330" s="32"/>
      <c r="OX330" s="32"/>
      <c r="OY330" s="32"/>
      <c r="OZ330" s="32"/>
      <c r="PA330" s="32"/>
      <c r="PB330" s="32"/>
      <c r="PC330" s="32"/>
      <c r="PD330" s="32"/>
      <c r="PE330" s="32"/>
      <c r="PF330" s="32"/>
      <c r="PG330" s="32"/>
      <c r="PH330" s="32"/>
      <c r="PI330" s="32"/>
      <c r="PJ330" s="32"/>
      <c r="PK330" s="32"/>
      <c r="PL330" s="32"/>
      <c r="PM330" s="32"/>
      <c r="PN330" s="32"/>
      <c r="PO330" s="32"/>
      <c r="PP330" s="32"/>
      <c r="PQ330" s="32"/>
      <c r="PR330" s="32"/>
      <c r="PS330" s="32"/>
      <c r="PT330" s="32"/>
      <c r="PU330" s="32"/>
      <c r="PV330" s="32"/>
      <c r="PW330" s="32"/>
      <c r="PX330" s="32"/>
      <c r="PY330" s="32"/>
      <c r="PZ330" s="32"/>
      <c r="QA330" s="32"/>
      <c r="QB330" s="32"/>
      <c r="QC330" s="32"/>
      <c r="QD330" s="32"/>
      <c r="QE330" s="32"/>
      <c r="QF330" s="32"/>
      <c r="QG330" s="32"/>
      <c r="QH330" s="32"/>
      <c r="QI330" s="32"/>
      <c r="QJ330" s="32"/>
      <c r="QK330" s="32"/>
      <c r="QL330" s="32"/>
      <c r="QM330" s="32"/>
      <c r="QN330" s="32"/>
      <c r="QO330" s="32"/>
      <c r="QP330" s="32"/>
      <c r="QQ330" s="32"/>
      <c r="QR330" s="32"/>
      <c r="QS330" s="32"/>
      <c r="QT330" s="32"/>
      <c r="QU330" s="32"/>
      <c r="QV330" s="32"/>
      <c r="QW330" s="32"/>
      <c r="QX330" s="32"/>
      <c r="QY330" s="32"/>
      <c r="QZ330" s="32"/>
      <c r="RA330" s="32"/>
      <c r="RB330" s="32"/>
      <c r="RC330" s="32"/>
      <c r="RD330" s="32"/>
      <c r="RE330" s="32"/>
      <c r="RF330" s="32"/>
      <c r="RG330" s="32"/>
      <c r="RH330" s="32"/>
      <c r="RI330" s="32"/>
      <c r="RJ330" s="32"/>
      <c r="RK330" s="32"/>
      <c r="RL330" s="32"/>
      <c r="RM330" s="32"/>
      <c r="RN330" s="32"/>
      <c r="RO330" s="32"/>
      <c r="RP330" s="32"/>
      <c r="RQ330" s="32"/>
      <c r="RR330" s="32"/>
      <c r="RS330" s="32"/>
      <c r="RT330" s="32"/>
      <c r="RU330" s="32"/>
      <c r="RV330" s="32"/>
      <c r="RW330" s="32"/>
      <c r="RX330" s="32"/>
      <c r="RY330" s="32"/>
      <c r="RZ330" s="32"/>
      <c r="SA330" s="32"/>
      <c r="SB330" s="32"/>
      <c r="SC330" s="32"/>
      <c r="SD330" s="32"/>
      <c r="SE330" s="32"/>
      <c r="SF330" s="32"/>
      <c r="SG330" s="32"/>
      <c r="SH330" s="32"/>
      <c r="SI330" s="32"/>
      <c r="SJ330" s="32"/>
      <c r="SK330" s="32"/>
      <c r="SL330" s="32"/>
      <c r="SM330" s="32"/>
      <c r="SN330" s="32"/>
      <c r="SO330" s="32"/>
      <c r="SP330" s="32"/>
      <c r="SQ330" s="32"/>
      <c r="SR330" s="32"/>
      <c r="SS330" s="32"/>
      <c r="ST330" s="32"/>
      <c r="SU330" s="32"/>
      <c r="SV330" s="32"/>
      <c r="SW330" s="32"/>
      <c r="SX330" s="32"/>
      <c r="SY330" s="32"/>
      <c r="SZ330" s="32"/>
      <c r="TA330" s="32"/>
      <c r="TB330" s="32"/>
      <c r="TC330" s="32"/>
      <c r="TD330" s="32"/>
      <c r="TE330" s="32"/>
      <c r="TF330" s="32"/>
      <c r="TG330" s="32"/>
    </row>
    <row r="331" spans="1:527" s="140" customFormat="1" ht="45" customHeight="1" x14ac:dyDescent="0.55000000000000004">
      <c r="A331" s="137" t="s">
        <v>614</v>
      </c>
      <c r="B331" s="138"/>
      <c r="C331" s="139"/>
      <c r="D331" s="129"/>
      <c r="E331" s="143"/>
      <c r="F331" s="129"/>
      <c r="G331" s="129"/>
      <c r="H331" s="129"/>
      <c r="I331" s="129"/>
      <c r="J331" s="129"/>
      <c r="M331" s="129"/>
      <c r="N331" s="129" t="s">
        <v>616</v>
      </c>
      <c r="O331" s="130"/>
      <c r="P331" s="130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1"/>
      <c r="AL331" s="141"/>
      <c r="AM331" s="141"/>
      <c r="AN331" s="141"/>
      <c r="AO331" s="141"/>
      <c r="AP331" s="141"/>
      <c r="AQ331" s="141"/>
      <c r="AR331" s="141"/>
      <c r="AS331" s="141"/>
      <c r="AT331" s="141"/>
      <c r="AU331" s="141"/>
      <c r="AV331" s="141"/>
      <c r="AW331" s="141"/>
      <c r="AX331" s="141"/>
      <c r="AY331" s="141"/>
      <c r="AZ331" s="141"/>
      <c r="BA331" s="141"/>
      <c r="BB331" s="141"/>
      <c r="BC331" s="141"/>
      <c r="BD331" s="141"/>
      <c r="BE331" s="141"/>
      <c r="BF331" s="141"/>
      <c r="BG331" s="141"/>
      <c r="BH331" s="141"/>
      <c r="BI331" s="141"/>
      <c r="BJ331" s="141"/>
      <c r="BK331" s="141"/>
      <c r="BL331" s="141"/>
      <c r="BM331" s="141"/>
      <c r="BN331" s="141"/>
      <c r="BO331" s="141"/>
      <c r="BP331" s="141"/>
      <c r="BQ331" s="141"/>
      <c r="BR331" s="141"/>
      <c r="BS331" s="141"/>
      <c r="BT331" s="141"/>
      <c r="BU331" s="141"/>
      <c r="BV331" s="141"/>
      <c r="BW331" s="141"/>
      <c r="BX331" s="141"/>
      <c r="BY331" s="141"/>
      <c r="BZ331" s="141"/>
      <c r="CA331" s="141"/>
      <c r="CB331" s="141"/>
      <c r="CC331" s="141"/>
      <c r="CD331" s="141"/>
      <c r="CE331" s="141"/>
      <c r="CF331" s="141"/>
      <c r="CG331" s="141"/>
      <c r="CH331" s="141"/>
      <c r="CI331" s="141"/>
      <c r="CJ331" s="141"/>
      <c r="CK331" s="141"/>
      <c r="CL331" s="141"/>
      <c r="CM331" s="141"/>
      <c r="CN331" s="141"/>
      <c r="CO331" s="141"/>
      <c r="CP331" s="141"/>
      <c r="CQ331" s="141"/>
      <c r="CR331" s="141"/>
      <c r="CS331" s="141"/>
      <c r="CT331" s="141"/>
      <c r="CU331" s="141"/>
      <c r="CV331" s="141"/>
      <c r="CW331" s="141"/>
      <c r="CX331" s="141"/>
      <c r="CY331" s="141"/>
      <c r="CZ331" s="141"/>
      <c r="DA331" s="141"/>
      <c r="DB331" s="141"/>
      <c r="DC331" s="141"/>
      <c r="DD331" s="141"/>
      <c r="DE331" s="141"/>
      <c r="DF331" s="141"/>
      <c r="DG331" s="141"/>
      <c r="DH331" s="141"/>
      <c r="DI331" s="141"/>
      <c r="DJ331" s="141"/>
      <c r="DK331" s="141"/>
      <c r="DL331" s="141"/>
      <c r="DM331" s="141"/>
      <c r="DN331" s="141"/>
      <c r="DO331" s="141"/>
      <c r="DP331" s="141"/>
      <c r="DQ331" s="141"/>
      <c r="DR331" s="141"/>
      <c r="DS331" s="141"/>
      <c r="DT331" s="141"/>
      <c r="DU331" s="141"/>
      <c r="DV331" s="141"/>
      <c r="DW331" s="141"/>
      <c r="DX331" s="141"/>
      <c r="DY331" s="141"/>
      <c r="DZ331" s="141"/>
      <c r="EA331" s="141"/>
      <c r="EB331" s="141"/>
      <c r="EC331" s="141"/>
      <c r="ED331" s="141"/>
      <c r="EE331" s="141"/>
      <c r="EF331" s="141"/>
      <c r="EG331" s="141"/>
      <c r="EH331" s="141"/>
      <c r="EI331" s="141"/>
      <c r="EJ331" s="141"/>
      <c r="EK331" s="141"/>
      <c r="EL331" s="141"/>
      <c r="EM331" s="141"/>
      <c r="EN331" s="141"/>
      <c r="EO331" s="141"/>
      <c r="EP331" s="141"/>
      <c r="EQ331" s="141"/>
      <c r="ER331" s="141"/>
      <c r="ES331" s="141"/>
      <c r="ET331" s="141"/>
      <c r="EU331" s="141"/>
      <c r="EV331" s="141"/>
      <c r="EW331" s="141"/>
      <c r="EX331" s="141"/>
      <c r="EY331" s="141"/>
      <c r="EZ331" s="141"/>
      <c r="FA331" s="141"/>
      <c r="FB331" s="141"/>
      <c r="FC331" s="141"/>
      <c r="FD331" s="141"/>
      <c r="FE331" s="141"/>
      <c r="FF331" s="141"/>
      <c r="FG331" s="141"/>
      <c r="FH331" s="141"/>
      <c r="FI331" s="141"/>
      <c r="FJ331" s="141"/>
      <c r="FK331" s="141"/>
      <c r="FL331" s="141"/>
      <c r="FM331" s="141"/>
      <c r="FN331" s="141"/>
      <c r="FO331" s="141"/>
      <c r="FP331" s="141"/>
      <c r="FQ331" s="141"/>
      <c r="FR331" s="141"/>
      <c r="FS331" s="141"/>
      <c r="FT331" s="141"/>
      <c r="FU331" s="141"/>
      <c r="FV331" s="141"/>
      <c r="FW331" s="141"/>
      <c r="FX331" s="141"/>
      <c r="FY331" s="141"/>
      <c r="FZ331" s="141"/>
      <c r="GA331" s="141"/>
      <c r="GB331" s="141"/>
      <c r="GC331" s="141"/>
      <c r="GD331" s="141"/>
      <c r="GE331" s="141"/>
      <c r="GF331" s="141"/>
      <c r="GG331" s="141"/>
      <c r="GH331" s="141"/>
      <c r="GI331" s="141"/>
      <c r="GJ331" s="141"/>
      <c r="GK331" s="141"/>
      <c r="GL331" s="141"/>
      <c r="GM331" s="141"/>
      <c r="GN331" s="141"/>
      <c r="GO331" s="141"/>
      <c r="GP331" s="141"/>
      <c r="GQ331" s="141"/>
      <c r="GR331" s="141"/>
      <c r="GS331" s="141"/>
      <c r="GT331" s="141"/>
      <c r="GU331" s="141"/>
      <c r="GV331" s="141"/>
      <c r="GW331" s="141"/>
      <c r="GX331" s="141"/>
      <c r="GY331" s="141"/>
      <c r="GZ331" s="141"/>
      <c r="HA331" s="141"/>
      <c r="HB331" s="141"/>
      <c r="HC331" s="141"/>
      <c r="HD331" s="141"/>
      <c r="HE331" s="141"/>
      <c r="HF331" s="141"/>
      <c r="HG331" s="141"/>
      <c r="HH331" s="141"/>
      <c r="HI331" s="141"/>
      <c r="HJ331" s="141"/>
      <c r="HK331" s="141"/>
      <c r="HL331" s="141"/>
      <c r="HM331" s="141"/>
      <c r="HN331" s="141"/>
      <c r="HO331" s="141"/>
      <c r="HP331" s="141"/>
      <c r="HQ331" s="141"/>
      <c r="HR331" s="141"/>
      <c r="HS331" s="141"/>
      <c r="HT331" s="141"/>
      <c r="HU331" s="141"/>
      <c r="HV331" s="141"/>
      <c r="HW331" s="141"/>
      <c r="HX331" s="141"/>
      <c r="HY331" s="141"/>
      <c r="HZ331" s="141"/>
      <c r="IA331" s="141"/>
      <c r="IB331" s="141"/>
      <c r="IC331" s="141"/>
      <c r="ID331" s="141"/>
      <c r="IE331" s="141"/>
      <c r="IF331" s="141"/>
      <c r="IG331" s="141"/>
      <c r="IH331" s="141"/>
      <c r="II331" s="141"/>
      <c r="IJ331" s="141"/>
      <c r="IK331" s="141"/>
      <c r="IL331" s="141"/>
      <c r="IM331" s="141"/>
      <c r="IN331" s="141"/>
      <c r="IO331" s="141"/>
      <c r="IP331" s="141"/>
      <c r="IQ331" s="141"/>
      <c r="IR331" s="141"/>
      <c r="IS331" s="141"/>
      <c r="IT331" s="141"/>
      <c r="IU331" s="141"/>
      <c r="IV331" s="141"/>
      <c r="IW331" s="141"/>
      <c r="IX331" s="141"/>
      <c r="IY331" s="141"/>
      <c r="IZ331" s="141"/>
      <c r="JA331" s="141"/>
      <c r="JB331" s="141"/>
      <c r="JC331" s="141"/>
      <c r="JD331" s="141"/>
      <c r="JE331" s="141"/>
      <c r="JF331" s="141"/>
      <c r="JG331" s="141"/>
      <c r="JH331" s="141"/>
      <c r="JI331" s="141"/>
      <c r="JJ331" s="141"/>
      <c r="JK331" s="141"/>
      <c r="JL331" s="141"/>
      <c r="JM331" s="141"/>
      <c r="JN331" s="141"/>
      <c r="JO331" s="141"/>
      <c r="JP331" s="141"/>
      <c r="JQ331" s="141"/>
      <c r="JR331" s="141"/>
      <c r="JS331" s="141"/>
      <c r="JT331" s="141"/>
      <c r="JU331" s="141"/>
      <c r="JV331" s="141"/>
      <c r="JW331" s="141"/>
      <c r="JX331" s="141"/>
      <c r="JY331" s="141"/>
      <c r="JZ331" s="141"/>
      <c r="KA331" s="141"/>
      <c r="KB331" s="141"/>
      <c r="KC331" s="141"/>
      <c r="KD331" s="141"/>
      <c r="KE331" s="141"/>
      <c r="KF331" s="141"/>
      <c r="KG331" s="141"/>
      <c r="KH331" s="141"/>
      <c r="KI331" s="141"/>
      <c r="KJ331" s="141"/>
      <c r="KK331" s="141"/>
      <c r="KL331" s="141"/>
      <c r="KM331" s="141"/>
      <c r="KN331" s="141"/>
      <c r="KO331" s="141"/>
      <c r="KP331" s="141"/>
      <c r="KQ331" s="141"/>
      <c r="KR331" s="141"/>
      <c r="KS331" s="141"/>
      <c r="KT331" s="141"/>
      <c r="KU331" s="141"/>
      <c r="KV331" s="141"/>
      <c r="KW331" s="141"/>
      <c r="KX331" s="141"/>
      <c r="KY331" s="141"/>
      <c r="KZ331" s="141"/>
      <c r="LA331" s="141"/>
      <c r="LB331" s="141"/>
      <c r="LC331" s="141"/>
      <c r="LD331" s="141"/>
      <c r="LE331" s="141"/>
      <c r="LF331" s="141"/>
      <c r="LG331" s="141"/>
      <c r="LH331" s="141"/>
      <c r="LI331" s="141"/>
      <c r="LJ331" s="141"/>
      <c r="LK331" s="141"/>
      <c r="LL331" s="141"/>
      <c r="LM331" s="141"/>
      <c r="LN331" s="141"/>
      <c r="LO331" s="141"/>
      <c r="LP331" s="141"/>
      <c r="LQ331" s="141"/>
      <c r="LR331" s="141"/>
      <c r="LS331" s="141"/>
      <c r="LT331" s="141"/>
      <c r="LU331" s="141"/>
      <c r="LV331" s="141"/>
      <c r="LW331" s="141"/>
      <c r="LX331" s="141"/>
      <c r="LY331" s="141"/>
      <c r="LZ331" s="141"/>
      <c r="MA331" s="141"/>
      <c r="MB331" s="141"/>
      <c r="MC331" s="141"/>
      <c r="MD331" s="141"/>
      <c r="ME331" s="141"/>
      <c r="MF331" s="141"/>
      <c r="MG331" s="141"/>
      <c r="MH331" s="141"/>
      <c r="MI331" s="141"/>
      <c r="MJ331" s="141"/>
      <c r="MK331" s="141"/>
      <c r="ML331" s="141"/>
      <c r="MM331" s="141"/>
      <c r="MN331" s="141"/>
      <c r="MO331" s="141"/>
      <c r="MP331" s="141"/>
      <c r="MQ331" s="141"/>
      <c r="MR331" s="141"/>
      <c r="MS331" s="141"/>
      <c r="MT331" s="141"/>
      <c r="MU331" s="141"/>
      <c r="MV331" s="141"/>
      <c r="MW331" s="141"/>
      <c r="MX331" s="141"/>
      <c r="MY331" s="141"/>
      <c r="MZ331" s="141"/>
      <c r="NA331" s="141"/>
      <c r="NB331" s="141"/>
      <c r="NC331" s="141"/>
      <c r="ND331" s="141"/>
      <c r="NE331" s="141"/>
      <c r="NF331" s="141"/>
      <c r="NG331" s="141"/>
      <c r="NH331" s="141"/>
      <c r="NI331" s="141"/>
      <c r="NJ331" s="141"/>
      <c r="NK331" s="141"/>
      <c r="NL331" s="141"/>
      <c r="NM331" s="141"/>
      <c r="NN331" s="141"/>
      <c r="NO331" s="141"/>
      <c r="NP331" s="141"/>
      <c r="NQ331" s="141"/>
      <c r="NR331" s="141"/>
      <c r="NS331" s="141"/>
      <c r="NT331" s="141"/>
      <c r="NU331" s="141"/>
      <c r="NV331" s="141"/>
      <c r="NW331" s="141"/>
      <c r="NX331" s="141"/>
      <c r="NY331" s="141"/>
      <c r="NZ331" s="141"/>
      <c r="OA331" s="141"/>
      <c r="OB331" s="141"/>
      <c r="OC331" s="141"/>
      <c r="OD331" s="141"/>
      <c r="OE331" s="141"/>
      <c r="OF331" s="141"/>
      <c r="OG331" s="141"/>
      <c r="OH331" s="141"/>
      <c r="OI331" s="141"/>
      <c r="OJ331" s="141"/>
      <c r="OK331" s="141"/>
      <c r="OL331" s="141"/>
      <c r="OM331" s="141"/>
      <c r="ON331" s="141"/>
      <c r="OO331" s="141"/>
      <c r="OP331" s="141"/>
      <c r="OQ331" s="141"/>
      <c r="OR331" s="141"/>
      <c r="OS331" s="141"/>
      <c r="OT331" s="141"/>
      <c r="OU331" s="141"/>
      <c r="OV331" s="141"/>
      <c r="OW331" s="141"/>
      <c r="OX331" s="141"/>
      <c r="OY331" s="141"/>
      <c r="OZ331" s="141"/>
      <c r="PA331" s="141"/>
      <c r="PB331" s="141"/>
      <c r="PC331" s="141"/>
      <c r="PD331" s="141"/>
      <c r="PE331" s="141"/>
      <c r="PF331" s="141"/>
      <c r="PG331" s="141"/>
      <c r="PH331" s="141"/>
      <c r="PI331" s="141"/>
      <c r="PJ331" s="141"/>
      <c r="PK331" s="141"/>
      <c r="PL331" s="141"/>
      <c r="PM331" s="141"/>
      <c r="PN331" s="141"/>
      <c r="PO331" s="141"/>
      <c r="PP331" s="141"/>
      <c r="PQ331" s="141"/>
      <c r="PR331" s="141"/>
      <c r="PS331" s="141"/>
      <c r="PT331" s="141"/>
      <c r="PU331" s="141"/>
      <c r="PV331" s="141"/>
      <c r="PW331" s="141"/>
      <c r="PX331" s="141"/>
      <c r="PY331" s="141"/>
      <c r="PZ331" s="141"/>
      <c r="QA331" s="141"/>
      <c r="QB331" s="141"/>
      <c r="QC331" s="141"/>
      <c r="QD331" s="141"/>
      <c r="QE331" s="141"/>
      <c r="QF331" s="141"/>
      <c r="QG331" s="141"/>
      <c r="QH331" s="141"/>
      <c r="QI331" s="141"/>
      <c r="QJ331" s="141"/>
      <c r="QK331" s="141"/>
      <c r="QL331" s="141"/>
      <c r="QM331" s="141"/>
      <c r="QN331" s="141"/>
      <c r="QO331" s="141"/>
      <c r="QP331" s="141"/>
      <c r="QQ331" s="141"/>
      <c r="QR331" s="141"/>
      <c r="QS331" s="141"/>
      <c r="QT331" s="141"/>
      <c r="QU331" s="141"/>
      <c r="QV331" s="141"/>
      <c r="QW331" s="141"/>
      <c r="QX331" s="141"/>
      <c r="QY331" s="141"/>
      <c r="QZ331" s="141"/>
      <c r="RA331" s="141"/>
      <c r="RB331" s="141"/>
      <c r="RC331" s="141"/>
      <c r="RD331" s="141"/>
      <c r="RE331" s="141"/>
      <c r="RF331" s="141"/>
      <c r="RG331" s="141"/>
      <c r="RH331" s="141"/>
      <c r="RI331" s="141"/>
      <c r="RJ331" s="141"/>
      <c r="RK331" s="141"/>
      <c r="RL331" s="141"/>
      <c r="RM331" s="141"/>
      <c r="RN331" s="141"/>
      <c r="RO331" s="141"/>
      <c r="RP331" s="141"/>
      <c r="RQ331" s="141"/>
      <c r="RR331" s="141"/>
      <c r="RS331" s="141"/>
      <c r="RT331" s="141"/>
      <c r="RU331" s="141"/>
      <c r="RV331" s="141"/>
      <c r="RW331" s="141"/>
      <c r="RX331" s="141"/>
      <c r="RY331" s="141"/>
      <c r="RZ331" s="141"/>
      <c r="SA331" s="141"/>
      <c r="SB331" s="141"/>
      <c r="SC331" s="141"/>
      <c r="SD331" s="141"/>
      <c r="SE331" s="141"/>
      <c r="SF331" s="141"/>
      <c r="SG331" s="141"/>
      <c r="SH331" s="141"/>
      <c r="SI331" s="141"/>
      <c r="SJ331" s="141"/>
      <c r="SK331" s="141"/>
      <c r="SL331" s="141"/>
      <c r="SM331" s="141"/>
      <c r="SN331" s="141"/>
      <c r="SO331" s="141"/>
      <c r="SP331" s="141"/>
      <c r="SQ331" s="141"/>
      <c r="SR331" s="141"/>
      <c r="SS331" s="141"/>
      <c r="ST331" s="141"/>
      <c r="SU331" s="141"/>
      <c r="SV331" s="141"/>
      <c r="SW331" s="141"/>
      <c r="SX331" s="141"/>
      <c r="SY331" s="141"/>
      <c r="SZ331" s="141"/>
      <c r="TA331" s="141"/>
      <c r="TB331" s="141"/>
      <c r="TC331" s="141"/>
      <c r="TD331" s="141"/>
      <c r="TE331" s="141"/>
      <c r="TF331" s="141"/>
      <c r="TG331" s="141"/>
    </row>
    <row r="332" spans="1:527" s="28" customFormat="1" ht="18.75" customHeight="1" x14ac:dyDescent="0.25">
      <c r="A332" s="56"/>
      <c r="B332" s="61"/>
      <c r="C332" s="61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152"/>
    </row>
    <row r="333" spans="1:527" s="133" customFormat="1" ht="41.25" customHeight="1" x14ac:dyDescent="0.45">
      <c r="A333" s="131" t="s">
        <v>627</v>
      </c>
      <c r="B333" s="131"/>
      <c r="C333" s="131"/>
      <c r="D333" s="131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</row>
    <row r="334" spans="1:527" s="125" customFormat="1" ht="39.75" customHeight="1" x14ac:dyDescent="0.4">
      <c r="A334" s="159" t="s">
        <v>628</v>
      </c>
      <c r="B334" s="159"/>
      <c r="C334" s="159"/>
      <c r="D334" s="159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1:527" s="28" customFormat="1" ht="21.75" customHeight="1" x14ac:dyDescent="0.25">
      <c r="A335" s="56"/>
      <c r="B335" s="61"/>
      <c r="C335" s="61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>
        <v>750038085.50999999</v>
      </c>
      <c r="P335" s="47"/>
    </row>
    <row r="336" spans="1:527" s="28" customFormat="1" x14ac:dyDescent="0.25">
      <c r="A336" s="56"/>
      <c r="B336" s="61"/>
      <c r="C336" s="61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149">
        <f>O323-O335</f>
        <v>0</v>
      </c>
      <c r="P336" s="47"/>
    </row>
    <row r="337" spans="1:16" s="28" customFormat="1" x14ac:dyDescent="0.25">
      <c r="A337" s="56"/>
      <c r="B337" s="61"/>
      <c r="C337" s="61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</row>
    <row r="338" spans="1:16" s="28" customFormat="1" x14ac:dyDescent="0.25">
      <c r="A338" s="56"/>
      <c r="B338" s="61"/>
      <c r="C338" s="61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</row>
    <row r="339" spans="1:16" s="28" customFormat="1" x14ac:dyDescent="0.25">
      <c r="A339" s="56"/>
      <c r="B339" s="61"/>
      <c r="C339" s="61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152"/>
    </row>
    <row r="340" spans="1:16" s="28" customFormat="1" x14ac:dyDescent="0.25">
      <c r="A340" s="56"/>
      <c r="B340" s="61"/>
      <c r="C340" s="61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152"/>
    </row>
    <row r="341" spans="1:16" s="28" customFormat="1" x14ac:dyDescent="0.25">
      <c r="A341" s="56"/>
      <c r="B341" s="61"/>
      <c r="C341" s="61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152"/>
    </row>
    <row r="342" spans="1:16" s="28" customFormat="1" x14ac:dyDescent="0.25">
      <c r="A342" s="56"/>
      <c r="B342" s="61"/>
      <c r="C342" s="61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52"/>
    </row>
    <row r="343" spans="1:16" s="28" customFormat="1" x14ac:dyDescent="0.25">
      <c r="A343" s="56"/>
      <c r="B343" s="61"/>
      <c r="C343" s="61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152"/>
    </row>
    <row r="344" spans="1:16" s="28" customFormat="1" x14ac:dyDescent="0.25">
      <c r="A344" s="56"/>
      <c r="B344" s="61"/>
      <c r="C344" s="61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52"/>
    </row>
    <row r="345" spans="1:16" s="28" customFormat="1" x14ac:dyDescent="0.25">
      <c r="A345" s="56"/>
      <c r="B345" s="61"/>
      <c r="C345" s="61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152"/>
    </row>
    <row r="346" spans="1:16" s="28" customForma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152"/>
    </row>
    <row r="347" spans="1:16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152"/>
    </row>
    <row r="348" spans="1:16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152"/>
    </row>
    <row r="349" spans="1:16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52"/>
    </row>
    <row r="350" spans="1:16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52"/>
    </row>
    <row r="351" spans="1:16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52"/>
    </row>
    <row r="352" spans="1:16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52"/>
    </row>
    <row r="353" spans="1:16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52"/>
    </row>
    <row r="354" spans="1:16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52"/>
    </row>
    <row r="355" spans="1:16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52"/>
    </row>
    <row r="356" spans="1:16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52"/>
    </row>
    <row r="357" spans="1:16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52"/>
    </row>
    <row r="358" spans="1:16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52"/>
    </row>
    <row r="359" spans="1:16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52"/>
    </row>
    <row r="360" spans="1:16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52"/>
    </row>
    <row r="361" spans="1:16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52"/>
    </row>
    <row r="362" spans="1:16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52"/>
    </row>
    <row r="363" spans="1:16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52"/>
    </row>
    <row r="364" spans="1:16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52"/>
    </row>
    <row r="365" spans="1:16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52"/>
    </row>
    <row r="366" spans="1:16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52"/>
    </row>
    <row r="367" spans="1:16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52"/>
    </row>
    <row r="368" spans="1:16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52"/>
    </row>
    <row r="369" spans="1:16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52"/>
    </row>
    <row r="370" spans="1:16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52"/>
    </row>
    <row r="371" spans="1:16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52"/>
    </row>
    <row r="372" spans="1:16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52"/>
    </row>
    <row r="373" spans="1:16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52"/>
    </row>
    <row r="374" spans="1:16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52"/>
    </row>
    <row r="375" spans="1:16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52"/>
    </row>
    <row r="376" spans="1:16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52"/>
    </row>
    <row r="377" spans="1:16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52"/>
    </row>
    <row r="378" spans="1:16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52"/>
    </row>
    <row r="379" spans="1:16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52"/>
    </row>
    <row r="380" spans="1:16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52"/>
    </row>
    <row r="381" spans="1:16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52"/>
    </row>
    <row r="382" spans="1:16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52"/>
    </row>
    <row r="383" spans="1:16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52"/>
    </row>
    <row r="384" spans="1:16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52"/>
    </row>
    <row r="385" spans="1:16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52"/>
    </row>
    <row r="386" spans="1:16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52"/>
    </row>
    <row r="387" spans="1:16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52"/>
    </row>
    <row r="388" spans="1:16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52"/>
    </row>
    <row r="389" spans="1:16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52"/>
    </row>
    <row r="390" spans="1:16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52"/>
    </row>
    <row r="391" spans="1:16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52"/>
    </row>
    <row r="392" spans="1:16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52"/>
    </row>
    <row r="393" spans="1:16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52"/>
    </row>
    <row r="394" spans="1:16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52"/>
    </row>
    <row r="395" spans="1:16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52"/>
    </row>
    <row r="396" spans="1:16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52"/>
    </row>
    <row r="397" spans="1:16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52"/>
    </row>
    <row r="398" spans="1:16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52"/>
    </row>
    <row r="399" spans="1:16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52"/>
    </row>
    <row r="400" spans="1:16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52"/>
    </row>
    <row r="401" spans="1:16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52"/>
    </row>
    <row r="402" spans="1:16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52"/>
    </row>
    <row r="403" spans="1:16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52"/>
    </row>
    <row r="404" spans="1:16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52"/>
    </row>
    <row r="405" spans="1:16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52"/>
    </row>
    <row r="406" spans="1:16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52"/>
    </row>
    <row r="407" spans="1:16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52"/>
    </row>
    <row r="408" spans="1:16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52"/>
    </row>
    <row r="409" spans="1:16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52"/>
    </row>
    <row r="410" spans="1:16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52"/>
    </row>
    <row r="411" spans="1:16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52"/>
    </row>
    <row r="412" spans="1:16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52"/>
    </row>
    <row r="413" spans="1:16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52"/>
    </row>
    <row r="414" spans="1:16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52"/>
    </row>
    <row r="415" spans="1:16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52"/>
    </row>
    <row r="416" spans="1:16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52"/>
    </row>
    <row r="417" spans="1:16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52"/>
    </row>
    <row r="418" spans="1:16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52"/>
    </row>
    <row r="419" spans="1:16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52"/>
    </row>
    <row r="420" spans="1:16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52"/>
    </row>
    <row r="421" spans="1:16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52"/>
    </row>
    <row r="422" spans="1:16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52"/>
    </row>
    <row r="423" spans="1:16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52"/>
    </row>
    <row r="424" spans="1:16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52"/>
    </row>
    <row r="425" spans="1:16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52"/>
    </row>
    <row r="426" spans="1:16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52"/>
    </row>
    <row r="427" spans="1:16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52"/>
    </row>
    <row r="428" spans="1:16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52"/>
    </row>
    <row r="429" spans="1:16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52"/>
    </row>
    <row r="430" spans="1:16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52"/>
    </row>
    <row r="431" spans="1:16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52"/>
    </row>
    <row r="432" spans="1:16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52"/>
    </row>
    <row r="433" spans="1:16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52"/>
    </row>
    <row r="434" spans="1:16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52"/>
    </row>
    <row r="435" spans="1:16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52"/>
    </row>
    <row r="436" spans="1:16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52"/>
    </row>
    <row r="437" spans="1:16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52"/>
    </row>
    <row r="438" spans="1:16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52"/>
    </row>
    <row r="439" spans="1:16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52"/>
    </row>
    <row r="440" spans="1:16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52"/>
    </row>
    <row r="441" spans="1:16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52"/>
    </row>
    <row r="442" spans="1:16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52"/>
    </row>
    <row r="443" spans="1:16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52"/>
    </row>
    <row r="444" spans="1:16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52"/>
    </row>
    <row r="445" spans="1:16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52"/>
    </row>
    <row r="446" spans="1:16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52"/>
    </row>
    <row r="447" spans="1:16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52"/>
    </row>
    <row r="448" spans="1:16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52"/>
    </row>
    <row r="449" spans="1:16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52"/>
    </row>
    <row r="450" spans="1:16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52"/>
    </row>
    <row r="451" spans="1:16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52"/>
    </row>
    <row r="452" spans="1:16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52"/>
    </row>
    <row r="453" spans="1:16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52"/>
    </row>
    <row r="454" spans="1:16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52"/>
    </row>
    <row r="455" spans="1:16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52"/>
    </row>
    <row r="456" spans="1:16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52"/>
    </row>
    <row r="457" spans="1:16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52"/>
    </row>
    <row r="458" spans="1:16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52"/>
    </row>
    <row r="459" spans="1:16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52"/>
    </row>
    <row r="460" spans="1:16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52"/>
    </row>
    <row r="461" spans="1:16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52"/>
    </row>
    <row r="462" spans="1:16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52"/>
    </row>
    <row r="463" spans="1:16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52"/>
    </row>
    <row r="464" spans="1:16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52"/>
    </row>
    <row r="465" spans="1:16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52"/>
    </row>
    <row r="466" spans="1:16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52"/>
    </row>
    <row r="467" spans="1:16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52"/>
    </row>
    <row r="468" spans="1:16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52"/>
    </row>
    <row r="469" spans="1:16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52"/>
    </row>
    <row r="470" spans="1:16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52"/>
    </row>
    <row r="471" spans="1:16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52"/>
    </row>
    <row r="472" spans="1:16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52"/>
    </row>
    <row r="473" spans="1:16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52"/>
    </row>
    <row r="474" spans="1:16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52"/>
    </row>
    <row r="475" spans="1:16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52"/>
    </row>
    <row r="476" spans="1:16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52"/>
    </row>
    <row r="477" spans="1:16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52"/>
    </row>
    <row r="478" spans="1:16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52"/>
    </row>
    <row r="479" spans="1:16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52"/>
    </row>
    <row r="480" spans="1:16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52"/>
    </row>
    <row r="481" spans="1:16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52"/>
    </row>
    <row r="482" spans="1:16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52"/>
    </row>
    <row r="483" spans="1:16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52"/>
    </row>
    <row r="484" spans="1:16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52"/>
    </row>
    <row r="485" spans="1:16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52"/>
    </row>
    <row r="486" spans="1:16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52"/>
    </row>
    <row r="487" spans="1:16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52"/>
    </row>
    <row r="488" spans="1:16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52"/>
    </row>
    <row r="489" spans="1:16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52"/>
    </row>
    <row r="490" spans="1:16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52"/>
    </row>
    <row r="491" spans="1:16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52"/>
    </row>
    <row r="492" spans="1:16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52"/>
    </row>
    <row r="493" spans="1:16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52"/>
    </row>
    <row r="494" spans="1:16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52"/>
    </row>
    <row r="495" spans="1:16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52"/>
    </row>
    <row r="496" spans="1:16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52"/>
    </row>
    <row r="497" spans="1:16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52"/>
    </row>
    <row r="498" spans="1:16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52"/>
    </row>
    <row r="499" spans="1:16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52"/>
    </row>
    <row r="500" spans="1:16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52"/>
    </row>
    <row r="501" spans="1:16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52"/>
    </row>
    <row r="502" spans="1:16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52"/>
    </row>
    <row r="503" spans="1:16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52"/>
    </row>
    <row r="504" spans="1:16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52"/>
    </row>
    <row r="505" spans="1:16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52"/>
    </row>
    <row r="506" spans="1:16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52"/>
    </row>
    <row r="507" spans="1:16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52"/>
    </row>
    <row r="508" spans="1:16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52"/>
    </row>
    <row r="509" spans="1:16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52"/>
    </row>
    <row r="510" spans="1:16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52"/>
    </row>
    <row r="511" spans="1:16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52"/>
    </row>
    <row r="512" spans="1:16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52"/>
    </row>
    <row r="513" spans="1:16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52"/>
    </row>
    <row r="514" spans="1:16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52"/>
    </row>
    <row r="515" spans="1:16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52"/>
    </row>
    <row r="516" spans="1:16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52"/>
    </row>
    <row r="517" spans="1:16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52"/>
    </row>
    <row r="518" spans="1:16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52"/>
    </row>
    <row r="519" spans="1:16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52"/>
    </row>
    <row r="520" spans="1:16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52"/>
    </row>
    <row r="521" spans="1:16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52"/>
    </row>
    <row r="522" spans="1:16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52"/>
    </row>
    <row r="523" spans="1:16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52"/>
    </row>
    <row r="524" spans="1:16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52"/>
    </row>
    <row r="525" spans="1:16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52"/>
    </row>
    <row r="526" spans="1:16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52"/>
    </row>
    <row r="527" spans="1:16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52"/>
    </row>
    <row r="528" spans="1:16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52"/>
    </row>
    <row r="529" spans="1:16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52"/>
    </row>
    <row r="530" spans="1:16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52"/>
    </row>
    <row r="531" spans="1:16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52"/>
    </row>
    <row r="532" spans="1:16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52"/>
    </row>
    <row r="533" spans="1:16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52"/>
    </row>
    <row r="534" spans="1:16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52"/>
    </row>
    <row r="535" spans="1:16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52"/>
    </row>
    <row r="536" spans="1:16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52"/>
    </row>
    <row r="537" spans="1:16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52"/>
    </row>
    <row r="538" spans="1:16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52"/>
    </row>
    <row r="539" spans="1:16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52"/>
    </row>
    <row r="540" spans="1:16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52"/>
    </row>
    <row r="541" spans="1:16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52"/>
    </row>
    <row r="542" spans="1:16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52"/>
    </row>
    <row r="543" spans="1:16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52"/>
    </row>
    <row r="544" spans="1:16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52"/>
    </row>
    <row r="545" spans="1:16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52"/>
    </row>
    <row r="546" spans="1:16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52"/>
    </row>
    <row r="547" spans="1:16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52"/>
    </row>
    <row r="548" spans="1:16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52"/>
    </row>
    <row r="549" spans="1:16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52"/>
    </row>
    <row r="550" spans="1:16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52"/>
    </row>
    <row r="551" spans="1:16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52"/>
    </row>
    <row r="552" spans="1:16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52"/>
    </row>
    <row r="553" spans="1:16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52"/>
    </row>
    <row r="554" spans="1:16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52"/>
    </row>
    <row r="555" spans="1:16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52"/>
    </row>
    <row r="556" spans="1:16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52"/>
    </row>
    <row r="557" spans="1:16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52"/>
    </row>
    <row r="558" spans="1:16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52"/>
    </row>
    <row r="559" spans="1:16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52"/>
    </row>
    <row r="560" spans="1:16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52"/>
    </row>
    <row r="561" spans="1:16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52"/>
    </row>
    <row r="562" spans="1:16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52"/>
    </row>
    <row r="563" spans="1:16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52"/>
    </row>
    <row r="564" spans="1:16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52"/>
    </row>
    <row r="565" spans="1:16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52"/>
    </row>
    <row r="566" spans="1:16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52"/>
    </row>
    <row r="567" spans="1:16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52"/>
    </row>
    <row r="568" spans="1:16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52"/>
    </row>
    <row r="569" spans="1:16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52"/>
    </row>
    <row r="570" spans="1:16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52"/>
    </row>
    <row r="571" spans="1:16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52"/>
    </row>
    <row r="572" spans="1:16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52"/>
    </row>
    <row r="573" spans="1:16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52"/>
    </row>
    <row r="574" spans="1:16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52"/>
    </row>
    <row r="575" spans="1:16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52"/>
    </row>
    <row r="576" spans="1:16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52"/>
    </row>
    <row r="577" spans="1:16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52"/>
    </row>
    <row r="578" spans="1:16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52"/>
    </row>
    <row r="579" spans="1:16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52"/>
    </row>
    <row r="580" spans="1:16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52"/>
    </row>
    <row r="581" spans="1:16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52"/>
    </row>
    <row r="582" spans="1:16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52"/>
    </row>
    <row r="583" spans="1:16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52"/>
    </row>
    <row r="584" spans="1:16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52"/>
    </row>
    <row r="585" spans="1:16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52"/>
    </row>
    <row r="586" spans="1:16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52"/>
    </row>
    <row r="587" spans="1:16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52"/>
    </row>
    <row r="588" spans="1:16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52"/>
    </row>
    <row r="589" spans="1:16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52"/>
    </row>
    <row r="590" spans="1:16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52"/>
    </row>
    <row r="591" spans="1:16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52"/>
    </row>
    <row r="592" spans="1:16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52"/>
    </row>
    <row r="593" spans="1:16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52"/>
    </row>
    <row r="594" spans="1:16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52"/>
    </row>
    <row r="595" spans="1:16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52"/>
    </row>
    <row r="596" spans="1:16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52"/>
    </row>
    <row r="597" spans="1:16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52"/>
    </row>
    <row r="598" spans="1:16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52"/>
    </row>
    <row r="599" spans="1:16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52"/>
    </row>
    <row r="600" spans="1:16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52"/>
    </row>
    <row r="601" spans="1:16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52"/>
    </row>
    <row r="602" spans="1:16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52"/>
    </row>
    <row r="603" spans="1:16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52"/>
    </row>
    <row r="604" spans="1:16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52"/>
    </row>
    <row r="605" spans="1:16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52"/>
    </row>
    <row r="606" spans="1:16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52"/>
    </row>
    <row r="607" spans="1:16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52"/>
    </row>
    <row r="608" spans="1:16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52"/>
    </row>
    <row r="609" spans="1:16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52"/>
    </row>
    <row r="610" spans="1:16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52"/>
    </row>
    <row r="611" spans="1:16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52"/>
    </row>
    <row r="612" spans="1:16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52"/>
    </row>
    <row r="613" spans="1:16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52"/>
    </row>
    <row r="614" spans="1:16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52"/>
    </row>
    <row r="615" spans="1:16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52"/>
    </row>
    <row r="616" spans="1:16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52"/>
    </row>
    <row r="617" spans="1:16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52"/>
    </row>
    <row r="618" spans="1:16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52"/>
    </row>
    <row r="619" spans="1:16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52"/>
    </row>
    <row r="620" spans="1:16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52"/>
    </row>
    <row r="621" spans="1:16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52"/>
    </row>
    <row r="622" spans="1:16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52"/>
    </row>
    <row r="623" spans="1:16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52"/>
    </row>
    <row r="624" spans="1:16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52"/>
    </row>
    <row r="625" spans="1:16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52"/>
    </row>
    <row r="626" spans="1:16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52"/>
    </row>
    <row r="627" spans="1:16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52"/>
    </row>
    <row r="628" spans="1:16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52"/>
    </row>
    <row r="629" spans="1:16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52"/>
    </row>
    <row r="630" spans="1:16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52"/>
    </row>
    <row r="631" spans="1:16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52"/>
    </row>
    <row r="632" spans="1:16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52"/>
    </row>
    <row r="633" spans="1:16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52"/>
    </row>
    <row r="634" spans="1:16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52"/>
    </row>
    <row r="635" spans="1:16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52"/>
    </row>
    <row r="636" spans="1:16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52"/>
    </row>
    <row r="637" spans="1:16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52"/>
    </row>
    <row r="638" spans="1:16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52"/>
    </row>
    <row r="639" spans="1:16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52"/>
    </row>
    <row r="640" spans="1:16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52"/>
    </row>
    <row r="641" spans="1:16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52"/>
    </row>
    <row r="642" spans="1:16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52"/>
    </row>
    <row r="643" spans="1:16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52"/>
    </row>
    <row r="644" spans="1:16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52"/>
    </row>
    <row r="645" spans="1:16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52"/>
    </row>
    <row r="646" spans="1:16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52"/>
    </row>
    <row r="647" spans="1:16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52"/>
    </row>
    <row r="648" spans="1:16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52"/>
    </row>
    <row r="649" spans="1:16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52"/>
    </row>
    <row r="650" spans="1:16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52"/>
    </row>
    <row r="651" spans="1:16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52"/>
    </row>
    <row r="652" spans="1:16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52"/>
    </row>
    <row r="653" spans="1:16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52"/>
    </row>
    <row r="654" spans="1:16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52"/>
    </row>
    <row r="655" spans="1:16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52"/>
    </row>
    <row r="656" spans="1:16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52"/>
    </row>
    <row r="657" spans="1:16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52"/>
    </row>
    <row r="658" spans="1:16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52"/>
    </row>
    <row r="659" spans="1:16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52"/>
    </row>
    <row r="660" spans="1:16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52"/>
    </row>
    <row r="661" spans="1:16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52"/>
    </row>
    <row r="662" spans="1:16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52"/>
    </row>
    <row r="663" spans="1:16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52"/>
    </row>
    <row r="664" spans="1:16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52"/>
    </row>
    <row r="665" spans="1:16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52"/>
    </row>
    <row r="666" spans="1:16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52"/>
    </row>
    <row r="667" spans="1:16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52"/>
    </row>
    <row r="668" spans="1:16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52"/>
    </row>
    <row r="669" spans="1:16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52"/>
    </row>
    <row r="670" spans="1:16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52"/>
    </row>
    <row r="671" spans="1:16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52"/>
    </row>
    <row r="672" spans="1:16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52"/>
    </row>
    <row r="673" spans="1:16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52"/>
    </row>
    <row r="674" spans="1:16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52"/>
    </row>
    <row r="675" spans="1:16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52"/>
    </row>
    <row r="676" spans="1:16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52"/>
    </row>
    <row r="677" spans="1:16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52"/>
    </row>
    <row r="678" spans="1:16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52"/>
    </row>
    <row r="679" spans="1:16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52"/>
    </row>
    <row r="680" spans="1:16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52"/>
    </row>
    <row r="681" spans="1:16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52"/>
    </row>
    <row r="682" spans="1:16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52"/>
    </row>
    <row r="683" spans="1:16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52"/>
    </row>
    <row r="684" spans="1:16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52"/>
    </row>
    <row r="685" spans="1:16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52"/>
    </row>
    <row r="686" spans="1:16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52"/>
    </row>
    <row r="687" spans="1:16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52"/>
    </row>
    <row r="688" spans="1:16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52"/>
    </row>
    <row r="689" spans="1:16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52"/>
    </row>
    <row r="690" spans="1:16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52"/>
    </row>
    <row r="691" spans="1:16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52"/>
    </row>
    <row r="692" spans="1:16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52"/>
    </row>
    <row r="693" spans="1:16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52"/>
    </row>
    <row r="694" spans="1:16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52"/>
    </row>
    <row r="695" spans="1:16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52"/>
    </row>
    <row r="696" spans="1:16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52"/>
    </row>
    <row r="697" spans="1:16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52"/>
    </row>
    <row r="698" spans="1:16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52"/>
    </row>
    <row r="699" spans="1:16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52"/>
    </row>
    <row r="700" spans="1:16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52"/>
    </row>
    <row r="701" spans="1:16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52"/>
    </row>
    <row r="702" spans="1:16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52"/>
    </row>
    <row r="703" spans="1:16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52"/>
    </row>
    <row r="704" spans="1:16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52"/>
    </row>
    <row r="705" spans="1:16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52"/>
    </row>
    <row r="706" spans="1:16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52"/>
    </row>
    <row r="707" spans="1:16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52"/>
    </row>
    <row r="708" spans="1:16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52"/>
    </row>
    <row r="709" spans="1:16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52"/>
    </row>
    <row r="710" spans="1:16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52"/>
    </row>
    <row r="711" spans="1:16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52"/>
    </row>
    <row r="712" spans="1:16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52"/>
    </row>
    <row r="713" spans="1:16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52"/>
    </row>
    <row r="714" spans="1:16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52"/>
    </row>
    <row r="715" spans="1:16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52"/>
    </row>
    <row r="716" spans="1:16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52"/>
    </row>
    <row r="717" spans="1:16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52"/>
    </row>
    <row r="718" spans="1:16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52"/>
    </row>
    <row r="719" spans="1:16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52"/>
    </row>
    <row r="720" spans="1:16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52"/>
    </row>
    <row r="721" spans="1:16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52"/>
    </row>
    <row r="722" spans="1:16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52"/>
    </row>
    <row r="723" spans="1:16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52"/>
    </row>
    <row r="724" spans="1:16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52"/>
    </row>
    <row r="725" spans="1:16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52"/>
    </row>
    <row r="726" spans="1:16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52"/>
    </row>
    <row r="727" spans="1:16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52"/>
    </row>
    <row r="728" spans="1:16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52"/>
    </row>
    <row r="729" spans="1:16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52"/>
    </row>
    <row r="730" spans="1:16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52"/>
    </row>
    <row r="731" spans="1:16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52"/>
    </row>
    <row r="732" spans="1:16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52"/>
    </row>
    <row r="733" spans="1:16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52"/>
    </row>
    <row r="734" spans="1:16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52"/>
    </row>
    <row r="735" spans="1:16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52"/>
    </row>
    <row r="736" spans="1:16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52"/>
    </row>
    <row r="737" spans="1:16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52"/>
    </row>
    <row r="738" spans="1:16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52"/>
    </row>
    <row r="739" spans="1:16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52"/>
    </row>
    <row r="740" spans="1:16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52"/>
    </row>
    <row r="741" spans="1:16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52"/>
    </row>
    <row r="742" spans="1:16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52"/>
    </row>
    <row r="743" spans="1:16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52"/>
    </row>
    <row r="744" spans="1:16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52"/>
    </row>
    <row r="745" spans="1:16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52"/>
    </row>
    <row r="746" spans="1:16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52"/>
    </row>
    <row r="747" spans="1:16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52"/>
    </row>
    <row r="748" spans="1:16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52"/>
    </row>
    <row r="749" spans="1:16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52"/>
    </row>
    <row r="750" spans="1:16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52"/>
    </row>
    <row r="751" spans="1:16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52"/>
    </row>
    <row r="752" spans="1:16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52"/>
    </row>
    <row r="753" spans="1:16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52"/>
    </row>
    <row r="754" spans="1:16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52"/>
    </row>
    <row r="755" spans="1:16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52"/>
    </row>
    <row r="756" spans="1:16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52"/>
    </row>
    <row r="757" spans="1:16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52"/>
    </row>
    <row r="758" spans="1:16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52"/>
    </row>
    <row r="759" spans="1:16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52"/>
    </row>
    <row r="760" spans="1:16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52"/>
    </row>
    <row r="761" spans="1:16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52"/>
    </row>
    <row r="762" spans="1:16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52"/>
    </row>
    <row r="763" spans="1:16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52"/>
    </row>
    <row r="764" spans="1:16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52"/>
    </row>
    <row r="765" spans="1:16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52"/>
    </row>
    <row r="766" spans="1:16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52"/>
    </row>
    <row r="767" spans="1:16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52"/>
    </row>
    <row r="768" spans="1:16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52"/>
    </row>
    <row r="769" spans="1:16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52"/>
    </row>
    <row r="770" spans="1:16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52"/>
    </row>
    <row r="771" spans="1:16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52"/>
    </row>
    <row r="772" spans="1:16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52"/>
    </row>
    <row r="773" spans="1:16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52"/>
    </row>
    <row r="774" spans="1:16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52"/>
    </row>
    <row r="775" spans="1:16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52"/>
    </row>
    <row r="776" spans="1:16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52"/>
    </row>
    <row r="777" spans="1:16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52"/>
    </row>
    <row r="778" spans="1:16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52"/>
    </row>
    <row r="779" spans="1:16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52"/>
    </row>
    <row r="780" spans="1:16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52"/>
    </row>
    <row r="781" spans="1:16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52"/>
    </row>
    <row r="782" spans="1:16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52"/>
    </row>
    <row r="783" spans="1:16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52"/>
    </row>
    <row r="784" spans="1:16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52"/>
    </row>
    <row r="785" spans="1:16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52"/>
    </row>
    <row r="786" spans="1:16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52"/>
    </row>
    <row r="787" spans="1:16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52"/>
    </row>
    <row r="788" spans="1:16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52"/>
    </row>
    <row r="789" spans="1:16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52"/>
    </row>
    <row r="790" spans="1:16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52"/>
    </row>
    <row r="791" spans="1:16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52"/>
    </row>
    <row r="792" spans="1:16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52"/>
    </row>
    <row r="793" spans="1:16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52"/>
    </row>
    <row r="794" spans="1:16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52"/>
    </row>
    <row r="795" spans="1:16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52"/>
    </row>
    <row r="796" spans="1:16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52"/>
    </row>
    <row r="797" spans="1:16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52"/>
    </row>
    <row r="798" spans="1:16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52"/>
    </row>
    <row r="799" spans="1:16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52"/>
    </row>
    <row r="800" spans="1:16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52"/>
    </row>
    <row r="801" spans="1:16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52"/>
    </row>
    <row r="802" spans="1:16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52"/>
    </row>
    <row r="803" spans="1:16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52"/>
    </row>
    <row r="804" spans="1:16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52"/>
    </row>
    <row r="805" spans="1:16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52"/>
    </row>
    <row r="806" spans="1:16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52"/>
    </row>
    <row r="807" spans="1:16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52"/>
    </row>
    <row r="808" spans="1:16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52"/>
    </row>
    <row r="809" spans="1:16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52"/>
    </row>
    <row r="810" spans="1:16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52"/>
    </row>
    <row r="811" spans="1:16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52"/>
    </row>
    <row r="812" spans="1:16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52"/>
    </row>
    <row r="813" spans="1:16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52"/>
    </row>
    <row r="814" spans="1:16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52"/>
    </row>
    <row r="815" spans="1:16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52"/>
    </row>
    <row r="816" spans="1:16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52"/>
    </row>
    <row r="817" spans="1:16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52"/>
    </row>
    <row r="818" spans="1:16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52"/>
    </row>
    <row r="819" spans="1:16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52"/>
    </row>
    <row r="820" spans="1:16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52"/>
    </row>
    <row r="821" spans="1:16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52"/>
    </row>
    <row r="822" spans="1:16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52"/>
    </row>
    <row r="823" spans="1:16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52"/>
    </row>
    <row r="824" spans="1:16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52"/>
    </row>
    <row r="825" spans="1:16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52"/>
    </row>
    <row r="826" spans="1:16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52"/>
    </row>
    <row r="827" spans="1:16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52"/>
    </row>
    <row r="828" spans="1:16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52"/>
    </row>
    <row r="829" spans="1:16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52"/>
    </row>
    <row r="830" spans="1:16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52"/>
    </row>
    <row r="831" spans="1:16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52"/>
    </row>
    <row r="832" spans="1:16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52"/>
    </row>
    <row r="833" spans="1:16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52"/>
    </row>
    <row r="834" spans="1:16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52"/>
    </row>
    <row r="835" spans="1:16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52"/>
    </row>
    <row r="836" spans="1:16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52"/>
    </row>
    <row r="837" spans="1:16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52"/>
    </row>
    <row r="838" spans="1:16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52"/>
    </row>
    <row r="839" spans="1:16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52"/>
    </row>
    <row r="840" spans="1:16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52"/>
    </row>
    <row r="841" spans="1:16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52"/>
    </row>
    <row r="842" spans="1:16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52"/>
    </row>
    <row r="843" spans="1:16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52"/>
    </row>
    <row r="844" spans="1:16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52"/>
    </row>
    <row r="845" spans="1:16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52"/>
    </row>
    <row r="846" spans="1:16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52"/>
    </row>
    <row r="847" spans="1:16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52"/>
    </row>
    <row r="848" spans="1:16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52"/>
    </row>
    <row r="849" spans="1:16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52"/>
    </row>
    <row r="850" spans="1:16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52"/>
    </row>
    <row r="851" spans="1:16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52"/>
    </row>
    <row r="852" spans="1:16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52"/>
    </row>
    <row r="853" spans="1:16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52"/>
    </row>
    <row r="854" spans="1:16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52"/>
    </row>
    <row r="855" spans="1:16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52"/>
    </row>
    <row r="856" spans="1:16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52"/>
    </row>
    <row r="857" spans="1:16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52"/>
    </row>
    <row r="858" spans="1:16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52"/>
    </row>
    <row r="859" spans="1:16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52"/>
    </row>
    <row r="860" spans="1:16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52"/>
    </row>
    <row r="861" spans="1:16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52"/>
    </row>
    <row r="862" spans="1:16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52"/>
    </row>
    <row r="863" spans="1:16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52"/>
    </row>
    <row r="864" spans="1:16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52"/>
    </row>
    <row r="865" spans="1:16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52"/>
    </row>
    <row r="866" spans="1:16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52"/>
    </row>
    <row r="867" spans="1:16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52"/>
    </row>
    <row r="868" spans="1:16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52"/>
    </row>
    <row r="869" spans="1:16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52"/>
    </row>
    <row r="870" spans="1:16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52"/>
    </row>
    <row r="871" spans="1:16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52"/>
    </row>
    <row r="872" spans="1:16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52"/>
    </row>
    <row r="873" spans="1:16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52"/>
    </row>
    <row r="874" spans="1:16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52"/>
    </row>
    <row r="875" spans="1:16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52"/>
    </row>
    <row r="876" spans="1:16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52"/>
    </row>
    <row r="877" spans="1:16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52"/>
    </row>
    <row r="878" spans="1:16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52"/>
    </row>
    <row r="879" spans="1:16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52"/>
    </row>
    <row r="880" spans="1:16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52"/>
    </row>
    <row r="881" spans="1:16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52"/>
    </row>
    <row r="882" spans="1:16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52"/>
    </row>
    <row r="883" spans="1:16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52"/>
    </row>
    <row r="884" spans="1:16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52"/>
    </row>
    <row r="885" spans="1:16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52"/>
    </row>
    <row r="886" spans="1:16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52"/>
    </row>
    <row r="887" spans="1:16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52"/>
    </row>
    <row r="888" spans="1:16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52"/>
    </row>
    <row r="889" spans="1:16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52"/>
    </row>
    <row r="890" spans="1:16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52"/>
    </row>
    <row r="891" spans="1:16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52"/>
    </row>
    <row r="892" spans="1:16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52"/>
    </row>
    <row r="893" spans="1:16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52"/>
    </row>
    <row r="894" spans="1:16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52"/>
    </row>
    <row r="895" spans="1:16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52"/>
    </row>
    <row r="896" spans="1:16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52"/>
    </row>
    <row r="897" spans="1:16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52"/>
    </row>
    <row r="898" spans="1:16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52"/>
    </row>
    <row r="899" spans="1:16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52"/>
    </row>
    <row r="900" spans="1:16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52"/>
    </row>
    <row r="901" spans="1:16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52"/>
    </row>
    <row r="902" spans="1:16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52"/>
    </row>
    <row r="903" spans="1:16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52"/>
    </row>
    <row r="904" spans="1:16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52"/>
    </row>
    <row r="905" spans="1:16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52"/>
    </row>
    <row r="906" spans="1:16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52"/>
    </row>
    <row r="907" spans="1:16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52"/>
    </row>
    <row r="908" spans="1:16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52"/>
    </row>
    <row r="909" spans="1:16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52"/>
    </row>
    <row r="910" spans="1:16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52"/>
    </row>
    <row r="911" spans="1:16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52"/>
    </row>
    <row r="912" spans="1:16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52"/>
    </row>
    <row r="913" spans="1:16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52"/>
    </row>
    <row r="914" spans="1:16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52"/>
    </row>
    <row r="915" spans="1:16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52"/>
    </row>
    <row r="916" spans="1:16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52"/>
    </row>
    <row r="917" spans="1:16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52"/>
    </row>
    <row r="918" spans="1:16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52"/>
    </row>
    <row r="919" spans="1:16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52"/>
    </row>
    <row r="920" spans="1:16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52"/>
    </row>
    <row r="921" spans="1:16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52"/>
    </row>
    <row r="922" spans="1:16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52"/>
    </row>
    <row r="923" spans="1:16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52"/>
    </row>
    <row r="924" spans="1:16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52"/>
    </row>
    <row r="925" spans="1:16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52"/>
    </row>
    <row r="926" spans="1:16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52"/>
    </row>
    <row r="927" spans="1:16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52"/>
    </row>
    <row r="928" spans="1:16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52"/>
    </row>
    <row r="929" spans="1:16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52"/>
    </row>
    <row r="930" spans="1:16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52"/>
    </row>
    <row r="931" spans="1:16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52"/>
    </row>
    <row r="932" spans="1:16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52"/>
    </row>
    <row r="933" spans="1:16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52"/>
    </row>
    <row r="934" spans="1:16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52"/>
    </row>
    <row r="935" spans="1:16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52"/>
    </row>
    <row r="936" spans="1:16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52"/>
    </row>
    <row r="937" spans="1:16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52"/>
    </row>
    <row r="938" spans="1:16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52"/>
    </row>
    <row r="939" spans="1:16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52"/>
    </row>
    <row r="940" spans="1:16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52"/>
    </row>
    <row r="941" spans="1:16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52"/>
    </row>
    <row r="942" spans="1:16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52"/>
    </row>
    <row r="943" spans="1:16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52"/>
    </row>
    <row r="944" spans="1:16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52"/>
    </row>
    <row r="945" spans="1:16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52"/>
    </row>
    <row r="946" spans="1:16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52"/>
    </row>
    <row r="947" spans="1:16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52"/>
    </row>
    <row r="948" spans="1:16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52"/>
    </row>
    <row r="949" spans="1:16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52"/>
    </row>
    <row r="950" spans="1:16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52"/>
    </row>
    <row r="951" spans="1:16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52"/>
    </row>
    <row r="952" spans="1:16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52"/>
    </row>
    <row r="953" spans="1:16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52"/>
    </row>
    <row r="954" spans="1:16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52"/>
    </row>
    <row r="955" spans="1:16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52"/>
    </row>
    <row r="956" spans="1:16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52"/>
    </row>
    <row r="957" spans="1:16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52"/>
    </row>
    <row r="958" spans="1:16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52"/>
    </row>
    <row r="959" spans="1:16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52"/>
    </row>
    <row r="960" spans="1:16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52"/>
    </row>
    <row r="961" spans="1:16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52"/>
    </row>
    <row r="962" spans="1:16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52"/>
    </row>
    <row r="963" spans="1:16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52"/>
    </row>
    <row r="964" spans="1:16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52"/>
    </row>
    <row r="965" spans="1:16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52"/>
    </row>
    <row r="966" spans="1:16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52"/>
    </row>
    <row r="967" spans="1:16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52"/>
    </row>
    <row r="968" spans="1:16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52"/>
    </row>
    <row r="969" spans="1:16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52"/>
    </row>
    <row r="970" spans="1:16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52"/>
    </row>
    <row r="971" spans="1:16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52"/>
    </row>
    <row r="972" spans="1:16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52"/>
    </row>
    <row r="973" spans="1:16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52"/>
    </row>
    <row r="974" spans="1:16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52"/>
    </row>
    <row r="975" spans="1:16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52"/>
    </row>
    <row r="976" spans="1:16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52"/>
    </row>
    <row r="977" spans="1:16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52"/>
    </row>
    <row r="978" spans="1:16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52"/>
    </row>
    <row r="979" spans="1:16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52"/>
    </row>
    <row r="980" spans="1:16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52"/>
    </row>
    <row r="981" spans="1:16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52"/>
    </row>
    <row r="982" spans="1:16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52"/>
    </row>
    <row r="983" spans="1:16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52"/>
    </row>
    <row r="984" spans="1:16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52"/>
    </row>
    <row r="985" spans="1:16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52"/>
    </row>
    <row r="986" spans="1:16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52"/>
    </row>
    <row r="987" spans="1:16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52"/>
    </row>
    <row r="988" spans="1:16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52"/>
    </row>
    <row r="989" spans="1:16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52"/>
    </row>
    <row r="990" spans="1:16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52"/>
    </row>
    <row r="991" spans="1:16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52"/>
    </row>
    <row r="992" spans="1:16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52"/>
    </row>
    <row r="993" spans="1:16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52"/>
    </row>
    <row r="994" spans="1:16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52"/>
    </row>
    <row r="995" spans="1:16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52"/>
    </row>
    <row r="996" spans="1:16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52"/>
    </row>
    <row r="997" spans="1:16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52"/>
    </row>
    <row r="998" spans="1:16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52"/>
    </row>
    <row r="999" spans="1:16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52"/>
    </row>
    <row r="1000" spans="1:16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52"/>
    </row>
    <row r="1001" spans="1:16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52"/>
    </row>
    <row r="1002" spans="1:16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52"/>
    </row>
    <row r="1003" spans="1:16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52"/>
    </row>
    <row r="1004" spans="1:16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52"/>
    </row>
    <row r="1005" spans="1:16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52"/>
    </row>
    <row r="1006" spans="1:16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52"/>
    </row>
    <row r="1007" spans="1:16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52"/>
    </row>
    <row r="1008" spans="1:16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52"/>
    </row>
    <row r="1009" spans="1:16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52"/>
    </row>
    <row r="1010" spans="1:16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52"/>
    </row>
    <row r="1011" spans="1:16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52"/>
    </row>
    <row r="1012" spans="1:16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52"/>
    </row>
    <row r="1013" spans="1:16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52"/>
    </row>
    <row r="1014" spans="1:16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52"/>
    </row>
    <row r="1015" spans="1:16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52"/>
    </row>
    <row r="1016" spans="1:16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52"/>
    </row>
    <row r="1017" spans="1:16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52"/>
    </row>
    <row r="1018" spans="1:16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52"/>
    </row>
    <row r="1019" spans="1:16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52"/>
    </row>
    <row r="1020" spans="1:16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52"/>
    </row>
    <row r="1021" spans="1:16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52"/>
    </row>
    <row r="1022" spans="1:16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52"/>
    </row>
    <row r="1023" spans="1:16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52"/>
    </row>
    <row r="1024" spans="1:16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52"/>
    </row>
    <row r="1025" spans="1:16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52"/>
    </row>
    <row r="1026" spans="1:16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52"/>
    </row>
    <row r="1027" spans="1:16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52"/>
    </row>
    <row r="1028" spans="1:16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52"/>
    </row>
    <row r="1029" spans="1:16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52"/>
    </row>
    <row r="1030" spans="1:16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52"/>
    </row>
    <row r="1031" spans="1:16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52"/>
    </row>
    <row r="1032" spans="1:16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52"/>
    </row>
    <row r="1033" spans="1:16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52"/>
    </row>
    <row r="1034" spans="1:16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52"/>
    </row>
    <row r="1035" spans="1:16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52"/>
    </row>
    <row r="1036" spans="1:16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52"/>
    </row>
    <row r="1037" spans="1:16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52"/>
    </row>
    <row r="1038" spans="1:16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52"/>
    </row>
    <row r="1039" spans="1:16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52"/>
    </row>
    <row r="1040" spans="1:16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52"/>
    </row>
    <row r="1041" spans="1:16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52"/>
    </row>
    <row r="1042" spans="1:16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52"/>
    </row>
    <row r="1043" spans="1:16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52"/>
    </row>
    <row r="1044" spans="1:16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52"/>
    </row>
    <row r="1045" spans="1:16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52"/>
    </row>
    <row r="1046" spans="1:16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52"/>
    </row>
    <row r="1047" spans="1:16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52"/>
    </row>
    <row r="1048" spans="1:16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52"/>
    </row>
    <row r="1049" spans="1:16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52"/>
    </row>
    <row r="1050" spans="1:16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52"/>
    </row>
    <row r="1051" spans="1:16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52"/>
    </row>
    <row r="1052" spans="1:16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52"/>
    </row>
    <row r="1053" spans="1:16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52"/>
    </row>
    <row r="1054" spans="1:16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52"/>
    </row>
    <row r="1055" spans="1:16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52"/>
    </row>
    <row r="1056" spans="1:16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52"/>
    </row>
    <row r="1057" spans="1:16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52"/>
    </row>
    <row r="1058" spans="1:16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52"/>
    </row>
    <row r="1059" spans="1:16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52"/>
    </row>
    <row r="1060" spans="1:16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52"/>
    </row>
    <row r="1061" spans="1:16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52"/>
    </row>
    <row r="1062" spans="1:16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52"/>
    </row>
    <row r="1063" spans="1:16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52"/>
    </row>
    <row r="1064" spans="1:16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52"/>
    </row>
    <row r="1065" spans="1:16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52"/>
    </row>
    <row r="1066" spans="1:16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52"/>
    </row>
    <row r="1067" spans="1:16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52"/>
    </row>
    <row r="1068" spans="1:16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52"/>
    </row>
    <row r="1069" spans="1:16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52"/>
    </row>
    <row r="1070" spans="1:16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52"/>
    </row>
    <row r="1071" spans="1:16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52"/>
    </row>
    <row r="1072" spans="1:16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52"/>
    </row>
    <row r="1073" spans="1:16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52"/>
    </row>
    <row r="1074" spans="1:16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52"/>
    </row>
    <row r="1075" spans="1:16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52"/>
    </row>
    <row r="1076" spans="1:16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52"/>
    </row>
    <row r="1077" spans="1:16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52"/>
    </row>
    <row r="1078" spans="1:16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52"/>
    </row>
    <row r="1079" spans="1:16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52"/>
    </row>
    <row r="1080" spans="1:16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52"/>
    </row>
    <row r="1081" spans="1:16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52"/>
    </row>
    <row r="1082" spans="1:16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52"/>
    </row>
    <row r="1083" spans="1:16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52"/>
    </row>
    <row r="1084" spans="1:16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52"/>
    </row>
    <row r="1085" spans="1:16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52"/>
    </row>
    <row r="1086" spans="1:16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52"/>
    </row>
    <row r="1087" spans="1:16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52"/>
    </row>
    <row r="1088" spans="1:16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52"/>
    </row>
    <row r="1089" spans="1:16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52"/>
    </row>
    <row r="1090" spans="1:16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52"/>
    </row>
    <row r="1091" spans="1:16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52"/>
    </row>
    <row r="1092" spans="1:16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52"/>
    </row>
    <row r="1093" spans="1:16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52"/>
    </row>
    <row r="1094" spans="1:16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52"/>
    </row>
    <row r="1095" spans="1:16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52"/>
    </row>
    <row r="1096" spans="1:16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52"/>
    </row>
    <row r="1097" spans="1:16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52"/>
    </row>
    <row r="1098" spans="1:16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52"/>
    </row>
    <row r="1099" spans="1:16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52"/>
    </row>
    <row r="1100" spans="1:16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52"/>
    </row>
    <row r="1101" spans="1:16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52"/>
    </row>
    <row r="1102" spans="1:16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52"/>
    </row>
    <row r="1103" spans="1:16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52"/>
    </row>
    <row r="1104" spans="1:16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52"/>
    </row>
    <row r="1105" spans="1:16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52"/>
    </row>
    <row r="1106" spans="1:16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52"/>
    </row>
    <row r="1107" spans="1:16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52"/>
    </row>
    <row r="1108" spans="1:16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52"/>
    </row>
    <row r="1109" spans="1:16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52"/>
    </row>
    <row r="1110" spans="1:16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52"/>
    </row>
    <row r="1111" spans="1:16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52"/>
    </row>
    <row r="1112" spans="1:16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52"/>
    </row>
    <row r="1113" spans="1:16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52"/>
    </row>
    <row r="1114" spans="1:16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52"/>
    </row>
    <row r="1115" spans="1:16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52"/>
    </row>
    <row r="1116" spans="1:16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52"/>
    </row>
    <row r="1117" spans="1:16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52"/>
    </row>
    <row r="1118" spans="1:16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52"/>
    </row>
    <row r="1119" spans="1:16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52"/>
    </row>
    <row r="1120" spans="1:16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52"/>
    </row>
    <row r="1121" spans="1:16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52"/>
    </row>
    <row r="1122" spans="1:16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52"/>
    </row>
    <row r="1123" spans="1:16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52"/>
    </row>
    <row r="1124" spans="1:16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52"/>
    </row>
    <row r="1125" spans="1:16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52"/>
    </row>
    <row r="1126" spans="1:16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52"/>
    </row>
    <row r="1127" spans="1:16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52"/>
    </row>
    <row r="1128" spans="1:16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52"/>
    </row>
    <row r="1129" spans="1:16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52"/>
    </row>
    <row r="1130" spans="1:16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52"/>
    </row>
    <row r="1131" spans="1:16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52"/>
    </row>
    <row r="1132" spans="1:16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52"/>
    </row>
    <row r="1133" spans="1:16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52"/>
    </row>
    <row r="1134" spans="1:16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52"/>
    </row>
    <row r="1135" spans="1:16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52"/>
    </row>
    <row r="1136" spans="1:16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52"/>
    </row>
    <row r="1137" spans="1:16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52"/>
    </row>
    <row r="1138" spans="1:16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52"/>
    </row>
    <row r="1139" spans="1:16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52"/>
    </row>
    <row r="1140" spans="1:16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52"/>
    </row>
    <row r="1141" spans="1:16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52"/>
    </row>
    <row r="1142" spans="1:16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52"/>
    </row>
    <row r="1143" spans="1:16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52"/>
    </row>
    <row r="1144" spans="1:16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52"/>
    </row>
    <row r="1145" spans="1:16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52"/>
    </row>
    <row r="1146" spans="1:16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52"/>
    </row>
    <row r="1147" spans="1:16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52"/>
    </row>
    <row r="1148" spans="1:16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52"/>
    </row>
    <row r="1149" spans="1:16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52"/>
    </row>
    <row r="1150" spans="1:16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52"/>
    </row>
    <row r="1151" spans="1:16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52"/>
    </row>
    <row r="1152" spans="1:16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52"/>
    </row>
    <row r="1153" spans="1:16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52"/>
    </row>
    <row r="1154" spans="1:16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52"/>
    </row>
    <row r="1155" spans="1:16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52"/>
    </row>
    <row r="1156" spans="1:16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52"/>
    </row>
    <row r="1157" spans="1:16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52"/>
    </row>
    <row r="1158" spans="1:16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52"/>
    </row>
    <row r="1159" spans="1:16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52"/>
    </row>
    <row r="1160" spans="1:16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52"/>
    </row>
    <row r="1161" spans="1:16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52"/>
    </row>
    <row r="1162" spans="1:16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52"/>
    </row>
    <row r="1163" spans="1:16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52"/>
    </row>
    <row r="1164" spans="1:16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52"/>
    </row>
    <row r="1165" spans="1:16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52"/>
    </row>
    <row r="1166" spans="1:16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52"/>
    </row>
    <row r="1167" spans="1:16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52"/>
    </row>
    <row r="1168" spans="1:16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52"/>
    </row>
    <row r="1169" spans="1:16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52"/>
    </row>
    <row r="1170" spans="1:16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52"/>
    </row>
    <row r="1171" spans="1:16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52"/>
    </row>
    <row r="1172" spans="1:16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52"/>
    </row>
    <row r="1173" spans="1:16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52"/>
    </row>
    <row r="1174" spans="1:16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52"/>
    </row>
    <row r="1175" spans="1:16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52"/>
    </row>
    <row r="1176" spans="1:16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52"/>
    </row>
    <row r="1177" spans="1:16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52"/>
    </row>
    <row r="1178" spans="1:16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52"/>
    </row>
    <row r="1179" spans="1:16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52"/>
    </row>
    <row r="1180" spans="1:16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52"/>
    </row>
    <row r="1181" spans="1:16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52"/>
    </row>
    <row r="1182" spans="1:16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52"/>
    </row>
    <row r="1183" spans="1:16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52"/>
    </row>
    <row r="1184" spans="1:16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52"/>
    </row>
    <row r="1185" spans="1:16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52"/>
    </row>
    <row r="1186" spans="1:16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52"/>
    </row>
    <row r="1187" spans="1:16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52"/>
    </row>
    <row r="1188" spans="1:16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52"/>
    </row>
    <row r="1189" spans="1:16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52"/>
    </row>
    <row r="1190" spans="1:16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52"/>
    </row>
    <row r="1191" spans="1:16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52"/>
    </row>
    <row r="1192" spans="1:16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52"/>
    </row>
    <row r="1193" spans="1:16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52"/>
    </row>
    <row r="1194" spans="1:16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52"/>
    </row>
    <row r="1195" spans="1:16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52"/>
    </row>
    <row r="1196" spans="1:16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52"/>
    </row>
    <row r="1197" spans="1:16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52"/>
    </row>
    <row r="1198" spans="1:16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52"/>
    </row>
    <row r="1199" spans="1:16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52"/>
    </row>
    <row r="1200" spans="1:16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52"/>
    </row>
    <row r="1201" spans="1:16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52"/>
    </row>
    <row r="1202" spans="1:16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52"/>
    </row>
    <row r="1203" spans="1:16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52"/>
    </row>
    <row r="1204" spans="1:16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52"/>
    </row>
    <row r="1205" spans="1:16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52"/>
    </row>
    <row r="1206" spans="1:16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52"/>
    </row>
    <row r="1207" spans="1:16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52"/>
    </row>
    <row r="1208" spans="1:16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52"/>
    </row>
    <row r="1209" spans="1:16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52"/>
    </row>
    <row r="1210" spans="1:16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52"/>
    </row>
    <row r="1211" spans="1:16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52"/>
    </row>
    <row r="1212" spans="1:16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52"/>
    </row>
    <row r="1213" spans="1:16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52"/>
    </row>
    <row r="1214" spans="1:16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52"/>
    </row>
    <row r="1215" spans="1:16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52"/>
    </row>
    <row r="1216" spans="1:16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52"/>
    </row>
    <row r="1217" spans="1:16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52"/>
    </row>
    <row r="1218" spans="1:16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52"/>
    </row>
    <row r="1219" spans="1:16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52"/>
    </row>
    <row r="1220" spans="1:16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52"/>
    </row>
    <row r="1221" spans="1:16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52"/>
    </row>
    <row r="1222" spans="1:16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52"/>
    </row>
    <row r="1223" spans="1:16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52"/>
    </row>
    <row r="1224" spans="1:16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52"/>
    </row>
    <row r="1225" spans="1:16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52"/>
    </row>
    <row r="1226" spans="1:16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52"/>
    </row>
    <row r="1227" spans="1:16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52"/>
    </row>
    <row r="1228" spans="1:16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52"/>
    </row>
    <row r="1229" spans="1:16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52"/>
    </row>
    <row r="1230" spans="1:16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52"/>
    </row>
    <row r="1231" spans="1:16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52"/>
    </row>
    <row r="1232" spans="1:16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52"/>
    </row>
    <row r="1233" spans="1:16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52"/>
    </row>
    <row r="1234" spans="1:16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52"/>
    </row>
    <row r="1235" spans="1:16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52"/>
    </row>
    <row r="1236" spans="1:16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52"/>
    </row>
    <row r="1237" spans="1:16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52"/>
    </row>
    <row r="1238" spans="1:16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52"/>
    </row>
    <row r="1239" spans="1:16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52"/>
    </row>
    <row r="1240" spans="1:16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52"/>
    </row>
    <row r="1241" spans="1:16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52"/>
    </row>
    <row r="1242" spans="1:16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52"/>
    </row>
    <row r="1243" spans="1:16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52"/>
    </row>
    <row r="1244" spans="1:16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52"/>
    </row>
    <row r="1245" spans="1:16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52"/>
    </row>
    <row r="1246" spans="1:16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52"/>
    </row>
    <row r="1247" spans="1:16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52"/>
    </row>
    <row r="1248" spans="1:16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52"/>
    </row>
    <row r="1249" spans="1:16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52"/>
    </row>
    <row r="1250" spans="1:16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52"/>
    </row>
    <row r="1251" spans="1:16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52"/>
    </row>
    <row r="1252" spans="1:16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52"/>
    </row>
    <row r="1253" spans="1:16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52"/>
    </row>
    <row r="1254" spans="1:16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52"/>
    </row>
    <row r="1255" spans="1:16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52"/>
    </row>
    <row r="1256" spans="1:16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52"/>
    </row>
    <row r="1257" spans="1:16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52"/>
    </row>
    <row r="1258" spans="1:16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52"/>
    </row>
    <row r="1259" spans="1:16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52"/>
    </row>
    <row r="1260" spans="1:16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52"/>
    </row>
    <row r="1261" spans="1:16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52"/>
    </row>
    <row r="1262" spans="1:16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52"/>
    </row>
    <row r="1263" spans="1:16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52"/>
    </row>
    <row r="1264" spans="1:16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52"/>
    </row>
    <row r="1265" spans="1:16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52"/>
    </row>
    <row r="1266" spans="1:16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52"/>
    </row>
    <row r="1267" spans="1:16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52"/>
    </row>
    <row r="1268" spans="1:16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52"/>
    </row>
    <row r="1269" spans="1:16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52"/>
    </row>
    <row r="1270" spans="1:16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52"/>
    </row>
    <row r="1271" spans="1:16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52"/>
    </row>
    <row r="1272" spans="1:16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52"/>
    </row>
    <row r="1273" spans="1:16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52"/>
    </row>
    <row r="1274" spans="1:16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52"/>
    </row>
    <row r="1275" spans="1:16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52"/>
    </row>
    <row r="1276" spans="1:16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52"/>
    </row>
    <row r="1277" spans="1:16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52"/>
    </row>
    <row r="1278" spans="1:16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52"/>
    </row>
    <row r="1279" spans="1:16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52"/>
    </row>
    <row r="1280" spans="1:16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52"/>
    </row>
    <row r="1281" spans="1:16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52"/>
    </row>
    <row r="1282" spans="1:16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52"/>
    </row>
    <row r="1283" spans="1:16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52"/>
    </row>
    <row r="1284" spans="1:16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52"/>
    </row>
    <row r="1285" spans="1:16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52"/>
    </row>
    <row r="1286" spans="1:16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52"/>
    </row>
    <row r="1287" spans="1:16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52"/>
    </row>
    <row r="1288" spans="1:16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52"/>
    </row>
    <row r="1289" spans="1:16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52"/>
    </row>
    <row r="1290" spans="1:16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52"/>
    </row>
    <row r="1291" spans="1:16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52"/>
    </row>
    <row r="1292" spans="1:16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52"/>
    </row>
    <row r="1293" spans="1:16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52"/>
    </row>
    <row r="1294" spans="1:16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52"/>
    </row>
    <row r="1295" spans="1:16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52"/>
    </row>
    <row r="1296" spans="1:16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52"/>
    </row>
    <row r="1297" spans="1:16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52"/>
    </row>
    <row r="1298" spans="1:16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52"/>
    </row>
    <row r="1299" spans="1:16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52"/>
    </row>
    <row r="1300" spans="1:16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52"/>
    </row>
    <row r="1301" spans="1:16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52"/>
    </row>
    <row r="1302" spans="1:16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52"/>
    </row>
    <row r="1303" spans="1:16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52"/>
    </row>
    <row r="1304" spans="1:16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52"/>
    </row>
    <row r="1305" spans="1:16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52"/>
    </row>
    <row r="1306" spans="1:16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52"/>
    </row>
    <row r="1307" spans="1:16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52"/>
    </row>
    <row r="1308" spans="1:16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52"/>
    </row>
    <row r="1309" spans="1:16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52"/>
    </row>
    <row r="1310" spans="1:16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52"/>
    </row>
    <row r="1311" spans="1:16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52"/>
    </row>
    <row r="1312" spans="1:16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52"/>
    </row>
    <row r="1313" spans="1:16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52"/>
    </row>
    <row r="1314" spans="1:16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52"/>
    </row>
    <row r="1315" spans="1:16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52"/>
    </row>
    <row r="1316" spans="1:16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52"/>
    </row>
    <row r="1317" spans="1:16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52"/>
    </row>
    <row r="1318" spans="1:16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52"/>
    </row>
    <row r="1319" spans="1:16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52"/>
    </row>
    <row r="1320" spans="1:16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52"/>
    </row>
    <row r="1321" spans="1:16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52"/>
    </row>
    <row r="1322" spans="1:16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52"/>
    </row>
    <row r="1323" spans="1:16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52"/>
    </row>
    <row r="1324" spans="1:16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52"/>
    </row>
    <row r="1325" spans="1:16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52"/>
    </row>
    <row r="1326" spans="1:16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52"/>
    </row>
    <row r="1327" spans="1:16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52"/>
    </row>
    <row r="1328" spans="1:16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52"/>
    </row>
    <row r="1329" spans="1:16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52"/>
    </row>
    <row r="1330" spans="1:16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52"/>
    </row>
    <row r="1331" spans="1:16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52"/>
    </row>
    <row r="1332" spans="1:16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52"/>
    </row>
    <row r="1333" spans="1:16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52"/>
    </row>
    <row r="1334" spans="1:16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52"/>
    </row>
    <row r="1335" spans="1:16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52"/>
    </row>
    <row r="1336" spans="1:16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52"/>
    </row>
    <row r="1337" spans="1:16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52"/>
    </row>
    <row r="1338" spans="1:16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52"/>
    </row>
    <row r="1339" spans="1:16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52"/>
    </row>
    <row r="1340" spans="1:16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52"/>
    </row>
    <row r="1341" spans="1:16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52"/>
    </row>
    <row r="1342" spans="1:16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52"/>
    </row>
    <row r="1343" spans="1:16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52"/>
    </row>
    <row r="1344" spans="1:16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52"/>
    </row>
    <row r="1345" spans="1:16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52"/>
    </row>
    <row r="1346" spans="1:16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52"/>
    </row>
    <row r="1347" spans="1:16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52"/>
    </row>
    <row r="1348" spans="1:16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52"/>
    </row>
    <row r="1349" spans="1:16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52"/>
    </row>
    <row r="1350" spans="1:16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52"/>
    </row>
    <row r="1351" spans="1:16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52"/>
    </row>
    <row r="1352" spans="1:16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52"/>
    </row>
    <row r="1353" spans="1:16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52"/>
    </row>
    <row r="1354" spans="1:16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52"/>
    </row>
    <row r="1355" spans="1:16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52"/>
    </row>
    <row r="1356" spans="1:16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52"/>
    </row>
    <row r="1357" spans="1:16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52"/>
    </row>
    <row r="1358" spans="1:16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52"/>
    </row>
    <row r="1359" spans="1:16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52"/>
    </row>
    <row r="1360" spans="1:16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52"/>
    </row>
    <row r="1361" spans="1:16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52"/>
    </row>
    <row r="1362" spans="1:16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52"/>
    </row>
    <row r="1363" spans="1:16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52"/>
    </row>
    <row r="1364" spans="1:16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52"/>
    </row>
    <row r="1365" spans="1:16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52"/>
    </row>
    <row r="1366" spans="1:16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52"/>
    </row>
    <row r="1367" spans="1:16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52"/>
    </row>
    <row r="1368" spans="1:16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52"/>
    </row>
    <row r="1369" spans="1:16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52"/>
    </row>
    <row r="1370" spans="1:16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52"/>
    </row>
    <row r="1371" spans="1:16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52"/>
    </row>
    <row r="1372" spans="1:16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52"/>
    </row>
    <row r="1373" spans="1:16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52"/>
    </row>
    <row r="1374" spans="1:16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52"/>
    </row>
    <row r="1375" spans="1:16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52"/>
    </row>
    <row r="1376" spans="1:16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52"/>
    </row>
    <row r="1377" spans="1:16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52"/>
    </row>
    <row r="1378" spans="1:16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52"/>
    </row>
    <row r="1379" spans="1:16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52"/>
    </row>
    <row r="1380" spans="1:16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52"/>
    </row>
    <row r="1381" spans="1:16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52"/>
    </row>
    <row r="1382" spans="1:16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52"/>
    </row>
    <row r="1383" spans="1:16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52"/>
    </row>
    <row r="1384" spans="1:16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52"/>
    </row>
    <row r="1385" spans="1:16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52"/>
    </row>
    <row r="1386" spans="1:16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52"/>
    </row>
    <row r="1387" spans="1:16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52"/>
    </row>
    <row r="1388" spans="1:16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52"/>
    </row>
    <row r="1389" spans="1:16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52"/>
    </row>
    <row r="1390" spans="1:16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52"/>
    </row>
    <row r="1391" spans="1:16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52"/>
    </row>
    <row r="1392" spans="1:16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52"/>
    </row>
    <row r="1393" spans="1:16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52"/>
    </row>
    <row r="1394" spans="1:16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52"/>
    </row>
    <row r="1395" spans="1:16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52"/>
    </row>
    <row r="1396" spans="1:16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52"/>
    </row>
    <row r="1397" spans="1:16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52"/>
    </row>
    <row r="1398" spans="1:16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52"/>
    </row>
    <row r="1399" spans="1:16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52"/>
    </row>
    <row r="1400" spans="1:16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52"/>
    </row>
    <row r="1401" spans="1:16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52"/>
    </row>
    <row r="1402" spans="1:16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52"/>
    </row>
    <row r="1403" spans="1:16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52"/>
    </row>
    <row r="1404" spans="1:16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52"/>
    </row>
    <row r="1405" spans="1:16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52"/>
    </row>
    <row r="1406" spans="1:16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52"/>
    </row>
    <row r="1407" spans="1:16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52"/>
    </row>
    <row r="1408" spans="1:16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52"/>
    </row>
    <row r="1409" spans="1:16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52"/>
    </row>
    <row r="1410" spans="1:16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52"/>
    </row>
    <row r="1411" spans="1:16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52"/>
    </row>
    <row r="1412" spans="1:16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52"/>
    </row>
    <row r="1413" spans="1:16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52"/>
    </row>
    <row r="1414" spans="1:16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52"/>
    </row>
    <row r="1415" spans="1:16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52"/>
    </row>
    <row r="1416" spans="1:16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52"/>
    </row>
    <row r="1417" spans="1:16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52"/>
    </row>
    <row r="1418" spans="1:16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52"/>
    </row>
    <row r="1419" spans="1:16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52"/>
    </row>
    <row r="1420" spans="1:16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52"/>
    </row>
    <row r="1421" spans="1:16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52"/>
    </row>
    <row r="1422" spans="1:16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52"/>
    </row>
    <row r="1423" spans="1:16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52"/>
    </row>
    <row r="1424" spans="1:16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52"/>
    </row>
    <row r="1425" spans="1:16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52"/>
    </row>
    <row r="1426" spans="1:16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52"/>
    </row>
    <row r="1427" spans="1:16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52"/>
    </row>
    <row r="1428" spans="1:16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52"/>
    </row>
    <row r="1429" spans="1:16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52"/>
    </row>
    <row r="1430" spans="1:16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52"/>
    </row>
    <row r="1431" spans="1:16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52"/>
    </row>
    <row r="1432" spans="1:16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52"/>
    </row>
    <row r="1433" spans="1:16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52"/>
    </row>
    <row r="1434" spans="1:16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52"/>
    </row>
    <row r="1435" spans="1:16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52"/>
    </row>
    <row r="1436" spans="1:16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52"/>
    </row>
    <row r="1437" spans="1:16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52"/>
    </row>
    <row r="1438" spans="1:16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52"/>
    </row>
    <row r="1439" spans="1:16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52"/>
    </row>
    <row r="1440" spans="1:16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52"/>
    </row>
    <row r="1441" spans="1:16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52"/>
    </row>
    <row r="1442" spans="1:16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52"/>
    </row>
    <row r="1443" spans="1:16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52"/>
    </row>
    <row r="1444" spans="1:16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52"/>
    </row>
    <row r="1445" spans="1:16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52"/>
    </row>
    <row r="1446" spans="1:16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52"/>
    </row>
    <row r="1447" spans="1:16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52"/>
    </row>
    <row r="1448" spans="1:16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52"/>
    </row>
    <row r="1449" spans="1:16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52"/>
    </row>
    <row r="1450" spans="1:16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52"/>
    </row>
    <row r="1451" spans="1:16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52"/>
    </row>
    <row r="1452" spans="1:16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52"/>
    </row>
    <row r="1453" spans="1:16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52"/>
    </row>
    <row r="1454" spans="1:16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52"/>
    </row>
    <row r="1455" spans="1:16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52"/>
    </row>
    <row r="1456" spans="1:16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52"/>
    </row>
    <row r="1457" spans="1:16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52"/>
    </row>
    <row r="1458" spans="1:16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52"/>
    </row>
    <row r="1459" spans="1:16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52"/>
    </row>
    <row r="1460" spans="1:16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52"/>
    </row>
    <row r="1461" spans="1:16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52"/>
    </row>
    <row r="1462" spans="1:16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52"/>
    </row>
    <row r="1463" spans="1:16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52"/>
    </row>
    <row r="1464" spans="1:16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52"/>
    </row>
    <row r="1465" spans="1:16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52"/>
    </row>
    <row r="1466" spans="1:16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52"/>
    </row>
    <row r="1467" spans="1:16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52"/>
    </row>
    <row r="1468" spans="1:16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52"/>
    </row>
    <row r="1469" spans="1:16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52"/>
    </row>
    <row r="1470" spans="1:16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52"/>
    </row>
    <row r="1471" spans="1:16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52"/>
    </row>
    <row r="1472" spans="1:16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52"/>
    </row>
    <row r="1473" spans="1:16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52"/>
    </row>
    <row r="1474" spans="1:16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52"/>
    </row>
    <row r="1475" spans="1:16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52"/>
    </row>
    <row r="1476" spans="1:16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52"/>
    </row>
    <row r="1477" spans="1:16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52"/>
    </row>
    <row r="1478" spans="1:16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52"/>
    </row>
    <row r="1479" spans="1:16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52"/>
    </row>
    <row r="1480" spans="1:16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52"/>
    </row>
    <row r="1481" spans="1:16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52"/>
    </row>
    <row r="1482" spans="1:16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52"/>
    </row>
    <row r="1483" spans="1:16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52"/>
    </row>
    <row r="1484" spans="1:16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52"/>
    </row>
    <row r="1485" spans="1:16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52"/>
    </row>
    <row r="1486" spans="1:16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52"/>
    </row>
    <row r="1487" spans="1:16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52"/>
    </row>
    <row r="1488" spans="1:16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52"/>
    </row>
    <row r="1489" spans="1:16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52"/>
    </row>
    <row r="1490" spans="1:16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52"/>
    </row>
    <row r="1491" spans="1:16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52"/>
    </row>
    <row r="1492" spans="1:16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52"/>
    </row>
    <row r="1493" spans="1:16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52"/>
    </row>
    <row r="1494" spans="1:16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52"/>
    </row>
    <row r="1495" spans="1:16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52"/>
    </row>
    <row r="1496" spans="1:16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52"/>
    </row>
    <row r="1497" spans="1:16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52"/>
    </row>
    <row r="1498" spans="1:16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52"/>
    </row>
    <row r="1499" spans="1:16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52"/>
    </row>
    <row r="1500" spans="1:16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52"/>
    </row>
    <row r="1501" spans="1:16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52"/>
    </row>
    <row r="1502" spans="1:16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52"/>
    </row>
    <row r="1503" spans="1:16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52"/>
    </row>
    <row r="1504" spans="1:16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52"/>
    </row>
    <row r="1505" spans="1:16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52"/>
    </row>
    <row r="1506" spans="1:16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52"/>
    </row>
    <row r="1507" spans="1:16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52"/>
    </row>
    <row r="1508" spans="1:16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52"/>
    </row>
    <row r="1509" spans="1:16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52"/>
    </row>
    <row r="1510" spans="1:16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52"/>
    </row>
    <row r="1511" spans="1:16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52"/>
    </row>
    <row r="1512" spans="1:16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52"/>
    </row>
    <row r="1513" spans="1:16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52"/>
    </row>
    <row r="1514" spans="1:16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52"/>
    </row>
    <row r="1515" spans="1:16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52"/>
    </row>
    <row r="1516" spans="1:16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52"/>
    </row>
    <row r="1517" spans="1:16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52"/>
    </row>
    <row r="1518" spans="1:16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52"/>
    </row>
    <row r="1519" spans="1:16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52"/>
    </row>
    <row r="1520" spans="1:16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52"/>
    </row>
    <row r="1521" spans="1:16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52"/>
    </row>
    <row r="1522" spans="1:16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52"/>
    </row>
    <row r="1523" spans="1:16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52"/>
    </row>
    <row r="1524" spans="1:16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52"/>
    </row>
    <row r="1525" spans="1:16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52"/>
    </row>
    <row r="1526" spans="1:16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52"/>
    </row>
    <row r="1527" spans="1:16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52"/>
    </row>
    <row r="1528" spans="1:16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52"/>
    </row>
    <row r="1529" spans="1:16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52"/>
    </row>
    <row r="1530" spans="1:16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52"/>
    </row>
    <row r="1531" spans="1:16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52"/>
    </row>
    <row r="1532" spans="1:16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52"/>
    </row>
    <row r="1533" spans="1:16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52"/>
    </row>
    <row r="1534" spans="1:16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52"/>
    </row>
    <row r="1535" spans="1:16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52"/>
    </row>
    <row r="1536" spans="1:16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52"/>
    </row>
    <row r="1537" spans="1:16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52"/>
    </row>
    <row r="1538" spans="1:16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52"/>
    </row>
    <row r="1539" spans="1:16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52"/>
    </row>
    <row r="1540" spans="1:16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52"/>
    </row>
    <row r="1541" spans="1:16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52"/>
    </row>
    <row r="1542" spans="1:16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52"/>
    </row>
    <row r="1543" spans="1:16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52"/>
    </row>
    <row r="1544" spans="1:16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52"/>
    </row>
    <row r="1545" spans="1:16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52"/>
    </row>
    <row r="1546" spans="1:16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52"/>
    </row>
    <row r="1547" spans="1:16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52"/>
    </row>
    <row r="1548" spans="1:16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52"/>
    </row>
    <row r="1549" spans="1:16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52"/>
    </row>
    <row r="1550" spans="1:16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52"/>
    </row>
    <row r="1551" spans="1:16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52"/>
    </row>
    <row r="1552" spans="1:16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52"/>
    </row>
    <row r="1553" spans="1:16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52"/>
    </row>
    <row r="1554" spans="1:16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52"/>
    </row>
    <row r="1555" spans="1:16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52"/>
    </row>
    <row r="1556" spans="1:16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52"/>
    </row>
    <row r="1557" spans="1:16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52"/>
    </row>
    <row r="1558" spans="1:16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52"/>
    </row>
    <row r="1559" spans="1:16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52"/>
    </row>
    <row r="1560" spans="1:16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52"/>
    </row>
    <row r="1561" spans="1:16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52"/>
    </row>
    <row r="1562" spans="1:16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52"/>
    </row>
    <row r="1563" spans="1:16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52"/>
    </row>
    <row r="1564" spans="1:16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52"/>
    </row>
    <row r="1565" spans="1:16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52"/>
    </row>
    <row r="1566" spans="1:16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52"/>
    </row>
    <row r="1567" spans="1:16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52"/>
    </row>
    <row r="1568" spans="1:16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52"/>
    </row>
    <row r="1569" spans="1:16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52"/>
    </row>
    <row r="1570" spans="1:16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52"/>
    </row>
    <row r="1571" spans="1:16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52"/>
    </row>
    <row r="1572" spans="1:16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52"/>
    </row>
    <row r="1573" spans="1:16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52"/>
    </row>
    <row r="1574" spans="1:16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52"/>
    </row>
    <row r="1575" spans="1:16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52"/>
    </row>
    <row r="1576" spans="1:16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52"/>
    </row>
    <row r="1577" spans="1:16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52"/>
    </row>
    <row r="1578" spans="1:16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52"/>
    </row>
    <row r="1579" spans="1:16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52"/>
    </row>
    <row r="1580" spans="1:16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52"/>
    </row>
    <row r="1581" spans="1:16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52"/>
    </row>
    <row r="1582" spans="1:16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52"/>
    </row>
    <row r="1583" spans="1:16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52"/>
    </row>
    <row r="1584" spans="1:16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52"/>
    </row>
    <row r="1585" spans="1:16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52"/>
    </row>
    <row r="1586" spans="1:16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52"/>
    </row>
    <row r="1587" spans="1:16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52"/>
    </row>
    <row r="1588" spans="1:16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52"/>
    </row>
    <row r="1589" spans="1:16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52"/>
    </row>
    <row r="1590" spans="1:16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52"/>
    </row>
    <row r="1591" spans="1:16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52"/>
    </row>
    <row r="1592" spans="1:16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52"/>
    </row>
    <row r="1593" spans="1:16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52"/>
    </row>
    <row r="1594" spans="1:16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52"/>
    </row>
    <row r="1595" spans="1:16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52"/>
    </row>
    <row r="1596" spans="1:16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52"/>
    </row>
    <row r="1597" spans="1:16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52"/>
    </row>
    <row r="1598" spans="1:16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52"/>
    </row>
    <row r="1599" spans="1:16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52"/>
    </row>
    <row r="1600" spans="1:16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52"/>
    </row>
    <row r="1601" spans="1:16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52"/>
    </row>
    <row r="1602" spans="1:16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52"/>
    </row>
    <row r="1603" spans="1:16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52"/>
    </row>
    <row r="1604" spans="1:16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52"/>
    </row>
    <row r="1605" spans="1:16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52"/>
    </row>
    <row r="1606" spans="1:16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52"/>
    </row>
    <row r="1607" spans="1:16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52"/>
    </row>
    <row r="1608" spans="1:16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52"/>
    </row>
    <row r="1609" spans="1:16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52"/>
    </row>
    <row r="1610" spans="1:16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52"/>
    </row>
    <row r="1611" spans="1:16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52"/>
    </row>
    <row r="1612" spans="1:16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52"/>
    </row>
    <row r="1613" spans="1:16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52"/>
    </row>
    <row r="1614" spans="1:16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52"/>
    </row>
    <row r="1615" spans="1:16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52"/>
    </row>
    <row r="1616" spans="1:16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52"/>
    </row>
    <row r="1617" spans="1:16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52"/>
    </row>
    <row r="1618" spans="1:16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52"/>
    </row>
    <row r="1619" spans="1:16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52"/>
    </row>
    <row r="1620" spans="1:16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52"/>
    </row>
    <row r="1621" spans="1:16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52"/>
    </row>
    <row r="1622" spans="1:16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52"/>
    </row>
    <row r="1623" spans="1:16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52"/>
    </row>
    <row r="1624" spans="1:16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52"/>
    </row>
    <row r="1625" spans="1:16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52"/>
    </row>
    <row r="1626" spans="1:16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52"/>
    </row>
    <row r="1627" spans="1:16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52"/>
    </row>
    <row r="1628" spans="1:16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52"/>
    </row>
    <row r="1629" spans="1:16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52"/>
    </row>
    <row r="1630" spans="1:16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52"/>
    </row>
    <row r="1631" spans="1:16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52"/>
    </row>
    <row r="1632" spans="1:16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52"/>
    </row>
    <row r="1633" spans="1:16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52"/>
    </row>
    <row r="1634" spans="1:16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52"/>
    </row>
    <row r="1635" spans="1:16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52"/>
    </row>
    <row r="1636" spans="1:16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52"/>
    </row>
    <row r="1637" spans="1:16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52"/>
    </row>
    <row r="1638" spans="1:16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52"/>
    </row>
    <row r="1639" spans="1:16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52"/>
    </row>
    <row r="1640" spans="1:16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52"/>
    </row>
    <row r="1641" spans="1:16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52"/>
    </row>
    <row r="1642" spans="1:16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52"/>
    </row>
    <row r="1643" spans="1:16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52"/>
    </row>
    <row r="1644" spans="1:16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52"/>
    </row>
    <row r="1645" spans="1:16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52"/>
    </row>
    <row r="1646" spans="1:16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52"/>
    </row>
    <row r="1647" spans="1:16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52"/>
    </row>
    <row r="1648" spans="1:16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52"/>
    </row>
    <row r="1649" spans="1:16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52"/>
    </row>
    <row r="1650" spans="1:16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52"/>
    </row>
    <row r="1651" spans="1:16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52"/>
    </row>
    <row r="1652" spans="1:16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52"/>
    </row>
    <row r="1653" spans="1:16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52"/>
    </row>
    <row r="1654" spans="1:16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52"/>
    </row>
    <row r="1655" spans="1:16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52"/>
    </row>
    <row r="1656" spans="1:16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52"/>
    </row>
    <row r="1657" spans="1:16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52"/>
    </row>
    <row r="1658" spans="1:16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52"/>
    </row>
    <row r="1659" spans="1:16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52"/>
    </row>
    <row r="1660" spans="1:16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52"/>
    </row>
    <row r="1661" spans="1:16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52"/>
    </row>
    <row r="1662" spans="1:16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52"/>
    </row>
    <row r="1663" spans="1:16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52"/>
    </row>
    <row r="1664" spans="1:16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52"/>
    </row>
    <row r="1665" spans="1:16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52"/>
    </row>
    <row r="1666" spans="1:16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52"/>
    </row>
    <row r="1667" spans="1:16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52"/>
    </row>
    <row r="1668" spans="1:16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52"/>
    </row>
    <row r="1669" spans="1:16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52"/>
    </row>
    <row r="1670" spans="1:16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52"/>
    </row>
    <row r="1671" spans="1:16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52"/>
    </row>
    <row r="1672" spans="1:16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52"/>
    </row>
    <row r="1673" spans="1:16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52"/>
    </row>
    <row r="1674" spans="1:16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52"/>
    </row>
    <row r="1675" spans="1:16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52"/>
    </row>
    <row r="1676" spans="1:16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52"/>
    </row>
    <row r="1677" spans="1:16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52"/>
    </row>
    <row r="1678" spans="1:16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152"/>
    </row>
    <row r="1679" spans="1:16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152"/>
    </row>
    <row r="1680" spans="1:16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152"/>
    </row>
    <row r="1681" spans="1:16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152"/>
    </row>
    <row r="1682" spans="1:16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152"/>
    </row>
    <row r="1683" spans="1:16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152"/>
    </row>
    <row r="1684" spans="1:16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152"/>
    </row>
    <row r="1685" spans="1:16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152"/>
    </row>
    <row r="1686" spans="1:16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152"/>
    </row>
    <row r="1687" spans="1:16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152"/>
    </row>
    <row r="1688" spans="1:16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152"/>
    </row>
    <row r="1689" spans="1:16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152"/>
    </row>
    <row r="1690" spans="1:16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152"/>
    </row>
    <row r="1691" spans="1:16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152"/>
    </row>
    <row r="1692" spans="1:16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152"/>
    </row>
    <row r="1693" spans="1:16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152"/>
    </row>
    <row r="1694" spans="1:16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152"/>
    </row>
    <row r="1695" spans="1:16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152"/>
    </row>
    <row r="1696" spans="1:16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152"/>
    </row>
    <row r="1697" spans="1:16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152"/>
    </row>
    <row r="1698" spans="1:16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152"/>
    </row>
    <row r="1699" spans="1:16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152"/>
    </row>
    <row r="1700" spans="1:16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152"/>
    </row>
    <row r="1701" spans="1:16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152"/>
    </row>
    <row r="1702" spans="1:16" s="28" customFormat="1" x14ac:dyDescent="0.25">
      <c r="A1702" s="56"/>
      <c r="B1702" s="61"/>
      <c r="C1702" s="61"/>
      <c r="D1702" s="35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152"/>
    </row>
    <row r="1703" spans="1:16" s="28" customFormat="1" x14ac:dyDescent="0.25">
      <c r="A1703" s="56"/>
      <c r="B1703" s="61"/>
      <c r="C1703" s="61"/>
      <c r="D1703" s="35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152"/>
    </row>
    <row r="1704" spans="1:16" s="28" customFormat="1" x14ac:dyDescent="0.25">
      <c r="A1704" s="56"/>
      <c r="B1704" s="61"/>
      <c r="C1704" s="61"/>
      <c r="D1704" s="35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152"/>
    </row>
    <row r="1705" spans="1:16" s="28" customFormat="1" x14ac:dyDescent="0.25">
      <c r="A1705" s="56"/>
      <c r="B1705" s="61"/>
      <c r="C1705" s="61"/>
      <c r="D1705" s="35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152"/>
    </row>
    <row r="1706" spans="1:16" s="28" customFormat="1" x14ac:dyDescent="0.25">
      <c r="A1706" s="56"/>
      <c r="B1706" s="61"/>
      <c r="C1706" s="61"/>
      <c r="D1706" s="35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152"/>
    </row>
    <row r="1707" spans="1:16" s="28" customFormat="1" x14ac:dyDescent="0.25">
      <c r="A1707" s="56"/>
      <c r="B1707" s="61"/>
      <c r="C1707" s="61"/>
      <c r="D1707" s="35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152"/>
    </row>
  </sheetData>
  <mergeCells count="25">
    <mergeCell ref="A334:D334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  <mergeCell ref="A11:P11"/>
    <mergeCell ref="A12:P12"/>
    <mergeCell ref="M15:N15"/>
    <mergeCell ref="O15:O16"/>
    <mergeCell ref="K3:P3"/>
    <mergeCell ref="K4:P4"/>
    <mergeCell ref="K5:P5"/>
    <mergeCell ref="K6:P6"/>
    <mergeCell ref="K8:P8"/>
  </mergeCells>
  <phoneticPr fontId="3" type="noConversion"/>
  <printOptions horizontalCentered="1"/>
  <pageMargins left="0.19685039370078741" right="0" top="0.86614173228346458" bottom="0.59055118110236227" header="0.59055118110236227" footer="0.31496062992125984"/>
  <pageSetup paperSize="9" scale="44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4" max="15" man="1"/>
    <brk id="62" max="15" man="1"/>
    <brk id="32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67"/>
  <sheetViews>
    <sheetView showGridLines="0" showZeros="0" view="pageBreakPreview" topLeftCell="A254" zoomScale="70" zoomScaleNormal="87" zoomScaleSheetLayoutView="70" workbookViewId="0">
      <selection activeCell="D265" sqref="D265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3.83203125" style="4" customWidth="1"/>
    <col min="6" max="6" width="22.33203125" style="4" customWidth="1"/>
    <col min="7" max="7" width="20.1640625" style="4" customWidth="1"/>
    <col min="8" max="8" width="19.6640625" style="4" customWidth="1"/>
    <col min="9" max="9" width="21.33203125" style="4" bestFit="1" customWidth="1"/>
    <col min="10" max="10" width="21.1640625" style="4" customWidth="1"/>
    <col min="11" max="11" width="19.83203125" style="4" customWidth="1"/>
    <col min="12" max="12" width="18" style="4" customWidth="1"/>
    <col min="13" max="13" width="14.83203125" style="4" customWidth="1"/>
    <col min="14" max="14" width="21.5" style="4" customWidth="1"/>
    <col min="15" max="15" width="22.83203125" style="4" customWidth="1"/>
    <col min="16" max="16384" width="9.1640625" style="4"/>
  </cols>
  <sheetData>
    <row r="1" spans="1:15" ht="27.75" customHeight="1" x14ac:dyDescent="0.4">
      <c r="J1" s="165" t="s">
        <v>623</v>
      </c>
      <c r="K1" s="165"/>
      <c r="L1" s="165"/>
      <c r="M1" s="165"/>
      <c r="N1" s="165"/>
      <c r="O1" s="165"/>
    </row>
    <row r="2" spans="1:15" ht="24" customHeight="1" x14ac:dyDescent="0.25">
      <c r="J2" s="91" t="s">
        <v>577</v>
      </c>
      <c r="K2" s="91"/>
      <c r="L2" s="91"/>
      <c r="M2" s="91"/>
      <c r="N2" s="91"/>
      <c r="O2" s="91"/>
    </row>
    <row r="3" spans="1:15" ht="26.25" customHeight="1" x14ac:dyDescent="0.4">
      <c r="J3" s="158" t="s">
        <v>576</v>
      </c>
      <c r="K3" s="158"/>
      <c r="L3" s="158"/>
      <c r="M3" s="158"/>
      <c r="N3" s="158"/>
      <c r="O3" s="158"/>
    </row>
    <row r="4" spans="1:15" ht="26.25" customHeight="1" x14ac:dyDescent="0.4">
      <c r="J4" s="158" t="s">
        <v>607</v>
      </c>
      <c r="K4" s="158"/>
      <c r="L4" s="158"/>
      <c r="M4" s="158"/>
      <c r="N4" s="158"/>
      <c r="O4" s="158"/>
    </row>
    <row r="5" spans="1:15" ht="29.25" customHeight="1" x14ac:dyDescent="0.4">
      <c r="J5" s="158" t="s">
        <v>608</v>
      </c>
      <c r="K5" s="158"/>
      <c r="L5" s="158"/>
      <c r="M5" s="158"/>
      <c r="N5" s="158"/>
      <c r="O5" s="158"/>
    </row>
    <row r="6" spans="1:15" ht="29.25" customHeight="1" x14ac:dyDescent="0.4">
      <c r="J6" s="158" t="s">
        <v>578</v>
      </c>
      <c r="K6" s="158"/>
      <c r="L6" s="158"/>
      <c r="M6" s="158"/>
      <c r="N6" s="158"/>
      <c r="O6" s="158"/>
    </row>
    <row r="7" spans="1:15" ht="29.25" customHeight="1" x14ac:dyDescent="0.4">
      <c r="J7" s="146" t="s">
        <v>534</v>
      </c>
      <c r="K7" s="146"/>
      <c r="L7" s="146"/>
      <c r="M7" s="146"/>
      <c r="N7" s="146"/>
      <c r="O7" s="146"/>
    </row>
    <row r="8" spans="1:15" ht="29.25" customHeight="1" x14ac:dyDescent="0.4">
      <c r="J8" s="158" t="s">
        <v>624</v>
      </c>
      <c r="K8" s="158"/>
      <c r="L8" s="158"/>
      <c r="M8" s="158"/>
      <c r="N8" s="158"/>
      <c r="O8" s="158"/>
    </row>
    <row r="9" spans="1:15" ht="29.25" customHeight="1" x14ac:dyDescent="0.25">
      <c r="J9" s="91"/>
      <c r="K9" s="91"/>
      <c r="L9" s="91"/>
      <c r="M9" s="91"/>
      <c r="N9" s="91"/>
      <c r="O9" s="91"/>
    </row>
    <row r="10" spans="1:15" ht="105.75" customHeight="1" x14ac:dyDescent="0.25">
      <c r="A10" s="166" t="s">
        <v>449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</row>
    <row r="11" spans="1:15" ht="23.25" customHeight="1" x14ac:dyDescent="0.25">
      <c r="A11" s="164" t="s">
        <v>583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</row>
    <row r="12" spans="1:15" ht="21" customHeight="1" x14ac:dyDescent="0.25">
      <c r="A12" s="155" t="s">
        <v>582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</row>
    <row r="13" spans="1:15" s="17" customFormat="1" ht="20.25" customHeight="1" x14ac:dyDescent="0.3">
      <c r="A13" s="14"/>
      <c r="B13" s="15"/>
      <c r="C13" s="16"/>
      <c r="O13" s="150" t="s">
        <v>358</v>
      </c>
    </row>
    <row r="14" spans="1:15" s="52" customFormat="1" ht="21.75" customHeight="1" x14ac:dyDescent="0.25">
      <c r="A14" s="157" t="s">
        <v>337</v>
      </c>
      <c r="B14" s="157" t="s">
        <v>327</v>
      </c>
      <c r="C14" s="157" t="s">
        <v>339</v>
      </c>
      <c r="D14" s="163" t="s">
        <v>224</v>
      </c>
      <c r="E14" s="163"/>
      <c r="F14" s="163"/>
      <c r="G14" s="163"/>
      <c r="H14" s="163"/>
      <c r="I14" s="163" t="s">
        <v>225</v>
      </c>
      <c r="J14" s="163"/>
      <c r="K14" s="163"/>
      <c r="L14" s="163"/>
      <c r="M14" s="163"/>
      <c r="N14" s="163"/>
      <c r="O14" s="163" t="s">
        <v>226</v>
      </c>
    </row>
    <row r="15" spans="1:15" s="52" customFormat="1" ht="29.25" customHeight="1" x14ac:dyDescent="0.25">
      <c r="A15" s="157"/>
      <c r="B15" s="157"/>
      <c r="C15" s="157"/>
      <c r="D15" s="162" t="s">
        <v>328</v>
      </c>
      <c r="E15" s="162" t="s">
        <v>227</v>
      </c>
      <c r="F15" s="156" t="s">
        <v>228</v>
      </c>
      <c r="G15" s="156"/>
      <c r="H15" s="162" t="s">
        <v>229</v>
      </c>
      <c r="I15" s="162" t="s">
        <v>328</v>
      </c>
      <c r="J15" s="162" t="s">
        <v>329</v>
      </c>
      <c r="K15" s="162" t="s">
        <v>227</v>
      </c>
      <c r="L15" s="156" t="s">
        <v>228</v>
      </c>
      <c r="M15" s="156"/>
      <c r="N15" s="162" t="s">
        <v>229</v>
      </c>
      <c r="O15" s="163"/>
    </row>
    <row r="16" spans="1:15" s="52" customFormat="1" ht="60.75" customHeight="1" x14ac:dyDescent="0.25">
      <c r="A16" s="157"/>
      <c r="B16" s="157"/>
      <c r="C16" s="157"/>
      <c r="D16" s="162"/>
      <c r="E16" s="162"/>
      <c r="F16" s="147" t="s">
        <v>230</v>
      </c>
      <c r="G16" s="147" t="s">
        <v>231</v>
      </c>
      <c r="H16" s="162"/>
      <c r="I16" s="162"/>
      <c r="J16" s="162"/>
      <c r="K16" s="162"/>
      <c r="L16" s="147" t="s">
        <v>230</v>
      </c>
      <c r="M16" s="147" t="s">
        <v>231</v>
      </c>
      <c r="N16" s="162"/>
      <c r="O16" s="163"/>
    </row>
    <row r="17" spans="1:15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261999596</v>
      </c>
      <c r="E17" s="48">
        <f t="shared" ref="E17:O17" si="0">E19+E20+E21+E22</f>
        <v>261999596</v>
      </c>
      <c r="F17" s="48">
        <f>F19+F20+F21+F22</f>
        <v>196794600</v>
      </c>
      <c r="G17" s="48">
        <f t="shared" si="0"/>
        <v>6384303</v>
      </c>
      <c r="H17" s="48">
        <f t="shared" si="0"/>
        <v>0</v>
      </c>
      <c r="I17" s="48">
        <f t="shared" si="0"/>
        <v>3100000</v>
      </c>
      <c r="J17" s="48">
        <f t="shared" si="0"/>
        <v>1200000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1200000</v>
      </c>
      <c r="O17" s="48">
        <f t="shared" si="0"/>
        <v>265099596</v>
      </c>
    </row>
    <row r="18" spans="1:15" s="52" customFormat="1" ht="61.5" hidden="1" customHeight="1" x14ac:dyDescent="0.25">
      <c r="A18" s="7"/>
      <c r="B18" s="8"/>
      <c r="C18" s="9" t="s">
        <v>439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119</v>
      </c>
      <c r="B19" s="37" t="s">
        <v>46</v>
      </c>
      <c r="C19" s="6" t="s">
        <v>493</v>
      </c>
      <c r="D19" s="49">
        <f>'дод 3'!E21+'дод 3'!E77+'дод 3'!E137+'дод 3'!E170+'дод 3'!E207+'дод 3'!E214+'дод 3'!E231+'дод 3'!E269+'дод 3'!E274+'дод 3'!E294+'дод 3'!E301+'дод 3'!E304+'дод 3'!E315+'дод 3'!E312</f>
        <v>260964096</v>
      </c>
      <c r="E19" s="49">
        <f>'дод 3'!F21+'дод 3'!F77+'дод 3'!F137+'дод 3'!F170+'дод 3'!F207+'дод 3'!F214+'дод 3'!F231+'дод 3'!F269+'дод 3'!F274+'дод 3'!F294+'дод 3'!F301+'дод 3'!F304+'дод 3'!F315+'дод 3'!F312</f>
        <v>260964096</v>
      </c>
      <c r="F19" s="49">
        <f>'дод 3'!G21+'дод 3'!G77+'дод 3'!G137+'дод 3'!G170+'дод 3'!G207+'дод 3'!G214+'дод 3'!G231+'дод 3'!G269+'дод 3'!G274+'дод 3'!G294+'дод 3'!G301+'дод 3'!G304+'дод 3'!G315+'дод 3'!G312</f>
        <v>196794600</v>
      </c>
      <c r="G19" s="49">
        <f>'дод 3'!H21+'дод 3'!H77+'дод 3'!H137+'дод 3'!H170+'дод 3'!H207+'дод 3'!H214+'дод 3'!H231+'дод 3'!H269+'дод 3'!H274+'дод 3'!H294+'дод 3'!H301+'дод 3'!H304+'дод 3'!H315+'дод 3'!H312</f>
        <v>6384303</v>
      </c>
      <c r="H19" s="49">
        <f>'дод 3'!I21+'дод 3'!I77+'дод 3'!I137+'дод 3'!I170+'дод 3'!I207+'дод 3'!I214+'дод 3'!I231+'дод 3'!I269+'дод 3'!I274+'дод 3'!I294+'дод 3'!I301+'дод 3'!I304+'дод 3'!I315+'дод 3'!I312</f>
        <v>0</v>
      </c>
      <c r="I19" s="49">
        <f>'дод 3'!J21+'дод 3'!J77+'дод 3'!J137+'дод 3'!J170+'дод 3'!J207+'дод 3'!J214+'дод 3'!J231+'дод 3'!J269+'дод 3'!J274+'дод 3'!J294+'дод 3'!J301+'дод 3'!J304+'дод 3'!J315+'дод 3'!J312</f>
        <v>3100000</v>
      </c>
      <c r="J19" s="49">
        <f>'дод 3'!K21+'дод 3'!K77+'дод 3'!K137+'дод 3'!K170+'дод 3'!K207+'дод 3'!K214+'дод 3'!K231+'дод 3'!K269+'дод 3'!K274+'дод 3'!K294+'дод 3'!K301+'дод 3'!K304+'дод 3'!K315+'дод 3'!K312</f>
        <v>1200000</v>
      </c>
      <c r="K19" s="49">
        <f>'дод 3'!L21+'дод 3'!L77+'дод 3'!L137+'дод 3'!L170+'дод 3'!L207+'дод 3'!L214+'дод 3'!L231+'дод 3'!L269+'дод 3'!L274+'дод 3'!L294+'дод 3'!L301+'дод 3'!L304+'дод 3'!L315+'дод 3'!L312</f>
        <v>1900000</v>
      </c>
      <c r="L19" s="49">
        <f>'дод 3'!M21+'дод 3'!M77+'дод 3'!M137+'дод 3'!M170+'дод 3'!M207+'дод 3'!M214+'дод 3'!M231+'дод 3'!M269+'дод 3'!M274+'дод 3'!M294+'дод 3'!M301+'дод 3'!M304+'дод 3'!M315+'дод 3'!M312</f>
        <v>1332000</v>
      </c>
      <c r="M19" s="49">
        <f>'дод 3'!N21+'дод 3'!N77+'дод 3'!N137+'дод 3'!N170+'дод 3'!N207+'дод 3'!N214+'дод 3'!N231+'дод 3'!N269+'дод 3'!N274+'дод 3'!N294+'дод 3'!N301+'дод 3'!N304+'дод 3'!N315+'дод 3'!N312</f>
        <v>71500</v>
      </c>
      <c r="N19" s="49">
        <f>'дод 3'!O21+'дод 3'!O77+'дод 3'!O137+'дод 3'!O170+'дод 3'!O207+'дод 3'!O214+'дод 3'!O231+'дод 3'!O269+'дод 3'!O274+'дод 3'!O294+'дод 3'!O301+'дод 3'!O304+'дод 3'!O315+'дод 3'!O312</f>
        <v>1200000</v>
      </c>
      <c r="O19" s="49">
        <f>'дод 3'!P21+'дод 3'!P77+'дод 3'!P137+'дод 3'!P170+'дод 3'!P207+'дод 3'!P214+'дод 3'!P231+'дод 3'!P269+'дод 3'!P274+'дод 3'!P294+'дод 3'!P301+'дод 3'!P304+'дод 3'!P315+'дод 3'!P312</f>
        <v>264064096</v>
      </c>
    </row>
    <row r="20" spans="1:15" ht="33" hidden="1" customHeight="1" x14ac:dyDescent="0.25">
      <c r="A20" s="58" t="s">
        <v>90</v>
      </c>
      <c r="B20" s="58" t="s">
        <v>461</v>
      </c>
      <c r="C20" s="6" t="s">
        <v>452</v>
      </c>
      <c r="D20" s="49">
        <f>'дод 3'!E22</f>
        <v>0</v>
      </c>
      <c r="E20" s="49">
        <f>'дод 3'!F22</f>
        <v>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0</v>
      </c>
    </row>
    <row r="21" spans="1:15" ht="22.5" customHeight="1" x14ac:dyDescent="0.25">
      <c r="A21" s="37" t="s">
        <v>45</v>
      </c>
      <c r="B21" s="37" t="s">
        <v>93</v>
      </c>
      <c r="C21" s="6" t="s">
        <v>242</v>
      </c>
      <c r="D21" s="49">
        <f>'дод 3'!E23+'дод 3'!E171+'дод 3'!E232</f>
        <v>1035500</v>
      </c>
      <c r="E21" s="49">
        <f>'дод 3'!F23+'дод 3'!F171+'дод 3'!F232</f>
        <v>1035500</v>
      </c>
      <c r="F21" s="49">
        <f>'дод 3'!G23+'дод 3'!G171+'дод 3'!G232</f>
        <v>0</v>
      </c>
      <c r="G21" s="49">
        <f>'дод 3'!H23+'дод 3'!H171+'дод 3'!H232</f>
        <v>0</v>
      </c>
      <c r="H21" s="49">
        <f>'дод 3'!I23+'дод 3'!I171+'дод 3'!I232</f>
        <v>0</v>
      </c>
      <c r="I21" s="49">
        <f>'дод 3'!J23+'дод 3'!J171+'дод 3'!J232</f>
        <v>0</v>
      </c>
      <c r="J21" s="49">
        <f>'дод 3'!K23+'дод 3'!K171+'дод 3'!K232</f>
        <v>0</v>
      </c>
      <c r="K21" s="49">
        <f>'дод 3'!L23+'дод 3'!L171+'дод 3'!L232</f>
        <v>0</v>
      </c>
      <c r="L21" s="49">
        <f>'дод 3'!M23+'дод 3'!M171+'дод 3'!M232</f>
        <v>0</v>
      </c>
      <c r="M21" s="49">
        <f>'дод 3'!N23+'дод 3'!N171+'дод 3'!N232</f>
        <v>0</v>
      </c>
      <c r="N21" s="49">
        <f>'дод 3'!O23+'дод 3'!O171+'дод 3'!O232</f>
        <v>0</v>
      </c>
      <c r="O21" s="49">
        <f>'дод 3'!P23+'дод 3'!P171+'дод 3'!P232</f>
        <v>1035500</v>
      </c>
    </row>
    <row r="22" spans="1:15" ht="27" hidden="1" customHeight="1" x14ac:dyDescent="0.25">
      <c r="A22" s="58" t="s">
        <v>435</v>
      </c>
      <c r="B22" s="58" t="s">
        <v>119</v>
      </c>
      <c r="C22" s="6" t="s">
        <v>436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77"/>
      <c r="B23" s="87"/>
      <c r="C23" s="78" t="s">
        <v>439</v>
      </c>
      <c r="D23" s="79">
        <f>'дод 3'!E25</f>
        <v>0</v>
      </c>
      <c r="E23" s="79">
        <f>'дод 3'!F25</f>
        <v>0</v>
      </c>
      <c r="F23" s="79">
        <f>'дод 3'!G25</f>
        <v>0</v>
      </c>
      <c r="G23" s="79">
        <f>'дод 3'!H25</f>
        <v>0</v>
      </c>
      <c r="H23" s="79">
        <f>'дод 3'!I25</f>
        <v>0</v>
      </c>
      <c r="I23" s="79">
        <f>'дод 3'!J25</f>
        <v>0</v>
      </c>
      <c r="J23" s="79">
        <f>'дод 3'!K25</f>
        <v>0</v>
      </c>
      <c r="K23" s="79">
        <f>'дод 3'!L25</f>
        <v>0</v>
      </c>
      <c r="L23" s="79">
        <f>'дод 3'!M25</f>
        <v>0</v>
      </c>
      <c r="M23" s="79">
        <f>'дод 3'!N25</f>
        <v>0</v>
      </c>
      <c r="N23" s="79">
        <f>'дод 3'!O25</f>
        <v>0</v>
      </c>
      <c r="O23" s="79">
        <f>'дод 3'!P25</f>
        <v>0</v>
      </c>
    </row>
    <row r="24" spans="1:15" s="52" customFormat="1" ht="18.75" customHeight="1" x14ac:dyDescent="0.25">
      <c r="A24" s="38" t="s">
        <v>47</v>
      </c>
      <c r="B24" s="39"/>
      <c r="C24" s="9" t="s">
        <v>403</v>
      </c>
      <c r="D24" s="48">
        <f>D36+D38+D45+D47+D48+D51+D53+D55+D58+D60+D61+D62+D63+D64+D65+D67+D68+D69+D71+D73+D75+D77</f>
        <v>1158386062.52</v>
      </c>
      <c r="E24" s="48">
        <f t="shared" ref="E24:O24" si="2">E36+E38+E45+E47+E48+E51+E53+E55+E58+E60+E61+E62+E63+E64+E65+E67+E68+E69+E71+E73+E75+E77</f>
        <v>1158386062.52</v>
      </c>
      <c r="F24" s="48">
        <f t="shared" si="2"/>
        <v>809430300</v>
      </c>
      <c r="G24" s="48">
        <f t="shared" si="2"/>
        <v>87415170</v>
      </c>
      <c r="H24" s="48">
        <f t="shared" si="2"/>
        <v>0</v>
      </c>
      <c r="I24" s="48">
        <f t="shared" si="2"/>
        <v>53874945.18</v>
      </c>
      <c r="J24" s="48">
        <f t="shared" si="2"/>
        <v>14255345.18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14258475.18</v>
      </c>
      <c r="O24" s="48">
        <f t="shared" si="2"/>
        <v>1212261007.7</v>
      </c>
    </row>
    <row r="25" spans="1:15" s="53" customFormat="1" ht="31.5" x14ac:dyDescent="0.25">
      <c r="A25" s="70"/>
      <c r="B25" s="73"/>
      <c r="C25" s="74" t="s">
        <v>389</v>
      </c>
      <c r="D25" s="75">
        <f>D49+D52+D54</f>
        <v>482448000</v>
      </c>
      <c r="E25" s="75">
        <f t="shared" ref="E25:O25" si="3">E49+E52+E54</f>
        <v>482448000</v>
      </c>
      <c r="F25" s="75">
        <f t="shared" si="3"/>
        <v>395816000</v>
      </c>
      <c r="G25" s="75">
        <f t="shared" si="3"/>
        <v>0</v>
      </c>
      <c r="H25" s="75">
        <f t="shared" si="3"/>
        <v>0</v>
      </c>
      <c r="I25" s="75">
        <f t="shared" si="3"/>
        <v>0</v>
      </c>
      <c r="J25" s="75">
        <f t="shared" si="3"/>
        <v>0</v>
      </c>
      <c r="K25" s="75">
        <f t="shared" si="3"/>
        <v>0</v>
      </c>
      <c r="L25" s="75">
        <f t="shared" si="3"/>
        <v>0</v>
      </c>
      <c r="M25" s="75">
        <f t="shared" si="3"/>
        <v>0</v>
      </c>
      <c r="N25" s="75">
        <f t="shared" si="3"/>
        <v>0</v>
      </c>
      <c r="O25" s="75">
        <f t="shared" si="3"/>
        <v>482448000</v>
      </c>
    </row>
    <row r="26" spans="1:15" s="53" customFormat="1" ht="47.25" x14ac:dyDescent="0.25">
      <c r="A26" s="70"/>
      <c r="B26" s="73"/>
      <c r="C26" s="76" t="s">
        <v>543</v>
      </c>
      <c r="D26" s="75">
        <f>D56</f>
        <v>363000</v>
      </c>
      <c r="E26" s="75">
        <f t="shared" ref="E26:O26" si="4">E56</f>
        <v>363000</v>
      </c>
      <c r="F26" s="75">
        <f t="shared" si="4"/>
        <v>0</v>
      </c>
      <c r="G26" s="75">
        <f t="shared" si="4"/>
        <v>0</v>
      </c>
      <c r="H26" s="75">
        <f t="shared" si="4"/>
        <v>0</v>
      </c>
      <c r="I26" s="75">
        <f t="shared" si="4"/>
        <v>1637000</v>
      </c>
      <c r="J26" s="75">
        <f t="shared" si="4"/>
        <v>1637000</v>
      </c>
      <c r="K26" s="75">
        <f t="shared" si="4"/>
        <v>0</v>
      </c>
      <c r="L26" s="75">
        <f t="shared" si="4"/>
        <v>0</v>
      </c>
      <c r="M26" s="75">
        <f t="shared" si="4"/>
        <v>0</v>
      </c>
      <c r="N26" s="75">
        <f t="shared" si="4"/>
        <v>1637000</v>
      </c>
      <c r="O26" s="75">
        <f t="shared" si="4"/>
        <v>2000000</v>
      </c>
    </row>
    <row r="27" spans="1:15" s="53" customFormat="1" ht="47.25" x14ac:dyDescent="0.25">
      <c r="A27" s="70"/>
      <c r="B27" s="73"/>
      <c r="C27" s="74" t="s">
        <v>384</v>
      </c>
      <c r="D27" s="75">
        <f>D50+D66</f>
        <v>3578416</v>
      </c>
      <c r="E27" s="75">
        <f t="shared" ref="E27:O27" si="5">E50+E66</f>
        <v>3578416</v>
      </c>
      <c r="F27" s="75">
        <f t="shared" si="5"/>
        <v>1228720</v>
      </c>
      <c r="G27" s="75">
        <f t="shared" si="5"/>
        <v>0</v>
      </c>
      <c r="H27" s="75">
        <f t="shared" si="5"/>
        <v>0</v>
      </c>
      <c r="I27" s="75">
        <f t="shared" si="5"/>
        <v>0</v>
      </c>
      <c r="J27" s="75">
        <f t="shared" si="5"/>
        <v>0</v>
      </c>
      <c r="K27" s="75">
        <f t="shared" si="5"/>
        <v>0</v>
      </c>
      <c r="L27" s="75">
        <f t="shared" si="5"/>
        <v>0</v>
      </c>
      <c r="M27" s="75">
        <f t="shared" si="5"/>
        <v>0</v>
      </c>
      <c r="N27" s="75">
        <f t="shared" si="5"/>
        <v>0</v>
      </c>
      <c r="O27" s="75">
        <f t="shared" si="5"/>
        <v>3578416</v>
      </c>
    </row>
    <row r="28" spans="1:15" s="53" customFormat="1" ht="47.25" hidden="1" x14ac:dyDescent="0.25">
      <c r="A28" s="70"/>
      <c r="B28" s="73"/>
      <c r="C28" s="74" t="s">
        <v>386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s="53" customFormat="1" ht="50.25" customHeight="1" x14ac:dyDescent="0.25">
      <c r="A29" s="70"/>
      <c r="B29" s="73"/>
      <c r="C29" s="76" t="s">
        <v>383</v>
      </c>
      <c r="D29" s="75">
        <f>D76</f>
        <v>2417470</v>
      </c>
      <c r="E29" s="75">
        <f t="shared" ref="E29:O29" si="6">E76</f>
        <v>2417470</v>
      </c>
      <c r="F29" s="75">
        <f t="shared" si="6"/>
        <v>1299695</v>
      </c>
      <c r="G29" s="75">
        <f t="shared" si="6"/>
        <v>0</v>
      </c>
      <c r="H29" s="75">
        <f t="shared" si="6"/>
        <v>0</v>
      </c>
      <c r="I29" s="75">
        <f t="shared" si="6"/>
        <v>72000</v>
      </c>
      <c r="J29" s="75">
        <f t="shared" si="6"/>
        <v>72000</v>
      </c>
      <c r="K29" s="75">
        <f t="shared" si="6"/>
        <v>0</v>
      </c>
      <c r="L29" s="75">
        <f t="shared" si="6"/>
        <v>0</v>
      </c>
      <c r="M29" s="75">
        <f t="shared" si="6"/>
        <v>0</v>
      </c>
      <c r="N29" s="75">
        <f t="shared" si="6"/>
        <v>72000</v>
      </c>
      <c r="O29" s="75">
        <f t="shared" si="6"/>
        <v>2489470</v>
      </c>
    </row>
    <row r="30" spans="1:15" s="53" customFormat="1" ht="63" hidden="1" x14ac:dyDescent="0.25">
      <c r="A30" s="70"/>
      <c r="B30" s="73"/>
      <c r="C30" s="74" t="s">
        <v>385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s="53" customFormat="1" ht="63" x14ac:dyDescent="0.25">
      <c r="A31" s="70"/>
      <c r="B31" s="70"/>
      <c r="C31" s="76" t="s">
        <v>523</v>
      </c>
      <c r="D31" s="75">
        <f>D78</f>
        <v>1315285.79</v>
      </c>
      <c r="E31" s="75">
        <f t="shared" ref="E31:O31" si="7">E78</f>
        <v>1315285.79</v>
      </c>
      <c r="F31" s="75">
        <f t="shared" si="7"/>
        <v>1034620</v>
      </c>
      <c r="G31" s="75">
        <f t="shared" si="7"/>
        <v>0</v>
      </c>
      <c r="H31" s="75">
        <f t="shared" si="7"/>
        <v>0</v>
      </c>
      <c r="I31" s="75">
        <f t="shared" si="7"/>
        <v>0</v>
      </c>
      <c r="J31" s="75">
        <f t="shared" si="7"/>
        <v>0</v>
      </c>
      <c r="K31" s="75">
        <f t="shared" si="7"/>
        <v>0</v>
      </c>
      <c r="L31" s="75">
        <f t="shared" si="7"/>
        <v>0</v>
      </c>
      <c r="M31" s="75">
        <f t="shared" si="7"/>
        <v>0</v>
      </c>
      <c r="N31" s="75">
        <f t="shared" si="7"/>
        <v>0</v>
      </c>
      <c r="O31" s="75">
        <f t="shared" si="7"/>
        <v>1315285.79</v>
      </c>
    </row>
    <row r="32" spans="1:15" s="53" customFormat="1" ht="31.5" x14ac:dyDescent="0.25">
      <c r="A32" s="70"/>
      <c r="B32" s="70"/>
      <c r="C32" s="76" t="s">
        <v>540</v>
      </c>
      <c r="D32" s="75">
        <f>D57+D59</f>
        <v>741017.59999999998</v>
      </c>
      <c r="E32" s="75">
        <f t="shared" ref="E32:O32" si="8">E57+E59</f>
        <v>741017.59999999998</v>
      </c>
      <c r="F32" s="75">
        <f t="shared" si="8"/>
        <v>0</v>
      </c>
      <c r="G32" s="75">
        <f t="shared" si="8"/>
        <v>0</v>
      </c>
      <c r="H32" s="75">
        <f t="shared" si="8"/>
        <v>0</v>
      </c>
      <c r="I32" s="75">
        <f t="shared" si="8"/>
        <v>4356725.18</v>
      </c>
      <c r="J32" s="75">
        <f t="shared" si="8"/>
        <v>4356725.18</v>
      </c>
      <c r="K32" s="75">
        <f t="shared" si="8"/>
        <v>0</v>
      </c>
      <c r="L32" s="75">
        <f t="shared" si="8"/>
        <v>0</v>
      </c>
      <c r="M32" s="75">
        <f t="shared" si="8"/>
        <v>0</v>
      </c>
      <c r="N32" s="75">
        <f t="shared" si="8"/>
        <v>4356725.18</v>
      </c>
      <c r="O32" s="75">
        <f t="shared" si="8"/>
        <v>5097742.7799999993</v>
      </c>
    </row>
    <row r="33" spans="1:15" s="53" customFormat="1" ht="55.5" customHeight="1" x14ac:dyDescent="0.25">
      <c r="A33" s="70"/>
      <c r="B33" s="70"/>
      <c r="C33" s="76" t="s">
        <v>602</v>
      </c>
      <c r="D33" s="75">
        <f>D70</f>
        <v>287772</v>
      </c>
      <c r="E33" s="75">
        <f t="shared" ref="E33:O33" si="9">E70</f>
        <v>287772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2859728</v>
      </c>
      <c r="J33" s="75">
        <f t="shared" si="9"/>
        <v>2859728</v>
      </c>
      <c r="K33" s="75">
        <f t="shared" si="9"/>
        <v>0</v>
      </c>
      <c r="L33" s="75">
        <f t="shared" si="9"/>
        <v>0</v>
      </c>
      <c r="M33" s="75">
        <f t="shared" si="9"/>
        <v>0</v>
      </c>
      <c r="N33" s="75">
        <f t="shared" si="9"/>
        <v>2859728</v>
      </c>
      <c r="O33" s="75">
        <f t="shared" si="9"/>
        <v>3147500</v>
      </c>
    </row>
    <row r="34" spans="1:15" s="53" customFormat="1" ht="63" x14ac:dyDescent="0.25">
      <c r="A34" s="70"/>
      <c r="B34" s="70"/>
      <c r="C34" s="76" t="s">
        <v>559</v>
      </c>
      <c r="D34" s="75">
        <f>D74</f>
        <v>6262701.0999999996</v>
      </c>
      <c r="E34" s="75">
        <f t="shared" ref="E34:O34" si="10">E74</f>
        <v>6262701.0999999996</v>
      </c>
      <c r="F34" s="75">
        <f t="shared" si="10"/>
        <v>57829</v>
      </c>
      <c r="G34" s="75">
        <f t="shared" si="10"/>
        <v>0</v>
      </c>
      <c r="H34" s="75">
        <f t="shared" si="10"/>
        <v>0</v>
      </c>
      <c r="I34" s="75">
        <f t="shared" si="10"/>
        <v>644361.9</v>
      </c>
      <c r="J34" s="75">
        <f t="shared" si="10"/>
        <v>644361.9</v>
      </c>
      <c r="K34" s="75">
        <f t="shared" si="10"/>
        <v>0</v>
      </c>
      <c r="L34" s="75">
        <f t="shared" si="10"/>
        <v>0</v>
      </c>
      <c r="M34" s="75">
        <f t="shared" si="10"/>
        <v>0</v>
      </c>
      <c r="N34" s="75">
        <f t="shared" si="10"/>
        <v>644361.9</v>
      </c>
      <c r="O34" s="75">
        <f t="shared" si="10"/>
        <v>6907063</v>
      </c>
    </row>
    <row r="35" spans="1:15" s="53" customFormat="1" x14ac:dyDescent="0.25">
      <c r="A35" s="70"/>
      <c r="B35" s="70"/>
      <c r="C35" s="76" t="s">
        <v>395</v>
      </c>
      <c r="D35" s="75">
        <f>D72</f>
        <v>150000</v>
      </c>
      <c r="E35" s="75">
        <f t="shared" ref="E35:O35" si="11">E72</f>
        <v>150000</v>
      </c>
      <c r="F35" s="75">
        <f t="shared" si="11"/>
        <v>0</v>
      </c>
      <c r="G35" s="75">
        <f t="shared" si="11"/>
        <v>0</v>
      </c>
      <c r="H35" s="75">
        <f t="shared" si="11"/>
        <v>0</v>
      </c>
      <c r="I35" s="75">
        <f t="shared" si="11"/>
        <v>0</v>
      </c>
      <c r="J35" s="75">
        <f t="shared" si="11"/>
        <v>0</v>
      </c>
      <c r="K35" s="75">
        <f t="shared" si="11"/>
        <v>0</v>
      </c>
      <c r="L35" s="75">
        <f t="shared" si="11"/>
        <v>0</v>
      </c>
      <c r="M35" s="75">
        <f t="shared" si="11"/>
        <v>0</v>
      </c>
      <c r="N35" s="75">
        <f t="shared" si="11"/>
        <v>0</v>
      </c>
      <c r="O35" s="75">
        <f t="shared" si="11"/>
        <v>150000</v>
      </c>
    </row>
    <row r="36" spans="1:15" ht="17.25" customHeight="1" x14ac:dyDescent="0.25">
      <c r="A36" s="37" t="s">
        <v>48</v>
      </c>
      <c r="B36" s="37" t="s">
        <v>49</v>
      </c>
      <c r="C36" s="6" t="s">
        <v>502</v>
      </c>
      <c r="D36" s="49">
        <f>'дод 3'!E78</f>
        <v>312891086</v>
      </c>
      <c r="E36" s="49">
        <f>'дод 3'!F78</f>
        <v>312891086</v>
      </c>
      <c r="F36" s="49">
        <f>'дод 3'!G78</f>
        <v>204672330</v>
      </c>
      <c r="G36" s="49">
        <f>'дод 3'!H78</f>
        <v>32970107</v>
      </c>
      <c r="H36" s="49">
        <f>'дод 3'!I78</f>
        <v>0</v>
      </c>
      <c r="I36" s="49">
        <f>'дод 3'!J78</f>
        <v>13014798</v>
      </c>
      <c r="J36" s="49">
        <f>'дод 3'!K78</f>
        <v>1255098</v>
      </c>
      <c r="K36" s="49">
        <f>'дод 3'!L78</f>
        <v>11759700</v>
      </c>
      <c r="L36" s="49">
        <f>'дод 3'!M78</f>
        <v>0</v>
      </c>
      <c r="M36" s="49">
        <f>'дод 3'!N78</f>
        <v>0</v>
      </c>
      <c r="N36" s="49">
        <f>'дод 3'!O78</f>
        <v>1255098</v>
      </c>
      <c r="O36" s="49">
        <f>'дод 3'!P78</f>
        <v>325905884</v>
      </c>
    </row>
    <row r="37" spans="1:15" s="54" customFormat="1" ht="47.25" hidden="1" customHeight="1" x14ac:dyDescent="0.25">
      <c r="A37" s="77"/>
      <c r="B37" s="77"/>
      <c r="C37" s="78" t="s">
        <v>383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ht="38.25" customHeight="1" x14ac:dyDescent="0.25">
      <c r="A38" s="37">
        <v>1021</v>
      </c>
      <c r="B38" s="37" t="s">
        <v>51</v>
      </c>
      <c r="C38" s="60" t="s">
        <v>470</v>
      </c>
      <c r="D38" s="49">
        <f>'дод 3'!E79</f>
        <v>224822308.69999999</v>
      </c>
      <c r="E38" s="49">
        <f>'дод 3'!F79</f>
        <v>224822308.69999999</v>
      </c>
      <c r="F38" s="49">
        <f>'дод 3'!G79</f>
        <v>116673485.94</v>
      </c>
      <c r="G38" s="49">
        <f>'дод 3'!H79</f>
        <v>46189009.549999997</v>
      </c>
      <c r="H38" s="49">
        <f>'дод 3'!I79</f>
        <v>0</v>
      </c>
      <c r="I38" s="49">
        <f>'дод 3'!J79</f>
        <v>26423904</v>
      </c>
      <c r="J38" s="49">
        <f>'дод 3'!K79</f>
        <v>1293104</v>
      </c>
      <c r="K38" s="49">
        <f>'дод 3'!L79</f>
        <v>25130800</v>
      </c>
      <c r="L38" s="49">
        <f>'дод 3'!M79</f>
        <v>2268060</v>
      </c>
      <c r="M38" s="49">
        <f>'дод 3'!N79</f>
        <v>139890</v>
      </c>
      <c r="N38" s="49">
        <f>'дод 3'!O79</f>
        <v>1293104</v>
      </c>
      <c r="O38" s="49">
        <f>'дод 3'!P79</f>
        <v>251246212.69999999</v>
      </c>
    </row>
    <row r="39" spans="1:15" s="54" customFormat="1" ht="63" hidden="1" customHeight="1" x14ac:dyDescent="0.25">
      <c r="A39" s="77"/>
      <c r="B39" s="77"/>
      <c r="C39" s="78" t="s">
        <v>387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 s="54" customFormat="1" ht="47.25" hidden="1" customHeight="1" x14ac:dyDescent="0.25">
      <c r="A40" s="77"/>
      <c r="B40" s="77"/>
      <c r="C40" s="78" t="s">
        <v>384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 s="54" customFormat="1" ht="47.25" hidden="1" customHeight="1" x14ac:dyDescent="0.25">
      <c r="A41" s="77"/>
      <c r="B41" s="77"/>
      <c r="C41" s="78" t="s">
        <v>386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 s="54" customFormat="1" ht="47.25" hidden="1" customHeight="1" x14ac:dyDescent="0.25">
      <c r="A42" s="77"/>
      <c r="B42" s="77"/>
      <c r="C42" s="78" t="s">
        <v>383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 s="54" customFormat="1" ht="31.5" hidden="1" customHeight="1" x14ac:dyDescent="0.25">
      <c r="A43" s="77"/>
      <c r="B43" s="77"/>
      <c r="C43" s="78" t="s">
        <v>389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1:15" s="54" customFormat="1" ht="63" hidden="1" customHeight="1" x14ac:dyDescent="0.25">
      <c r="A44" s="77"/>
      <c r="B44" s="77"/>
      <c r="C44" s="78" t="s">
        <v>385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15" ht="69.75" customHeight="1" x14ac:dyDescent="0.25">
      <c r="A45" s="37">
        <v>1022</v>
      </c>
      <c r="B45" s="59" t="s">
        <v>55</v>
      </c>
      <c r="C45" s="36" t="s">
        <v>472</v>
      </c>
      <c r="D45" s="49">
        <f>'дод 3'!E80</f>
        <v>15021607</v>
      </c>
      <c r="E45" s="49">
        <f>'дод 3'!F80</f>
        <v>15021607</v>
      </c>
      <c r="F45" s="49">
        <f>'дод 3'!G80</f>
        <v>8830500</v>
      </c>
      <c r="G45" s="49">
        <f>'дод 3'!H80</f>
        <v>2117607</v>
      </c>
      <c r="H45" s="49">
        <f>'дод 3'!I80</f>
        <v>0</v>
      </c>
      <c r="I45" s="49">
        <f>'дод 3'!J80</f>
        <v>97000</v>
      </c>
      <c r="J45" s="49">
        <f>'дод 3'!K80</f>
        <v>97000</v>
      </c>
      <c r="K45" s="49">
        <f>'дод 3'!L80</f>
        <v>0</v>
      </c>
      <c r="L45" s="49">
        <f>'дод 3'!M80</f>
        <v>0</v>
      </c>
      <c r="M45" s="49">
        <f>'дод 3'!N80</f>
        <v>0</v>
      </c>
      <c r="N45" s="49">
        <f>'дод 3'!O80</f>
        <v>97000</v>
      </c>
      <c r="O45" s="49">
        <f>'дод 3'!P80</f>
        <v>15118607</v>
      </c>
    </row>
    <row r="46" spans="1:15" ht="63" hidden="1" x14ac:dyDescent="0.25">
      <c r="A46" s="37"/>
      <c r="B46" s="37"/>
      <c r="C46" s="78" t="s">
        <v>387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63" x14ac:dyDescent="0.25">
      <c r="A47" s="37">
        <v>1025</v>
      </c>
      <c r="B47" s="37" t="s">
        <v>55</v>
      </c>
      <c r="C47" s="3" t="s">
        <v>598</v>
      </c>
      <c r="D47" s="49">
        <f>'дод 3'!E81</f>
        <v>4167674.43</v>
      </c>
      <c r="E47" s="49">
        <f>'дод 3'!F81</f>
        <v>4167674.43</v>
      </c>
      <c r="F47" s="49">
        <f>'дод 3'!G81</f>
        <v>2829220.06</v>
      </c>
      <c r="G47" s="49">
        <f>'дод 3'!H81</f>
        <v>410366.45</v>
      </c>
      <c r="H47" s="49">
        <f>'дод 3'!I81</f>
        <v>0</v>
      </c>
      <c r="I47" s="49">
        <f>'дод 3'!J81</f>
        <v>0</v>
      </c>
      <c r="J47" s="49">
        <f>'дод 3'!K81</f>
        <v>0</v>
      </c>
      <c r="K47" s="49">
        <f>'дод 3'!L81</f>
        <v>0</v>
      </c>
      <c r="L47" s="49">
        <f>'дод 3'!M81</f>
        <v>0</v>
      </c>
      <c r="M47" s="49">
        <f>'дод 3'!N81</f>
        <v>0</v>
      </c>
      <c r="N47" s="49">
        <f>'дод 3'!O81</f>
        <v>0</v>
      </c>
      <c r="O47" s="49">
        <f>'дод 3'!P81</f>
        <v>4167674.43</v>
      </c>
    </row>
    <row r="48" spans="1:15" s="54" customFormat="1" ht="35.25" customHeight="1" x14ac:dyDescent="0.25">
      <c r="A48" s="92">
        <v>1031</v>
      </c>
      <c r="B48" s="59" t="s">
        <v>51</v>
      </c>
      <c r="C48" s="60" t="s">
        <v>503</v>
      </c>
      <c r="D48" s="49">
        <f>'дод 3'!E82</f>
        <v>468297758.54000002</v>
      </c>
      <c r="E48" s="49">
        <f>'дод 3'!F82</f>
        <v>468297758.54000002</v>
      </c>
      <c r="F48" s="49">
        <f>'дод 3'!G82</f>
        <v>382501138.35000002</v>
      </c>
      <c r="G48" s="49">
        <f>'дод 3'!H82</f>
        <v>0</v>
      </c>
      <c r="H48" s="49">
        <f>'дод 3'!I82</f>
        <v>0</v>
      </c>
      <c r="I48" s="49">
        <f>'дод 3'!J82</f>
        <v>0</v>
      </c>
      <c r="J48" s="49">
        <f>'дод 3'!K82</f>
        <v>0</v>
      </c>
      <c r="K48" s="49">
        <f>'дод 3'!L82</f>
        <v>0</v>
      </c>
      <c r="L48" s="49">
        <f>'дод 3'!M82</f>
        <v>0</v>
      </c>
      <c r="M48" s="49">
        <f>'дод 3'!N82</f>
        <v>0</v>
      </c>
      <c r="N48" s="49">
        <f>'дод 3'!O82</f>
        <v>0</v>
      </c>
      <c r="O48" s="49">
        <f>'дод 3'!P82</f>
        <v>468297758.54000002</v>
      </c>
    </row>
    <row r="49" spans="1:15" s="54" customFormat="1" ht="31.5" x14ac:dyDescent="0.25">
      <c r="A49" s="77"/>
      <c r="B49" s="77"/>
      <c r="C49" s="86" t="s">
        <v>389</v>
      </c>
      <c r="D49" s="79">
        <f>'дод 3'!E83</f>
        <v>466218378.54000002</v>
      </c>
      <c r="E49" s="79">
        <f>'дод 3'!F83</f>
        <v>466218378.54000002</v>
      </c>
      <c r="F49" s="79">
        <f>'дод 3'!G83</f>
        <v>382501138.35000002</v>
      </c>
      <c r="G49" s="79">
        <f>'дод 3'!H83</f>
        <v>0</v>
      </c>
      <c r="H49" s="79">
        <f>'дод 3'!I83</f>
        <v>0</v>
      </c>
      <c r="I49" s="79">
        <f>'дод 3'!J83</f>
        <v>0</v>
      </c>
      <c r="J49" s="79">
        <f>'дод 3'!K83</f>
        <v>0</v>
      </c>
      <c r="K49" s="79">
        <f>'дод 3'!L83</f>
        <v>0</v>
      </c>
      <c r="L49" s="79">
        <f>'дод 3'!M83</f>
        <v>0</v>
      </c>
      <c r="M49" s="79">
        <f>'дод 3'!N83</f>
        <v>0</v>
      </c>
      <c r="N49" s="79">
        <f>'дод 3'!O83</f>
        <v>0</v>
      </c>
      <c r="O49" s="79">
        <f>'дод 3'!P83</f>
        <v>466218378.54000002</v>
      </c>
    </row>
    <row r="50" spans="1:15" ht="50.25" customHeight="1" x14ac:dyDescent="0.25">
      <c r="A50" s="37"/>
      <c r="B50" s="37"/>
      <c r="C50" s="86" t="s">
        <v>384</v>
      </c>
      <c r="D50" s="79">
        <f>'дод 3'!E84</f>
        <v>2079380</v>
      </c>
      <c r="E50" s="79">
        <f>'дод 3'!F84</f>
        <v>2079380</v>
      </c>
      <c r="F50" s="79">
        <f>'дод 3'!G84</f>
        <v>0</v>
      </c>
      <c r="G50" s="79">
        <f>'дод 3'!H84</f>
        <v>0</v>
      </c>
      <c r="H50" s="79">
        <f>'дод 3'!I84</f>
        <v>0</v>
      </c>
      <c r="I50" s="79">
        <f>'дод 3'!J84</f>
        <v>0</v>
      </c>
      <c r="J50" s="79">
        <f>'дод 3'!K84</f>
        <v>0</v>
      </c>
      <c r="K50" s="79">
        <f>'дод 3'!L84</f>
        <v>0</v>
      </c>
      <c r="L50" s="79">
        <f>'дод 3'!M84</f>
        <v>0</v>
      </c>
      <c r="M50" s="79">
        <f>'дод 3'!N84</f>
        <v>0</v>
      </c>
      <c r="N50" s="79">
        <f>'дод 3'!O84</f>
        <v>0</v>
      </c>
      <c r="O50" s="79">
        <f>'дод 3'!P84</f>
        <v>2079380</v>
      </c>
    </row>
    <row r="51" spans="1:15" ht="63.75" customHeight="1" x14ac:dyDescent="0.25">
      <c r="A51" s="59" t="s">
        <v>475</v>
      </c>
      <c r="B51" s="59" t="s">
        <v>55</v>
      </c>
      <c r="C51" s="60" t="s">
        <v>504</v>
      </c>
      <c r="D51" s="49">
        <f>'дод 3'!E85</f>
        <v>15808500</v>
      </c>
      <c r="E51" s="49">
        <f>'дод 3'!F85</f>
        <v>15808500</v>
      </c>
      <c r="F51" s="49">
        <f>'дод 3'!G85</f>
        <v>12969100</v>
      </c>
      <c r="G51" s="49">
        <f>'дод 3'!H85</f>
        <v>0</v>
      </c>
      <c r="H51" s="49">
        <f>'дод 3'!I85</f>
        <v>0</v>
      </c>
      <c r="I51" s="49">
        <f>'дод 3'!J85</f>
        <v>0</v>
      </c>
      <c r="J51" s="49">
        <f>'дод 3'!K85</f>
        <v>0</v>
      </c>
      <c r="K51" s="49">
        <f>'дод 3'!L85</f>
        <v>0</v>
      </c>
      <c r="L51" s="49">
        <f>'дод 3'!M85</f>
        <v>0</v>
      </c>
      <c r="M51" s="49">
        <f>'дод 3'!N85</f>
        <v>0</v>
      </c>
      <c r="N51" s="49">
        <f>'дод 3'!O85</f>
        <v>0</v>
      </c>
      <c r="O51" s="49">
        <f>'дод 3'!P85</f>
        <v>15808500</v>
      </c>
    </row>
    <row r="52" spans="1:15" ht="31.5" x14ac:dyDescent="0.25">
      <c r="A52" s="37"/>
      <c r="B52" s="37"/>
      <c r="C52" s="86" t="s">
        <v>389</v>
      </c>
      <c r="D52" s="79">
        <f>'дод 3'!E86</f>
        <v>15808500</v>
      </c>
      <c r="E52" s="79">
        <f>'дод 3'!F86</f>
        <v>15808500</v>
      </c>
      <c r="F52" s="79">
        <f>'дод 3'!G86</f>
        <v>12969100</v>
      </c>
      <c r="G52" s="79">
        <f>'дод 3'!H86</f>
        <v>0</v>
      </c>
      <c r="H52" s="79">
        <f>'дод 3'!I86</f>
        <v>0</v>
      </c>
      <c r="I52" s="79">
        <f>'дод 3'!J86</f>
        <v>0</v>
      </c>
      <c r="J52" s="79">
        <f>'дод 3'!K86</f>
        <v>0</v>
      </c>
      <c r="K52" s="79">
        <f>'дод 3'!L86</f>
        <v>0</v>
      </c>
      <c r="L52" s="79">
        <f>'дод 3'!M86</f>
        <v>0</v>
      </c>
      <c r="M52" s="79">
        <f>'дод 3'!N86</f>
        <v>0</v>
      </c>
      <c r="N52" s="79">
        <f>'дод 3'!O86</f>
        <v>0</v>
      </c>
      <c r="O52" s="79">
        <f>'дод 3'!P86</f>
        <v>15808500</v>
      </c>
    </row>
    <row r="53" spans="1:15" ht="66.75" customHeight="1" x14ac:dyDescent="0.25">
      <c r="A53" s="37">
        <v>1035</v>
      </c>
      <c r="B53" s="37" t="s">
        <v>55</v>
      </c>
      <c r="C53" s="36" t="s">
        <v>600</v>
      </c>
      <c r="D53" s="49">
        <f>'дод 3'!E87</f>
        <v>421121.46</v>
      </c>
      <c r="E53" s="49">
        <f>'дод 3'!F87</f>
        <v>421121.46</v>
      </c>
      <c r="F53" s="49">
        <f>'дод 3'!G87</f>
        <v>345761.65</v>
      </c>
      <c r="G53" s="49">
        <f>'дод 3'!H87</f>
        <v>0</v>
      </c>
      <c r="H53" s="49">
        <f>'дод 3'!I87</f>
        <v>0</v>
      </c>
      <c r="I53" s="49">
        <f>'дод 3'!J87</f>
        <v>0</v>
      </c>
      <c r="J53" s="49">
        <f>'дод 3'!K87</f>
        <v>0</v>
      </c>
      <c r="K53" s="49">
        <f>'дод 3'!L87</f>
        <v>0</v>
      </c>
      <c r="L53" s="49">
        <f>'дод 3'!M87</f>
        <v>0</v>
      </c>
      <c r="M53" s="49">
        <f>'дод 3'!N87</f>
        <v>0</v>
      </c>
      <c r="N53" s="49">
        <f>'дод 3'!O87</f>
        <v>0</v>
      </c>
      <c r="O53" s="49">
        <f>'дод 3'!P87</f>
        <v>421121.46</v>
      </c>
    </row>
    <row r="54" spans="1:15" ht="31.5" x14ac:dyDescent="0.25">
      <c r="A54" s="37"/>
      <c r="B54" s="37"/>
      <c r="C54" s="86" t="s">
        <v>389</v>
      </c>
      <c r="D54" s="79">
        <f>'дод 3'!E88</f>
        <v>421121.46</v>
      </c>
      <c r="E54" s="79">
        <f>'дод 3'!F88</f>
        <v>421121.46</v>
      </c>
      <c r="F54" s="79">
        <f>'дод 3'!G88</f>
        <v>345761.65</v>
      </c>
      <c r="G54" s="79">
        <f>'дод 3'!H88</f>
        <v>0</v>
      </c>
      <c r="H54" s="79">
        <f>'дод 3'!I88</f>
        <v>0</v>
      </c>
      <c r="I54" s="79">
        <f>'дод 3'!J88</f>
        <v>0</v>
      </c>
      <c r="J54" s="79">
        <f>'дод 3'!K88</f>
        <v>0</v>
      </c>
      <c r="K54" s="79">
        <f>'дод 3'!L88</f>
        <v>0</v>
      </c>
      <c r="L54" s="79">
        <f>'дод 3'!M88</f>
        <v>0</v>
      </c>
      <c r="M54" s="79">
        <f>'дод 3'!N88</f>
        <v>0</v>
      </c>
      <c r="N54" s="79">
        <f>'дод 3'!O88</f>
        <v>0</v>
      </c>
      <c r="O54" s="79">
        <f>'дод 3'!P88</f>
        <v>421121.46</v>
      </c>
    </row>
    <row r="55" spans="1:15" ht="31.5" x14ac:dyDescent="0.25">
      <c r="A55" s="37">
        <v>1061</v>
      </c>
      <c r="B55" s="59" t="s">
        <v>51</v>
      </c>
      <c r="C55" s="36" t="s">
        <v>532</v>
      </c>
      <c r="D55" s="49">
        <f>'дод 3'!E89</f>
        <v>1064017.6000000001</v>
      </c>
      <c r="E55" s="49">
        <f>'дод 3'!F89</f>
        <v>1064017.6000000001</v>
      </c>
      <c r="F55" s="49">
        <f>'дод 3'!G89</f>
        <v>0</v>
      </c>
      <c r="G55" s="49">
        <f>'дод 3'!H89</f>
        <v>0</v>
      </c>
      <c r="H55" s="49">
        <f>'дод 3'!I89</f>
        <v>0</v>
      </c>
      <c r="I55" s="49">
        <f>'дод 3'!J89</f>
        <v>5993725.1799999997</v>
      </c>
      <c r="J55" s="49">
        <f>'дод 3'!K89</f>
        <v>5993725.1799999997</v>
      </c>
      <c r="K55" s="49">
        <f>'дод 3'!L89</f>
        <v>0</v>
      </c>
      <c r="L55" s="49">
        <f>'дод 3'!M89</f>
        <v>0</v>
      </c>
      <c r="M55" s="49">
        <f>'дод 3'!N89</f>
        <v>0</v>
      </c>
      <c r="N55" s="49">
        <f>'дод 3'!O89</f>
        <v>5993725.1799999997</v>
      </c>
      <c r="O55" s="49">
        <f>'дод 3'!P89</f>
        <v>7057742.7799999993</v>
      </c>
    </row>
    <row r="56" spans="1:15" ht="48.75" customHeight="1" x14ac:dyDescent="0.25">
      <c r="A56" s="37"/>
      <c r="B56" s="59"/>
      <c r="C56" s="86" t="s">
        <v>543</v>
      </c>
      <c r="D56" s="79">
        <f>'дод 3'!E90</f>
        <v>363000</v>
      </c>
      <c r="E56" s="79">
        <f>'дод 3'!F90</f>
        <v>363000</v>
      </c>
      <c r="F56" s="79">
        <f>'дод 3'!G90</f>
        <v>0</v>
      </c>
      <c r="G56" s="79">
        <f>'дод 3'!H90</f>
        <v>0</v>
      </c>
      <c r="H56" s="79">
        <f>'дод 3'!I90</f>
        <v>0</v>
      </c>
      <c r="I56" s="79">
        <f>'дод 3'!J90</f>
        <v>1637000</v>
      </c>
      <c r="J56" s="79">
        <f>'дод 3'!K90</f>
        <v>1637000</v>
      </c>
      <c r="K56" s="79">
        <f>'дод 3'!L90</f>
        <v>0</v>
      </c>
      <c r="L56" s="79">
        <f>'дод 3'!M90</f>
        <v>0</v>
      </c>
      <c r="M56" s="79">
        <f>'дод 3'!N90</f>
        <v>0</v>
      </c>
      <c r="N56" s="79">
        <f>'дод 3'!O90</f>
        <v>1637000</v>
      </c>
      <c r="O56" s="79">
        <f>'дод 3'!P90</f>
        <v>2000000</v>
      </c>
    </row>
    <row r="57" spans="1:15" s="54" customFormat="1" ht="32.25" customHeight="1" x14ac:dyDescent="0.25">
      <c r="A57" s="77"/>
      <c r="B57" s="83"/>
      <c r="C57" s="86" t="s">
        <v>540</v>
      </c>
      <c r="D57" s="79">
        <f>'дод 3'!E91</f>
        <v>701017.59999999998</v>
      </c>
      <c r="E57" s="79">
        <f>'дод 3'!F91</f>
        <v>701017.59999999998</v>
      </c>
      <c r="F57" s="79">
        <f>'дод 3'!G91</f>
        <v>0</v>
      </c>
      <c r="G57" s="79">
        <f>'дод 3'!H91</f>
        <v>0</v>
      </c>
      <c r="H57" s="79">
        <f>'дод 3'!I91</f>
        <v>0</v>
      </c>
      <c r="I57" s="79">
        <f>'дод 3'!J91</f>
        <v>4356725.18</v>
      </c>
      <c r="J57" s="79">
        <f>'дод 3'!K91</f>
        <v>4356725.18</v>
      </c>
      <c r="K57" s="79">
        <f>'дод 3'!L91</f>
        <v>0</v>
      </c>
      <c r="L57" s="79">
        <f>'дод 3'!M91</f>
        <v>0</v>
      </c>
      <c r="M57" s="79">
        <f>'дод 3'!N91</f>
        <v>0</v>
      </c>
      <c r="N57" s="79">
        <f>'дод 3'!O91</f>
        <v>4356725.18</v>
      </c>
      <c r="O57" s="79">
        <f>'дод 3'!P91</f>
        <v>5057742.7799999993</v>
      </c>
    </row>
    <row r="58" spans="1:15" s="54" customFormat="1" ht="69" customHeight="1" x14ac:dyDescent="0.25">
      <c r="A58" s="37">
        <v>1062</v>
      </c>
      <c r="B58" s="59" t="s">
        <v>55</v>
      </c>
      <c r="C58" s="60" t="s">
        <v>504</v>
      </c>
      <c r="D58" s="49">
        <f>'дод 3'!E92</f>
        <v>40000</v>
      </c>
      <c r="E58" s="49">
        <f>'дод 3'!F92</f>
        <v>40000</v>
      </c>
      <c r="F58" s="49">
        <f>'дод 3'!G92</f>
        <v>0</v>
      </c>
      <c r="G58" s="49">
        <f>'дод 3'!H92</f>
        <v>0</v>
      </c>
      <c r="H58" s="49">
        <f>'дод 3'!I92</f>
        <v>0</v>
      </c>
      <c r="I58" s="49">
        <f>'дод 3'!J92</f>
        <v>0</v>
      </c>
      <c r="J58" s="49">
        <f>'дод 3'!K92</f>
        <v>0</v>
      </c>
      <c r="K58" s="49">
        <f>'дод 3'!L92</f>
        <v>0</v>
      </c>
      <c r="L58" s="49">
        <f>'дод 3'!M92</f>
        <v>0</v>
      </c>
      <c r="M58" s="49">
        <f>'дод 3'!N92</f>
        <v>0</v>
      </c>
      <c r="N58" s="49">
        <f>'дод 3'!O92</f>
        <v>0</v>
      </c>
      <c r="O58" s="49">
        <f>'дод 3'!P92</f>
        <v>40000</v>
      </c>
    </row>
    <row r="59" spans="1:15" s="54" customFormat="1" ht="32.25" customHeight="1" x14ac:dyDescent="0.25">
      <c r="A59" s="77"/>
      <c r="B59" s="83"/>
      <c r="C59" s="86" t="s">
        <v>540</v>
      </c>
      <c r="D59" s="79">
        <f>'дод 3'!E93</f>
        <v>40000</v>
      </c>
      <c r="E59" s="79">
        <f>'дод 3'!F93</f>
        <v>40000</v>
      </c>
      <c r="F59" s="79">
        <f>'дод 3'!G93</f>
        <v>0</v>
      </c>
      <c r="G59" s="79">
        <f>'дод 3'!H93</f>
        <v>0</v>
      </c>
      <c r="H59" s="79">
        <f>'дод 3'!I93</f>
        <v>0</v>
      </c>
      <c r="I59" s="79">
        <f>'дод 3'!J93</f>
        <v>0</v>
      </c>
      <c r="J59" s="79">
        <f>'дод 3'!K93</f>
        <v>0</v>
      </c>
      <c r="K59" s="79">
        <f>'дод 3'!L93</f>
        <v>0</v>
      </c>
      <c r="L59" s="79">
        <f>'дод 3'!M93</f>
        <v>0</v>
      </c>
      <c r="M59" s="79">
        <f>'дод 3'!N93</f>
        <v>0</v>
      </c>
      <c r="N59" s="79">
        <f>'дод 3'!O93</f>
        <v>0</v>
      </c>
      <c r="O59" s="79">
        <f>'дод 3'!P93</f>
        <v>40000</v>
      </c>
    </row>
    <row r="60" spans="1:15" s="54" customFormat="1" ht="38.25" customHeight="1" x14ac:dyDescent="0.25">
      <c r="A60" s="59" t="s">
        <v>54</v>
      </c>
      <c r="B60" s="59" t="s">
        <v>57</v>
      </c>
      <c r="C60" s="60" t="s">
        <v>365</v>
      </c>
      <c r="D60" s="49">
        <f>'дод 3'!E94</f>
        <v>36446395</v>
      </c>
      <c r="E60" s="49">
        <f>'дод 3'!F94</f>
        <v>36446395</v>
      </c>
      <c r="F60" s="49">
        <f>'дод 3'!G94</f>
        <v>26185400</v>
      </c>
      <c r="G60" s="49">
        <f>'дод 3'!H94</f>
        <v>3773845</v>
      </c>
      <c r="H60" s="49">
        <f>'дод 3'!I94</f>
        <v>0</v>
      </c>
      <c r="I60" s="49">
        <f>'дод 3'!J94</f>
        <v>112500</v>
      </c>
      <c r="J60" s="49">
        <f>'дод 3'!K94</f>
        <v>112500</v>
      </c>
      <c r="K60" s="49">
        <f>'дод 3'!L94</f>
        <v>0</v>
      </c>
      <c r="L60" s="49">
        <f>'дод 3'!M94</f>
        <v>0</v>
      </c>
      <c r="M60" s="49">
        <f>'дод 3'!N94</f>
        <v>0</v>
      </c>
      <c r="N60" s="49">
        <f>'дод 3'!O94</f>
        <v>112500</v>
      </c>
      <c r="O60" s="49">
        <f>'дод 3'!P94</f>
        <v>36558895</v>
      </c>
    </row>
    <row r="61" spans="1:15" s="54" customFormat="1" ht="16.5" customHeight="1" x14ac:dyDescent="0.25">
      <c r="A61" s="92">
        <v>1080</v>
      </c>
      <c r="B61" s="59" t="s">
        <v>57</v>
      </c>
      <c r="C61" s="60" t="s">
        <v>509</v>
      </c>
      <c r="D61" s="49">
        <f>'дод 3'!E215</f>
        <v>51160475</v>
      </c>
      <c r="E61" s="49">
        <f>'дод 3'!F215</f>
        <v>51160475</v>
      </c>
      <c r="F61" s="49">
        <f>'дод 3'!G215</f>
        <v>40594000</v>
      </c>
      <c r="G61" s="49">
        <f>'дод 3'!H215</f>
        <v>990275</v>
      </c>
      <c r="H61" s="49">
        <f>'дод 3'!I215</f>
        <v>0</v>
      </c>
      <c r="I61" s="49">
        <f>'дод 3'!J215</f>
        <v>2729100</v>
      </c>
      <c r="J61" s="49">
        <f>'дод 3'!K215</f>
        <v>0</v>
      </c>
      <c r="K61" s="49">
        <f>'дод 3'!L215</f>
        <v>2725970</v>
      </c>
      <c r="L61" s="49">
        <f>'дод 3'!M215</f>
        <v>2226904</v>
      </c>
      <c r="M61" s="49">
        <f>'дод 3'!N215</f>
        <v>0</v>
      </c>
      <c r="N61" s="49">
        <f>'дод 3'!O215</f>
        <v>3130</v>
      </c>
      <c r="O61" s="49">
        <f>'дод 3'!P215</f>
        <v>53889575</v>
      </c>
    </row>
    <row r="62" spans="1:15" s="54" customFormat="1" ht="21" customHeight="1" x14ac:dyDescent="0.25">
      <c r="A62" s="59" t="s">
        <v>478</v>
      </c>
      <c r="B62" s="59" t="s">
        <v>58</v>
      </c>
      <c r="C62" s="36" t="s">
        <v>510</v>
      </c>
      <c r="D62" s="49">
        <f>'дод 3'!E95</f>
        <v>11570150</v>
      </c>
      <c r="E62" s="49">
        <f>'дод 3'!F95</f>
        <v>11570150</v>
      </c>
      <c r="F62" s="49">
        <f>'дод 3'!G95</f>
        <v>8331500</v>
      </c>
      <c r="G62" s="49">
        <f>'дод 3'!H95</f>
        <v>768150</v>
      </c>
      <c r="H62" s="49">
        <f>'дод 3'!I95</f>
        <v>0</v>
      </c>
      <c r="I62" s="49">
        <f>'дод 3'!J95</f>
        <v>0</v>
      </c>
      <c r="J62" s="49">
        <f>'дод 3'!K95</f>
        <v>0</v>
      </c>
      <c r="K62" s="49">
        <f>'дод 3'!L95</f>
        <v>0</v>
      </c>
      <c r="L62" s="49">
        <f>'дод 3'!M95</f>
        <v>0</v>
      </c>
      <c r="M62" s="49">
        <f>'дод 3'!N95</f>
        <v>0</v>
      </c>
      <c r="N62" s="49">
        <f>'дод 3'!O95</f>
        <v>0</v>
      </c>
      <c r="O62" s="49">
        <f>'дод 3'!P95</f>
        <v>11570150</v>
      </c>
    </row>
    <row r="63" spans="1:15" x14ac:dyDescent="0.25">
      <c r="A63" s="59" t="s">
        <v>480</v>
      </c>
      <c r="B63" s="59" t="s">
        <v>58</v>
      </c>
      <c r="C63" s="36" t="s">
        <v>281</v>
      </c>
      <c r="D63" s="49">
        <f>'дод 3'!E96</f>
        <v>113000</v>
      </c>
      <c r="E63" s="49">
        <f>'дод 3'!F96</f>
        <v>113000</v>
      </c>
      <c r="F63" s="49">
        <f>'дод 3'!G96</f>
        <v>0</v>
      </c>
      <c r="G63" s="49">
        <f>'дод 3'!H96</f>
        <v>0</v>
      </c>
      <c r="H63" s="49">
        <f>'дод 3'!I96</f>
        <v>0</v>
      </c>
      <c r="I63" s="49">
        <f>'дод 3'!J96</f>
        <v>0</v>
      </c>
      <c r="J63" s="49">
        <f>'дод 3'!K96</f>
        <v>0</v>
      </c>
      <c r="K63" s="49">
        <f>'дод 3'!L96</f>
        <v>0</v>
      </c>
      <c r="L63" s="49">
        <f>'дод 3'!M96</f>
        <v>0</v>
      </c>
      <c r="M63" s="49">
        <f>'дод 3'!N96</f>
        <v>0</v>
      </c>
      <c r="N63" s="49">
        <f>'дод 3'!O96</f>
        <v>0</v>
      </c>
      <c r="O63" s="49">
        <f>'дод 3'!P96</f>
        <v>113000</v>
      </c>
    </row>
    <row r="64" spans="1:15" ht="31.5" x14ac:dyDescent="0.25">
      <c r="A64" s="59" t="s">
        <v>482</v>
      </c>
      <c r="B64" s="59" t="s">
        <v>58</v>
      </c>
      <c r="C64" s="60" t="s">
        <v>483</v>
      </c>
      <c r="D64" s="49">
        <f>'дод 3'!E97</f>
        <v>135033</v>
      </c>
      <c r="E64" s="49">
        <f>'дод 3'!F97</f>
        <v>135033</v>
      </c>
      <c r="F64" s="49">
        <f>'дод 3'!G97</f>
        <v>0</v>
      </c>
      <c r="G64" s="49">
        <f>'дод 3'!H97</f>
        <v>80633</v>
      </c>
      <c r="H64" s="49">
        <f>'дод 3'!I97</f>
        <v>0</v>
      </c>
      <c r="I64" s="49">
        <f>'дод 3'!J97</f>
        <v>0</v>
      </c>
      <c r="J64" s="49">
        <f>'дод 3'!K97</f>
        <v>0</v>
      </c>
      <c r="K64" s="49">
        <f>'дод 3'!L97</f>
        <v>0</v>
      </c>
      <c r="L64" s="49">
        <f>'дод 3'!M97</f>
        <v>0</v>
      </c>
      <c r="M64" s="49">
        <f>'дод 3'!N97</f>
        <v>0</v>
      </c>
      <c r="N64" s="49">
        <f>'дод 3'!O97</f>
        <v>0</v>
      </c>
      <c r="O64" s="49">
        <f>'дод 3'!P97</f>
        <v>135033</v>
      </c>
    </row>
    <row r="65" spans="1:15" ht="36.75" customHeight="1" x14ac:dyDescent="0.25">
      <c r="A65" s="59" t="s">
        <v>485</v>
      </c>
      <c r="B65" s="59" t="s">
        <v>58</v>
      </c>
      <c r="C65" s="60" t="s">
        <v>511</v>
      </c>
      <c r="D65" s="49">
        <f>'дод 3'!E98</f>
        <v>1499036</v>
      </c>
      <c r="E65" s="49">
        <f>'дод 3'!F98</f>
        <v>1499036</v>
      </c>
      <c r="F65" s="49">
        <f>'дод 3'!G98</f>
        <v>1228720</v>
      </c>
      <c r="G65" s="49">
        <f>'дод 3'!H98</f>
        <v>0</v>
      </c>
      <c r="H65" s="49">
        <f>'дод 3'!I98</f>
        <v>0</v>
      </c>
      <c r="I65" s="49">
        <f>'дод 3'!J98</f>
        <v>0</v>
      </c>
      <c r="J65" s="49">
        <f>'дод 3'!K98</f>
        <v>0</v>
      </c>
      <c r="K65" s="49">
        <f>'дод 3'!L98</f>
        <v>0</v>
      </c>
      <c r="L65" s="49">
        <f>'дод 3'!M98</f>
        <v>0</v>
      </c>
      <c r="M65" s="49">
        <f>'дод 3'!N98</f>
        <v>0</v>
      </c>
      <c r="N65" s="49">
        <f>'дод 3'!O98</f>
        <v>0</v>
      </c>
      <c r="O65" s="49">
        <f>'дод 3'!P98</f>
        <v>1499036</v>
      </c>
    </row>
    <row r="66" spans="1:15" ht="49.5" customHeight="1" x14ac:dyDescent="0.25">
      <c r="A66" s="37"/>
      <c r="B66" s="37"/>
      <c r="C66" s="86" t="s">
        <v>384</v>
      </c>
      <c r="D66" s="79">
        <f>'дод 3'!E99</f>
        <v>1499036</v>
      </c>
      <c r="E66" s="79">
        <f>'дод 3'!F99</f>
        <v>1499036</v>
      </c>
      <c r="F66" s="79">
        <f>'дод 3'!G99</f>
        <v>1228720</v>
      </c>
      <c r="G66" s="79">
        <f>'дод 3'!H99</f>
        <v>0</v>
      </c>
      <c r="H66" s="79">
        <f>'дод 3'!I99</f>
        <v>0</v>
      </c>
      <c r="I66" s="79">
        <f>'дод 3'!J99</f>
        <v>0</v>
      </c>
      <c r="J66" s="79">
        <f>'дод 3'!K99</f>
        <v>0</v>
      </c>
      <c r="K66" s="79">
        <f>'дод 3'!L99</f>
        <v>0</v>
      </c>
      <c r="L66" s="79">
        <f>'дод 3'!M99</f>
        <v>0</v>
      </c>
      <c r="M66" s="79">
        <f>'дод 3'!N99</f>
        <v>0</v>
      </c>
      <c r="N66" s="79">
        <f>'дод 3'!O99</f>
        <v>0</v>
      </c>
      <c r="O66" s="79">
        <f>'дод 3'!P99</f>
        <v>1499036</v>
      </c>
    </row>
    <row r="67" spans="1:15" s="54" customFormat="1" ht="31.5" x14ac:dyDescent="0.25">
      <c r="A67" s="59" t="s">
        <v>487</v>
      </c>
      <c r="B67" s="59" t="str">
        <f>'дод 7'!A19</f>
        <v>0160</v>
      </c>
      <c r="C67" s="60" t="s">
        <v>488</v>
      </c>
      <c r="D67" s="49">
        <f>'дод 3'!E100</f>
        <v>2552577</v>
      </c>
      <c r="E67" s="49">
        <f>'дод 3'!F100</f>
        <v>2552577</v>
      </c>
      <c r="F67" s="49">
        <f>'дод 3'!G100</f>
        <v>1877000</v>
      </c>
      <c r="G67" s="49">
        <f>'дод 3'!H100</f>
        <v>115177</v>
      </c>
      <c r="H67" s="49">
        <f>'дод 3'!I100</f>
        <v>0</v>
      </c>
      <c r="I67" s="49">
        <f>'дод 3'!J100</f>
        <v>41000</v>
      </c>
      <c r="J67" s="49">
        <f>'дод 3'!K100</f>
        <v>41000</v>
      </c>
      <c r="K67" s="49">
        <f>'дод 3'!L100</f>
        <v>0</v>
      </c>
      <c r="L67" s="49">
        <f>'дод 3'!M100</f>
        <v>0</v>
      </c>
      <c r="M67" s="49">
        <f>'дод 3'!N100</f>
        <v>0</v>
      </c>
      <c r="N67" s="49">
        <f>'дод 3'!O100</f>
        <v>41000</v>
      </c>
      <c r="O67" s="49">
        <f>'дод 3'!P100</f>
        <v>2593577</v>
      </c>
    </row>
    <row r="68" spans="1:15" s="54" customFormat="1" ht="66" customHeight="1" x14ac:dyDescent="0.25">
      <c r="A68" s="59" t="s">
        <v>567</v>
      </c>
      <c r="B68" s="59" t="s">
        <v>58</v>
      </c>
      <c r="C68" s="60" t="s">
        <v>570</v>
      </c>
      <c r="D68" s="49">
        <f>'дод 3'!E101</f>
        <v>0</v>
      </c>
      <c r="E68" s="49">
        <f>'дод 3'!F101</f>
        <v>0</v>
      </c>
      <c r="F68" s="49">
        <f>'дод 3'!G101</f>
        <v>0</v>
      </c>
      <c r="G68" s="49">
        <f>'дод 3'!H101</f>
        <v>0</v>
      </c>
      <c r="H68" s="49">
        <f>'дод 3'!I101</f>
        <v>0</v>
      </c>
      <c r="I68" s="49">
        <f>'дод 3'!J101</f>
        <v>1522670</v>
      </c>
      <c r="J68" s="49">
        <f>'дод 3'!K101</f>
        <v>1522670</v>
      </c>
      <c r="K68" s="49">
        <f>'дод 3'!L101</f>
        <v>0</v>
      </c>
      <c r="L68" s="49">
        <f>'дод 3'!M101</f>
        <v>0</v>
      </c>
      <c r="M68" s="49">
        <f>'дод 3'!N101</f>
        <v>0</v>
      </c>
      <c r="N68" s="49">
        <f>'дод 3'!O101</f>
        <v>1522670</v>
      </c>
      <c r="O68" s="49">
        <f>'дод 3'!P101</f>
        <v>1522670</v>
      </c>
    </row>
    <row r="69" spans="1:15" s="54" customFormat="1" ht="65.25" customHeight="1" x14ac:dyDescent="0.25">
      <c r="A69" s="59" t="s">
        <v>557</v>
      </c>
      <c r="B69" s="59" t="s">
        <v>58</v>
      </c>
      <c r="C69" s="60" t="s">
        <v>617</v>
      </c>
      <c r="D69" s="98">
        <f>'дод 3'!E102</f>
        <v>287772</v>
      </c>
      <c r="E69" s="98">
        <f>'дод 3'!F102</f>
        <v>287772</v>
      </c>
      <c r="F69" s="98">
        <f>'дод 3'!G102</f>
        <v>0</v>
      </c>
      <c r="G69" s="98">
        <f>'дод 3'!H102</f>
        <v>0</v>
      </c>
      <c r="H69" s="98">
        <f>'дод 3'!I102</f>
        <v>0</v>
      </c>
      <c r="I69" s="98">
        <f>'дод 3'!J102</f>
        <v>2859728</v>
      </c>
      <c r="J69" s="98">
        <f>'дод 3'!K102</f>
        <v>2859728</v>
      </c>
      <c r="K69" s="98">
        <f>'дод 3'!L102</f>
        <v>0</v>
      </c>
      <c r="L69" s="98">
        <f>'дод 3'!M102</f>
        <v>0</v>
      </c>
      <c r="M69" s="98">
        <f>'дод 3'!N102</f>
        <v>0</v>
      </c>
      <c r="N69" s="98">
        <f>'дод 3'!O102</f>
        <v>2859728</v>
      </c>
      <c r="O69" s="98">
        <f>'дод 3'!P102</f>
        <v>3147500</v>
      </c>
    </row>
    <row r="70" spans="1:15" s="54" customFormat="1" ht="47.25" x14ac:dyDescent="0.25">
      <c r="A70" s="83"/>
      <c r="B70" s="83"/>
      <c r="C70" s="86" t="s">
        <v>602</v>
      </c>
      <c r="D70" s="100">
        <f>'дод 3'!E103</f>
        <v>287772</v>
      </c>
      <c r="E70" s="100">
        <f>'дод 3'!F103</f>
        <v>287772</v>
      </c>
      <c r="F70" s="100">
        <f>'дод 3'!G103</f>
        <v>0</v>
      </c>
      <c r="G70" s="100">
        <f>'дод 3'!H103</f>
        <v>0</v>
      </c>
      <c r="H70" s="100">
        <f>'дод 3'!I103</f>
        <v>0</v>
      </c>
      <c r="I70" s="100">
        <f>'дод 3'!J103</f>
        <v>2859728</v>
      </c>
      <c r="J70" s="100">
        <f>'дод 3'!K103</f>
        <v>2859728</v>
      </c>
      <c r="K70" s="100">
        <f>'дод 3'!L103</f>
        <v>0</v>
      </c>
      <c r="L70" s="100">
        <f>'дод 3'!M103</f>
        <v>0</v>
      </c>
      <c r="M70" s="100">
        <f>'дод 3'!N103</f>
        <v>0</v>
      </c>
      <c r="N70" s="100">
        <f>'дод 3'!O103</f>
        <v>2859728</v>
      </c>
      <c r="O70" s="100">
        <f>'дод 3'!P103</f>
        <v>3147500</v>
      </c>
    </row>
    <row r="71" spans="1:15" s="54" customFormat="1" ht="78.75" x14ac:dyDescent="0.25">
      <c r="A71" s="59" t="s">
        <v>569</v>
      </c>
      <c r="B71" s="59" t="s">
        <v>58</v>
      </c>
      <c r="C71" s="60" t="s">
        <v>595</v>
      </c>
      <c r="D71" s="98">
        <f>'дод 3'!E104</f>
        <v>2092093.9</v>
      </c>
      <c r="E71" s="98">
        <f>'дод 3'!F104</f>
        <v>2092093.9</v>
      </c>
      <c r="F71" s="98">
        <f>'дод 3'!G104</f>
        <v>0</v>
      </c>
      <c r="G71" s="98">
        <f>'дод 3'!H104</f>
        <v>0</v>
      </c>
      <c r="H71" s="98">
        <f>'дод 3'!I104</f>
        <v>0</v>
      </c>
      <c r="I71" s="98">
        <f>'дод 3'!J104</f>
        <v>364158.1</v>
      </c>
      <c r="J71" s="98">
        <f>'дод 3'!K104</f>
        <v>364158.1</v>
      </c>
      <c r="K71" s="98">
        <f>'дод 3'!L104</f>
        <v>0</v>
      </c>
      <c r="L71" s="98">
        <f>'дод 3'!M104</f>
        <v>0</v>
      </c>
      <c r="M71" s="98">
        <f>'дод 3'!N104</f>
        <v>0</v>
      </c>
      <c r="N71" s="98">
        <f>'дод 3'!O104</f>
        <v>364158.1</v>
      </c>
      <c r="O71" s="98">
        <f>'дод 3'!P104</f>
        <v>2456252</v>
      </c>
    </row>
    <row r="72" spans="1:15" s="54" customFormat="1" x14ac:dyDescent="0.25">
      <c r="A72" s="83"/>
      <c r="B72" s="83"/>
      <c r="C72" s="86" t="s">
        <v>395</v>
      </c>
      <c r="D72" s="100">
        <f>'дод 3'!E105</f>
        <v>150000</v>
      </c>
      <c r="E72" s="100">
        <f>'дод 3'!F105</f>
        <v>150000</v>
      </c>
      <c r="F72" s="100">
        <f>'дод 3'!G105</f>
        <v>0</v>
      </c>
      <c r="G72" s="100">
        <f>'дод 3'!H105</f>
        <v>0</v>
      </c>
      <c r="H72" s="100">
        <f>'дод 3'!I105</f>
        <v>0</v>
      </c>
      <c r="I72" s="100">
        <f>'дод 3'!J105</f>
        <v>0</v>
      </c>
      <c r="J72" s="100">
        <f>'дод 3'!K105</f>
        <v>0</v>
      </c>
      <c r="K72" s="100">
        <f>'дод 3'!L105</f>
        <v>0</v>
      </c>
      <c r="L72" s="100">
        <f>'дод 3'!M105</f>
        <v>0</v>
      </c>
      <c r="M72" s="100">
        <f>'дод 3'!N105</f>
        <v>0</v>
      </c>
      <c r="N72" s="100">
        <f>'дод 3'!O105</f>
        <v>0</v>
      </c>
      <c r="O72" s="100">
        <f>'дод 3'!P105</f>
        <v>150000</v>
      </c>
    </row>
    <row r="73" spans="1:15" s="54" customFormat="1" ht="63" x14ac:dyDescent="0.25">
      <c r="A73" s="59" t="s">
        <v>558</v>
      </c>
      <c r="B73" s="59" t="s">
        <v>58</v>
      </c>
      <c r="C73" s="60" t="s">
        <v>603</v>
      </c>
      <c r="D73" s="49">
        <f>'дод 3'!E106</f>
        <v>6262701.0999999996</v>
      </c>
      <c r="E73" s="49">
        <f>'дод 3'!F106</f>
        <v>6262701.0999999996</v>
      </c>
      <c r="F73" s="49">
        <f>'дод 3'!G106</f>
        <v>57829</v>
      </c>
      <c r="G73" s="49">
        <f>'дод 3'!H106</f>
        <v>0</v>
      </c>
      <c r="H73" s="49">
        <f>'дод 3'!I106</f>
        <v>0</v>
      </c>
      <c r="I73" s="49">
        <f>'дод 3'!J106</f>
        <v>644361.9</v>
      </c>
      <c r="J73" s="49">
        <f>'дод 3'!K106</f>
        <v>644361.9</v>
      </c>
      <c r="K73" s="49">
        <f>'дод 3'!L106</f>
        <v>0</v>
      </c>
      <c r="L73" s="49">
        <f>'дод 3'!M106</f>
        <v>0</v>
      </c>
      <c r="M73" s="49">
        <f>'дод 3'!N106</f>
        <v>0</v>
      </c>
      <c r="N73" s="49">
        <f>'дод 3'!O106</f>
        <v>644361.9</v>
      </c>
      <c r="O73" s="49">
        <f>'дод 3'!P106</f>
        <v>6907063</v>
      </c>
    </row>
    <row r="74" spans="1:15" s="54" customFormat="1" ht="68.25" customHeight="1" x14ac:dyDescent="0.25">
      <c r="A74" s="83"/>
      <c r="B74" s="83"/>
      <c r="C74" s="86" t="s">
        <v>559</v>
      </c>
      <c r="D74" s="79">
        <f>'дод 3'!E107</f>
        <v>6262701.0999999996</v>
      </c>
      <c r="E74" s="79">
        <f>'дод 3'!F107</f>
        <v>6262701.0999999996</v>
      </c>
      <c r="F74" s="79">
        <f>'дод 3'!G107</f>
        <v>57829</v>
      </c>
      <c r="G74" s="79">
        <f>'дод 3'!H107</f>
        <v>0</v>
      </c>
      <c r="H74" s="79">
        <f>'дод 3'!I107</f>
        <v>0</v>
      </c>
      <c r="I74" s="79">
        <f>'дод 3'!J107</f>
        <v>644361.9</v>
      </c>
      <c r="J74" s="79">
        <f>'дод 3'!K107</f>
        <v>644361.9</v>
      </c>
      <c r="K74" s="79">
        <f>'дод 3'!L107</f>
        <v>0</v>
      </c>
      <c r="L74" s="79">
        <f>'дод 3'!M107</f>
        <v>0</v>
      </c>
      <c r="M74" s="79">
        <f>'дод 3'!N107</f>
        <v>0</v>
      </c>
      <c r="N74" s="79">
        <f>'дод 3'!O107</f>
        <v>644361.9</v>
      </c>
      <c r="O74" s="79">
        <f>'дод 3'!P107</f>
        <v>6907063</v>
      </c>
    </row>
    <row r="75" spans="1:15" s="54" customFormat="1" ht="63" x14ac:dyDescent="0.25">
      <c r="A75" s="59" t="s">
        <v>490</v>
      </c>
      <c r="B75" s="59" t="s">
        <v>58</v>
      </c>
      <c r="C75" s="93" t="s">
        <v>512</v>
      </c>
      <c r="D75" s="49">
        <f>'дод 3'!E108</f>
        <v>2417470</v>
      </c>
      <c r="E75" s="49">
        <f>'дод 3'!F108</f>
        <v>2417470</v>
      </c>
      <c r="F75" s="49">
        <f>'дод 3'!G108</f>
        <v>1299695</v>
      </c>
      <c r="G75" s="49">
        <f>'дод 3'!H108</f>
        <v>0</v>
      </c>
      <c r="H75" s="49">
        <f>'дод 3'!I108</f>
        <v>0</v>
      </c>
      <c r="I75" s="49">
        <f>'дод 3'!J108</f>
        <v>72000</v>
      </c>
      <c r="J75" s="49">
        <f>'дод 3'!K108</f>
        <v>72000</v>
      </c>
      <c r="K75" s="49">
        <f>'дод 3'!L108</f>
        <v>0</v>
      </c>
      <c r="L75" s="49">
        <f>'дод 3'!M108</f>
        <v>0</v>
      </c>
      <c r="M75" s="49">
        <f>'дод 3'!N108</f>
        <v>0</v>
      </c>
      <c r="N75" s="49">
        <f>'дод 3'!O108</f>
        <v>72000</v>
      </c>
      <c r="O75" s="49">
        <f>'дод 3'!P108</f>
        <v>2489470</v>
      </c>
    </row>
    <row r="76" spans="1:15" s="54" customFormat="1" ht="65.25" customHeight="1" x14ac:dyDescent="0.25">
      <c r="A76" s="59"/>
      <c r="B76" s="59"/>
      <c r="C76" s="86" t="s">
        <v>383</v>
      </c>
      <c r="D76" s="79">
        <f>'дод 3'!E109</f>
        <v>2417470</v>
      </c>
      <c r="E76" s="79">
        <f>'дод 3'!F109</f>
        <v>2417470</v>
      </c>
      <c r="F76" s="79">
        <f>'дод 3'!G109</f>
        <v>1299695</v>
      </c>
      <c r="G76" s="79">
        <f>'дод 3'!H109</f>
        <v>0</v>
      </c>
      <c r="H76" s="79">
        <f>'дод 3'!I109</f>
        <v>0</v>
      </c>
      <c r="I76" s="79">
        <f>'дод 3'!J109</f>
        <v>72000</v>
      </c>
      <c r="J76" s="79">
        <f>'дод 3'!K109</f>
        <v>72000</v>
      </c>
      <c r="K76" s="79">
        <f>'дод 3'!L109</f>
        <v>0</v>
      </c>
      <c r="L76" s="79">
        <f>'дод 3'!M109</f>
        <v>0</v>
      </c>
      <c r="M76" s="79">
        <f>'дод 3'!N109</f>
        <v>0</v>
      </c>
      <c r="N76" s="79">
        <f>'дод 3'!O109</f>
        <v>72000</v>
      </c>
      <c r="O76" s="79">
        <f>'дод 3'!P109</f>
        <v>2489470</v>
      </c>
    </row>
    <row r="77" spans="1:15" s="54" customFormat="1" ht="63" x14ac:dyDescent="0.25">
      <c r="A77" s="59" t="s">
        <v>524</v>
      </c>
      <c r="B77" s="59" t="s">
        <v>58</v>
      </c>
      <c r="C77" s="36" t="s">
        <v>522</v>
      </c>
      <c r="D77" s="49">
        <f>'дод 3'!E110</f>
        <v>1315285.79</v>
      </c>
      <c r="E77" s="49">
        <f>'дод 3'!F110</f>
        <v>1315285.79</v>
      </c>
      <c r="F77" s="49">
        <f>'дод 3'!G110</f>
        <v>1034620</v>
      </c>
      <c r="G77" s="49">
        <f>'дод 3'!H110</f>
        <v>0</v>
      </c>
      <c r="H77" s="49">
        <f>'дод 3'!I110</f>
        <v>0</v>
      </c>
      <c r="I77" s="49">
        <f>'дод 3'!J110</f>
        <v>0</v>
      </c>
      <c r="J77" s="49">
        <f>'дод 3'!K110</f>
        <v>0</v>
      </c>
      <c r="K77" s="49">
        <f>'дод 3'!L110</f>
        <v>0</v>
      </c>
      <c r="L77" s="49">
        <f>'дод 3'!M110</f>
        <v>0</v>
      </c>
      <c r="M77" s="49">
        <f>'дод 3'!N110</f>
        <v>0</v>
      </c>
      <c r="N77" s="49">
        <f>'дод 3'!O110</f>
        <v>0</v>
      </c>
      <c r="O77" s="49">
        <f>'дод 3'!P110</f>
        <v>1315285.79</v>
      </c>
    </row>
    <row r="78" spans="1:15" s="54" customFormat="1" ht="63" x14ac:dyDescent="0.25">
      <c r="A78" s="59"/>
      <c r="B78" s="59"/>
      <c r="C78" s="86" t="s">
        <v>523</v>
      </c>
      <c r="D78" s="79">
        <f>'дод 3'!E111</f>
        <v>1315285.79</v>
      </c>
      <c r="E78" s="79">
        <f>'дод 3'!F111</f>
        <v>1315285.79</v>
      </c>
      <c r="F78" s="79">
        <f>'дод 3'!G111</f>
        <v>1034620</v>
      </c>
      <c r="G78" s="79">
        <f>'дод 3'!H111</f>
        <v>0</v>
      </c>
      <c r="H78" s="79">
        <f>'дод 3'!I111</f>
        <v>0</v>
      </c>
      <c r="I78" s="79">
        <f>'дод 3'!J111</f>
        <v>0</v>
      </c>
      <c r="J78" s="79">
        <f>'дод 3'!K111</f>
        <v>0</v>
      </c>
      <c r="K78" s="79">
        <f>'дод 3'!L111</f>
        <v>0</v>
      </c>
      <c r="L78" s="79">
        <f>'дод 3'!M111</f>
        <v>0</v>
      </c>
      <c r="M78" s="79">
        <f>'дод 3'!N111</f>
        <v>0</v>
      </c>
      <c r="N78" s="79">
        <f>'дод 3'!O111</f>
        <v>0</v>
      </c>
      <c r="O78" s="79">
        <f>'дод 3'!P111</f>
        <v>1315285.79</v>
      </c>
    </row>
    <row r="79" spans="1:15" s="52" customFormat="1" ht="19.5" customHeight="1" x14ac:dyDescent="0.25">
      <c r="A79" s="38" t="s">
        <v>59</v>
      </c>
      <c r="B79" s="39"/>
      <c r="C79" s="9" t="s">
        <v>525</v>
      </c>
      <c r="D79" s="48">
        <f>D84+D89+D91+D93+D95+D98+D99+D88</f>
        <v>97517093.400000006</v>
      </c>
      <c r="E79" s="48">
        <f t="shared" ref="E79:O79" si="12">E84+E89+E91+E93+E95+E98+E99+E88</f>
        <v>97517093.400000006</v>
      </c>
      <c r="F79" s="48">
        <f t="shared" si="12"/>
        <v>2387600</v>
      </c>
      <c r="G79" s="48">
        <f t="shared" si="12"/>
        <v>75184</v>
      </c>
      <c r="H79" s="48">
        <f t="shared" si="12"/>
        <v>0</v>
      </c>
      <c r="I79" s="48">
        <f t="shared" si="12"/>
        <v>98537320.819999993</v>
      </c>
      <c r="J79" s="48">
        <f t="shared" si="12"/>
        <v>98537320.819999993</v>
      </c>
      <c r="K79" s="48">
        <f t="shared" si="12"/>
        <v>0</v>
      </c>
      <c r="L79" s="48">
        <f t="shared" si="12"/>
        <v>0</v>
      </c>
      <c r="M79" s="48">
        <f t="shared" si="12"/>
        <v>0</v>
      </c>
      <c r="N79" s="48">
        <f t="shared" si="12"/>
        <v>98537320.819999993</v>
      </c>
      <c r="O79" s="48">
        <f t="shared" si="12"/>
        <v>196054414.22</v>
      </c>
    </row>
    <row r="80" spans="1:15" s="53" customFormat="1" ht="31.5" hidden="1" x14ac:dyDescent="0.25">
      <c r="A80" s="70"/>
      <c r="B80" s="73"/>
      <c r="C80" s="74" t="s">
        <v>390</v>
      </c>
      <c r="D80" s="75">
        <f>D85+D90+D92</f>
        <v>0</v>
      </c>
      <c r="E80" s="75">
        <f t="shared" ref="E80:O80" si="13">E85+E90+E92</f>
        <v>0</v>
      </c>
      <c r="F80" s="75">
        <f t="shared" si="13"/>
        <v>0</v>
      </c>
      <c r="G80" s="75">
        <f t="shared" si="13"/>
        <v>0</v>
      </c>
      <c r="H80" s="75">
        <f t="shared" si="13"/>
        <v>0</v>
      </c>
      <c r="I80" s="75">
        <f t="shared" si="13"/>
        <v>0</v>
      </c>
      <c r="J80" s="75">
        <f t="shared" si="13"/>
        <v>0</v>
      </c>
      <c r="K80" s="75">
        <f t="shared" si="13"/>
        <v>0</v>
      </c>
      <c r="L80" s="75">
        <f t="shared" si="13"/>
        <v>0</v>
      </c>
      <c r="M80" s="75">
        <f t="shared" si="13"/>
        <v>0</v>
      </c>
      <c r="N80" s="75">
        <f t="shared" si="13"/>
        <v>0</v>
      </c>
      <c r="O80" s="75">
        <f t="shared" si="13"/>
        <v>0</v>
      </c>
    </row>
    <row r="81" spans="1:15" s="53" customFormat="1" ht="47.25" hidden="1" x14ac:dyDescent="0.25">
      <c r="A81" s="70"/>
      <c r="B81" s="73"/>
      <c r="C81" s="74" t="s">
        <v>391</v>
      </c>
      <c r="D81" s="75">
        <f>D86+D96</f>
        <v>0</v>
      </c>
      <c r="E81" s="75">
        <f t="shared" ref="E81:O81" si="14">E86+E96</f>
        <v>0</v>
      </c>
      <c r="F81" s="75">
        <f t="shared" si="14"/>
        <v>0</v>
      </c>
      <c r="G81" s="75">
        <f t="shared" si="14"/>
        <v>0</v>
      </c>
      <c r="H81" s="75">
        <f t="shared" si="14"/>
        <v>0</v>
      </c>
      <c r="I81" s="75">
        <f t="shared" si="14"/>
        <v>0</v>
      </c>
      <c r="J81" s="75">
        <f t="shared" si="14"/>
        <v>0</v>
      </c>
      <c r="K81" s="75">
        <f t="shared" si="14"/>
        <v>0</v>
      </c>
      <c r="L81" s="75">
        <f t="shared" si="14"/>
        <v>0</v>
      </c>
      <c r="M81" s="75">
        <f t="shared" si="14"/>
        <v>0</v>
      </c>
      <c r="N81" s="75">
        <f t="shared" si="14"/>
        <v>0</v>
      </c>
      <c r="O81" s="75">
        <f t="shared" si="14"/>
        <v>0</v>
      </c>
    </row>
    <row r="82" spans="1:15" s="53" customFormat="1" ht="66.75" customHeight="1" x14ac:dyDescent="0.25">
      <c r="A82" s="70"/>
      <c r="B82" s="73"/>
      <c r="C82" s="74" t="s">
        <v>392</v>
      </c>
      <c r="D82" s="75">
        <f>D94+D97</f>
        <v>11403700</v>
      </c>
      <c r="E82" s="75">
        <f t="shared" ref="E82:O82" si="15">E94+E97</f>
        <v>11403700</v>
      </c>
      <c r="F82" s="75">
        <f t="shared" si="15"/>
        <v>0</v>
      </c>
      <c r="G82" s="75">
        <f t="shared" si="15"/>
        <v>0</v>
      </c>
      <c r="H82" s="75">
        <f t="shared" si="15"/>
        <v>0</v>
      </c>
      <c r="I82" s="75">
        <f t="shared" si="15"/>
        <v>0</v>
      </c>
      <c r="J82" s="75">
        <f t="shared" si="15"/>
        <v>0</v>
      </c>
      <c r="K82" s="75">
        <f t="shared" si="15"/>
        <v>0</v>
      </c>
      <c r="L82" s="75">
        <f t="shared" si="15"/>
        <v>0</v>
      </c>
      <c r="M82" s="75">
        <f t="shared" si="15"/>
        <v>0</v>
      </c>
      <c r="N82" s="75">
        <f t="shared" si="15"/>
        <v>0</v>
      </c>
      <c r="O82" s="75">
        <f t="shared" si="15"/>
        <v>11403700</v>
      </c>
    </row>
    <row r="83" spans="1:15" s="53" customFormat="1" x14ac:dyDescent="0.25">
      <c r="A83" s="70"/>
      <c r="B83" s="73"/>
      <c r="C83" s="74" t="s">
        <v>393</v>
      </c>
      <c r="D83" s="75">
        <f>D87</f>
        <v>124646</v>
      </c>
      <c r="E83" s="75">
        <f t="shared" ref="E83:O83" si="16">E87</f>
        <v>124646</v>
      </c>
      <c r="F83" s="75">
        <f t="shared" si="16"/>
        <v>0</v>
      </c>
      <c r="G83" s="75">
        <f t="shared" si="16"/>
        <v>0</v>
      </c>
      <c r="H83" s="75">
        <f t="shared" si="16"/>
        <v>0</v>
      </c>
      <c r="I83" s="75">
        <f t="shared" si="16"/>
        <v>5750000</v>
      </c>
      <c r="J83" s="75">
        <f t="shared" si="16"/>
        <v>5750000</v>
      </c>
      <c r="K83" s="75">
        <f t="shared" si="16"/>
        <v>0</v>
      </c>
      <c r="L83" s="75">
        <f t="shared" si="16"/>
        <v>0</v>
      </c>
      <c r="M83" s="75">
        <f t="shared" si="16"/>
        <v>0</v>
      </c>
      <c r="N83" s="75">
        <f t="shared" si="16"/>
        <v>5750000</v>
      </c>
      <c r="O83" s="75">
        <f t="shared" si="16"/>
        <v>5874646</v>
      </c>
    </row>
    <row r="84" spans="1:15" ht="33" customHeight="1" x14ac:dyDescent="0.25">
      <c r="A84" s="37" t="s">
        <v>60</v>
      </c>
      <c r="B84" s="37" t="s">
        <v>61</v>
      </c>
      <c r="C84" s="6" t="s">
        <v>612</v>
      </c>
      <c r="D84" s="49">
        <f>'дод 3'!E138</f>
        <v>46532713.399999999</v>
      </c>
      <c r="E84" s="49">
        <f>'дод 3'!F138</f>
        <v>46532713.399999999</v>
      </c>
      <c r="F84" s="49">
        <f>'дод 3'!G138</f>
        <v>0</v>
      </c>
      <c r="G84" s="49">
        <f>'дод 3'!H138</f>
        <v>0</v>
      </c>
      <c r="H84" s="49">
        <f>'дод 3'!I138</f>
        <v>0</v>
      </c>
      <c r="I84" s="49">
        <f>'дод 3'!J138</f>
        <v>53545966.82</v>
      </c>
      <c r="J84" s="49">
        <f>'дод 3'!K138</f>
        <v>53545966.82</v>
      </c>
      <c r="K84" s="49">
        <f>'дод 3'!L138</f>
        <v>0</v>
      </c>
      <c r="L84" s="49">
        <f>'дод 3'!M138</f>
        <v>0</v>
      </c>
      <c r="M84" s="49">
        <f>'дод 3'!N138</f>
        <v>0</v>
      </c>
      <c r="N84" s="49">
        <f>'дод 3'!O138</f>
        <v>53545966.82</v>
      </c>
      <c r="O84" s="49">
        <f>'дод 3'!P138</f>
        <v>100078680.22</v>
      </c>
    </row>
    <row r="85" spans="1:15" s="54" customFormat="1" ht="31.5" hidden="1" customHeight="1" x14ac:dyDescent="0.25">
      <c r="A85" s="77"/>
      <c r="B85" s="77"/>
      <c r="C85" s="78" t="s">
        <v>390</v>
      </c>
      <c r="D85" s="79">
        <f>'дод 3'!E139</f>
        <v>0</v>
      </c>
      <c r="E85" s="79">
        <f>'дод 3'!F139</f>
        <v>0</v>
      </c>
      <c r="F85" s="79">
        <f>'дод 3'!G139</f>
        <v>0</v>
      </c>
      <c r="G85" s="79">
        <f>'дод 3'!H139</f>
        <v>0</v>
      </c>
      <c r="H85" s="79">
        <f>'дод 3'!I139</f>
        <v>0</v>
      </c>
      <c r="I85" s="79">
        <f>'дод 3'!J139</f>
        <v>0</v>
      </c>
      <c r="J85" s="79">
        <f>'дод 3'!K139</f>
        <v>0</v>
      </c>
      <c r="K85" s="79">
        <f>'дод 3'!L139</f>
        <v>0</v>
      </c>
      <c r="L85" s="79">
        <f>'дод 3'!M139</f>
        <v>0</v>
      </c>
      <c r="M85" s="79">
        <f>'дод 3'!N139</f>
        <v>0</v>
      </c>
      <c r="N85" s="79">
        <f>'дод 3'!O139</f>
        <v>0</v>
      </c>
      <c r="O85" s="79">
        <f>'дод 3'!P139</f>
        <v>0</v>
      </c>
    </row>
    <row r="86" spans="1:15" s="54" customFormat="1" ht="47.25" hidden="1" x14ac:dyDescent="0.25">
      <c r="A86" s="77"/>
      <c r="B86" s="77"/>
      <c r="C86" s="78" t="s">
        <v>391</v>
      </c>
      <c r="D86" s="79">
        <f>'дод 3'!E140</f>
        <v>0</v>
      </c>
      <c r="E86" s="79">
        <f>'дод 3'!F140</f>
        <v>0</v>
      </c>
      <c r="F86" s="79">
        <f>'дод 3'!G140</f>
        <v>0</v>
      </c>
      <c r="G86" s="79">
        <f>'дод 3'!H140</f>
        <v>0</v>
      </c>
      <c r="H86" s="79">
        <f>'дод 3'!I140</f>
        <v>0</v>
      </c>
      <c r="I86" s="79">
        <f>'дод 3'!J140</f>
        <v>0</v>
      </c>
      <c r="J86" s="79">
        <f>'дод 3'!K140</f>
        <v>0</v>
      </c>
      <c r="K86" s="79">
        <f>'дод 3'!L140</f>
        <v>0</v>
      </c>
      <c r="L86" s="79">
        <f>'дод 3'!M140</f>
        <v>0</v>
      </c>
      <c r="M86" s="79">
        <f>'дод 3'!N140</f>
        <v>0</v>
      </c>
      <c r="N86" s="79">
        <f>'дод 3'!O140</f>
        <v>0</v>
      </c>
      <c r="O86" s="79">
        <f>'дод 3'!P140</f>
        <v>0</v>
      </c>
    </row>
    <row r="87" spans="1:15" s="54" customFormat="1" x14ac:dyDescent="0.25">
      <c r="A87" s="77"/>
      <c r="B87" s="77"/>
      <c r="C87" s="78" t="s">
        <v>393</v>
      </c>
      <c r="D87" s="79">
        <f>'дод 3'!E141</f>
        <v>124646</v>
      </c>
      <c r="E87" s="79">
        <f>'дод 3'!F141</f>
        <v>124646</v>
      </c>
      <c r="F87" s="79">
        <f>'дод 3'!G141</f>
        <v>0</v>
      </c>
      <c r="G87" s="79">
        <f>'дод 3'!H141</f>
        <v>0</v>
      </c>
      <c r="H87" s="79">
        <f>'дод 3'!I141</f>
        <v>0</v>
      </c>
      <c r="I87" s="79">
        <f>'дод 3'!J141</f>
        <v>5750000</v>
      </c>
      <c r="J87" s="79">
        <f>'дод 3'!K141</f>
        <v>5750000</v>
      </c>
      <c r="K87" s="79">
        <f>'дод 3'!L141</f>
        <v>0</v>
      </c>
      <c r="L87" s="79">
        <f>'дод 3'!M141</f>
        <v>0</v>
      </c>
      <c r="M87" s="79">
        <f>'дод 3'!N141</f>
        <v>0</v>
      </c>
      <c r="N87" s="79">
        <f>'дод 3'!O141</f>
        <v>5750000</v>
      </c>
      <c r="O87" s="79">
        <f>'дод 3'!P141</f>
        <v>5874646</v>
      </c>
    </row>
    <row r="88" spans="1:15" ht="31.5" x14ac:dyDescent="0.25">
      <c r="A88" s="37">
        <v>2020</v>
      </c>
      <c r="B88" s="58" t="s">
        <v>447</v>
      </c>
      <c r="C88" s="6" t="s">
        <v>450</v>
      </c>
      <c r="D88" s="49">
        <f>'дод 3'!E142</f>
        <v>90000</v>
      </c>
      <c r="E88" s="49">
        <f>'дод 3'!F142</f>
        <v>90000</v>
      </c>
      <c r="F88" s="49">
        <f>'дод 3'!G142</f>
        <v>0</v>
      </c>
      <c r="G88" s="49">
        <f>'дод 3'!H142</f>
        <v>0</v>
      </c>
      <c r="H88" s="49">
        <f>'дод 3'!I142</f>
        <v>0</v>
      </c>
      <c r="I88" s="49">
        <f>'дод 3'!J142</f>
        <v>0</v>
      </c>
      <c r="J88" s="49">
        <f>'дод 3'!K142</f>
        <v>0</v>
      </c>
      <c r="K88" s="49">
        <f>'дод 3'!L142</f>
        <v>0</v>
      </c>
      <c r="L88" s="49">
        <f>'дод 3'!M142</f>
        <v>0</v>
      </c>
      <c r="M88" s="49">
        <f>'дод 3'!N142</f>
        <v>0</v>
      </c>
      <c r="N88" s="49">
        <f>'дод 3'!O142</f>
        <v>0</v>
      </c>
      <c r="O88" s="49">
        <f>'дод 3'!P142</f>
        <v>90000</v>
      </c>
    </row>
    <row r="89" spans="1:15" ht="36.75" customHeight="1" x14ac:dyDescent="0.25">
      <c r="A89" s="37" t="s">
        <v>120</v>
      </c>
      <c r="B89" s="37" t="s">
        <v>62</v>
      </c>
      <c r="C89" s="6" t="s">
        <v>463</v>
      </c>
      <c r="D89" s="49">
        <f>'дод 3'!E143</f>
        <v>4498159</v>
      </c>
      <c r="E89" s="49">
        <f>'дод 3'!F143</f>
        <v>4498159</v>
      </c>
      <c r="F89" s="49">
        <f>'дод 3'!G143</f>
        <v>0</v>
      </c>
      <c r="G89" s="49">
        <f>'дод 3'!H143</f>
        <v>0</v>
      </c>
      <c r="H89" s="49">
        <f>'дод 3'!I143</f>
        <v>0</v>
      </c>
      <c r="I89" s="49">
        <f>'дод 3'!J143</f>
        <v>5100000</v>
      </c>
      <c r="J89" s="49">
        <f>'дод 3'!K143</f>
        <v>5100000</v>
      </c>
      <c r="K89" s="49">
        <f>'дод 3'!L143</f>
        <v>0</v>
      </c>
      <c r="L89" s="49">
        <f>'дод 3'!M143</f>
        <v>0</v>
      </c>
      <c r="M89" s="49">
        <f>'дод 3'!N143</f>
        <v>0</v>
      </c>
      <c r="N89" s="49">
        <f>'дод 3'!O143</f>
        <v>5100000</v>
      </c>
      <c r="O89" s="49">
        <f>'дод 3'!P143</f>
        <v>9598159</v>
      </c>
    </row>
    <row r="90" spans="1:15" s="54" customFormat="1" ht="31.5" hidden="1" customHeight="1" x14ac:dyDescent="0.25">
      <c r="A90" s="77"/>
      <c r="B90" s="77"/>
      <c r="C90" s="78" t="s">
        <v>390</v>
      </c>
      <c r="D90" s="79">
        <f>'дод 3'!E144</f>
        <v>0</v>
      </c>
      <c r="E90" s="79">
        <f>'дод 3'!F144</f>
        <v>0</v>
      </c>
      <c r="F90" s="79">
        <f>'дод 3'!G144</f>
        <v>0</v>
      </c>
      <c r="G90" s="79">
        <f>'дод 3'!H144</f>
        <v>0</v>
      </c>
      <c r="H90" s="79">
        <f>'дод 3'!I144</f>
        <v>0</v>
      </c>
      <c r="I90" s="79">
        <f>'дод 3'!J144</f>
        <v>0</v>
      </c>
      <c r="J90" s="79">
        <f>'дод 3'!K144</f>
        <v>0</v>
      </c>
      <c r="K90" s="79">
        <f>'дод 3'!L144</f>
        <v>0</v>
      </c>
      <c r="L90" s="79">
        <f>'дод 3'!M144</f>
        <v>0</v>
      </c>
      <c r="M90" s="79">
        <f>'дод 3'!N144</f>
        <v>0</v>
      </c>
      <c r="N90" s="79">
        <f>'дод 3'!O144</f>
        <v>0</v>
      </c>
      <c r="O90" s="79">
        <f>'дод 3'!P144</f>
        <v>0</v>
      </c>
    </row>
    <row r="91" spans="1:15" ht="19.5" customHeight="1" x14ac:dyDescent="0.25">
      <c r="A91" s="37" t="s">
        <v>121</v>
      </c>
      <c r="B91" s="37" t="s">
        <v>63</v>
      </c>
      <c r="C91" s="6" t="s">
        <v>464</v>
      </c>
      <c r="D91" s="49">
        <f>'дод 3'!E145</f>
        <v>7745106</v>
      </c>
      <c r="E91" s="49">
        <f>'дод 3'!F145</f>
        <v>7745106</v>
      </c>
      <c r="F91" s="49">
        <f>'дод 3'!G145</f>
        <v>0</v>
      </c>
      <c r="G91" s="49">
        <f>'дод 3'!H145</f>
        <v>0</v>
      </c>
      <c r="H91" s="49">
        <f>'дод 3'!I145</f>
        <v>0</v>
      </c>
      <c r="I91" s="49">
        <f>'дод 3'!J145</f>
        <v>0</v>
      </c>
      <c r="J91" s="49">
        <f>'дод 3'!K145</f>
        <v>0</v>
      </c>
      <c r="K91" s="49">
        <f>'дод 3'!L145</f>
        <v>0</v>
      </c>
      <c r="L91" s="49">
        <f>'дод 3'!M145</f>
        <v>0</v>
      </c>
      <c r="M91" s="49">
        <f>'дод 3'!N145</f>
        <v>0</v>
      </c>
      <c r="N91" s="49">
        <f>'дод 3'!O145</f>
        <v>0</v>
      </c>
      <c r="O91" s="49">
        <f>'дод 3'!P145</f>
        <v>7745106</v>
      </c>
    </row>
    <row r="92" spans="1:15" s="54" customFormat="1" ht="31.5" hidden="1" customHeight="1" x14ac:dyDescent="0.25">
      <c r="A92" s="77"/>
      <c r="B92" s="77"/>
      <c r="C92" s="78" t="s">
        <v>390</v>
      </c>
      <c r="D92" s="79">
        <f>'дод 3'!E146</f>
        <v>0</v>
      </c>
      <c r="E92" s="79">
        <f>'дод 3'!F146</f>
        <v>0</v>
      </c>
      <c r="F92" s="79">
        <f>'дод 3'!G146</f>
        <v>0</v>
      </c>
      <c r="G92" s="79">
        <f>'дод 3'!H146</f>
        <v>0</v>
      </c>
      <c r="H92" s="79">
        <f>'дод 3'!I146</f>
        <v>0</v>
      </c>
      <c r="I92" s="79">
        <f>'дод 3'!J146</f>
        <v>0</v>
      </c>
      <c r="J92" s="79">
        <f>'дод 3'!K146</f>
        <v>0</v>
      </c>
      <c r="K92" s="79">
        <f>'дод 3'!L146</f>
        <v>0</v>
      </c>
      <c r="L92" s="79">
        <f>'дод 3'!M146</f>
        <v>0</v>
      </c>
      <c r="M92" s="79">
        <f>'дод 3'!N146</f>
        <v>0</v>
      </c>
      <c r="N92" s="79">
        <f>'дод 3'!O146</f>
        <v>0</v>
      </c>
      <c r="O92" s="79">
        <f>'дод 3'!P146</f>
        <v>0</v>
      </c>
    </row>
    <row r="93" spans="1:15" ht="48.75" customHeight="1" x14ac:dyDescent="0.25">
      <c r="A93" s="37" t="s">
        <v>122</v>
      </c>
      <c r="B93" s="37" t="s">
        <v>313</v>
      </c>
      <c r="C93" s="6" t="s">
        <v>465</v>
      </c>
      <c r="D93" s="49">
        <f>'дод 3'!E147</f>
        <v>3732831</v>
      </c>
      <c r="E93" s="49">
        <f>'дод 3'!F147</f>
        <v>3732831</v>
      </c>
      <c r="F93" s="49">
        <f>'дод 3'!G147</f>
        <v>0</v>
      </c>
      <c r="G93" s="49">
        <f>'дод 3'!H147</f>
        <v>0</v>
      </c>
      <c r="H93" s="49">
        <f>'дод 3'!I147</f>
        <v>0</v>
      </c>
      <c r="I93" s="49">
        <f>'дод 3'!J147</f>
        <v>0</v>
      </c>
      <c r="J93" s="49">
        <f>'дод 3'!K147</f>
        <v>0</v>
      </c>
      <c r="K93" s="49">
        <f>'дод 3'!L147</f>
        <v>0</v>
      </c>
      <c r="L93" s="49">
        <f>'дод 3'!M147</f>
        <v>0</v>
      </c>
      <c r="M93" s="49">
        <f>'дод 3'!N147</f>
        <v>0</v>
      </c>
      <c r="N93" s="49">
        <f>'дод 3'!O147</f>
        <v>0</v>
      </c>
      <c r="O93" s="49">
        <f>'дод 3'!P147</f>
        <v>3732831</v>
      </c>
    </row>
    <row r="94" spans="1:15" s="54" customFormat="1" ht="47.25" hidden="1" customHeight="1" x14ac:dyDescent="0.25">
      <c r="A94" s="77"/>
      <c r="B94" s="77"/>
      <c r="C94" s="80" t="s">
        <v>392</v>
      </c>
      <c r="D94" s="79">
        <f>'дод 3'!E148</f>
        <v>0</v>
      </c>
      <c r="E94" s="79">
        <f>'дод 3'!F148</f>
        <v>0</v>
      </c>
      <c r="F94" s="79">
        <f>'дод 3'!G148</f>
        <v>0</v>
      </c>
      <c r="G94" s="79">
        <f>'дод 3'!H148</f>
        <v>0</v>
      </c>
      <c r="H94" s="79">
        <f>'дод 3'!I148</f>
        <v>0</v>
      </c>
      <c r="I94" s="79">
        <f>'дод 3'!J148</f>
        <v>0</v>
      </c>
      <c r="J94" s="79">
        <f>'дод 3'!K148</f>
        <v>0</v>
      </c>
      <c r="K94" s="79">
        <f>'дод 3'!L148</f>
        <v>0</v>
      </c>
      <c r="L94" s="79">
        <f>'дод 3'!M148</f>
        <v>0</v>
      </c>
      <c r="M94" s="79">
        <f>'дод 3'!N148</f>
        <v>0</v>
      </c>
      <c r="N94" s="79">
        <f>'дод 3'!O148</f>
        <v>0</v>
      </c>
      <c r="O94" s="79">
        <f>'дод 3'!P148</f>
        <v>0</v>
      </c>
    </row>
    <row r="95" spans="1:15" ht="31.5" x14ac:dyDescent="0.25">
      <c r="A95" s="40">
        <v>2144</v>
      </c>
      <c r="B95" s="37" t="s">
        <v>64</v>
      </c>
      <c r="C95" s="6" t="s">
        <v>404</v>
      </c>
      <c r="D95" s="49">
        <f>'дод 3'!E149</f>
        <v>11403700</v>
      </c>
      <c r="E95" s="49">
        <f>'дод 3'!F149</f>
        <v>11403700</v>
      </c>
      <c r="F95" s="49">
        <f>'дод 3'!G149</f>
        <v>0</v>
      </c>
      <c r="G95" s="49">
        <f>'дод 3'!H149</f>
        <v>0</v>
      </c>
      <c r="H95" s="49">
        <f>'дод 3'!I149</f>
        <v>0</v>
      </c>
      <c r="I95" s="49">
        <f>'дод 3'!J149</f>
        <v>0</v>
      </c>
      <c r="J95" s="49">
        <f>'дод 3'!K149</f>
        <v>0</v>
      </c>
      <c r="K95" s="49">
        <f>'дод 3'!L149</f>
        <v>0</v>
      </c>
      <c r="L95" s="49">
        <f>'дод 3'!M149</f>
        <v>0</v>
      </c>
      <c r="M95" s="49">
        <f>'дод 3'!N149</f>
        <v>0</v>
      </c>
      <c r="N95" s="49">
        <f>'дод 3'!O149</f>
        <v>0</v>
      </c>
      <c r="O95" s="49">
        <f>'дод 3'!P149</f>
        <v>11403700</v>
      </c>
    </row>
    <row r="96" spans="1:15" s="54" customFormat="1" ht="47.25" hidden="1" customHeight="1" x14ac:dyDescent="0.25">
      <c r="A96" s="81"/>
      <c r="B96" s="77"/>
      <c r="C96" s="78" t="s">
        <v>391</v>
      </c>
      <c r="D96" s="79">
        <f>'дод 3'!E150</f>
        <v>0</v>
      </c>
      <c r="E96" s="79">
        <f>'дод 3'!F150</f>
        <v>0</v>
      </c>
      <c r="F96" s="79">
        <f>'дод 3'!G150</f>
        <v>0</v>
      </c>
      <c r="G96" s="79">
        <f>'дод 3'!H150</f>
        <v>0</v>
      </c>
      <c r="H96" s="79">
        <f>'дод 3'!I150</f>
        <v>0</v>
      </c>
      <c r="I96" s="79">
        <f>'дод 3'!J150</f>
        <v>0</v>
      </c>
      <c r="J96" s="79">
        <f>'дод 3'!K150</f>
        <v>0</v>
      </c>
      <c r="K96" s="79">
        <f>'дод 3'!L150</f>
        <v>0</v>
      </c>
      <c r="L96" s="79">
        <f>'дод 3'!M150</f>
        <v>0</v>
      </c>
      <c r="M96" s="79">
        <f>'дод 3'!N150</f>
        <v>0</v>
      </c>
      <c r="N96" s="79">
        <f>'дод 3'!O150</f>
        <v>0</v>
      </c>
      <c r="O96" s="79">
        <f>'дод 3'!P150</f>
        <v>0</v>
      </c>
    </row>
    <row r="97" spans="1:15" s="54" customFormat="1" ht="47.25" x14ac:dyDescent="0.25">
      <c r="A97" s="81"/>
      <c r="B97" s="77"/>
      <c r="C97" s="78" t="s">
        <v>392</v>
      </c>
      <c r="D97" s="79">
        <f>'дод 3'!E151</f>
        <v>11403700</v>
      </c>
      <c r="E97" s="79">
        <f>'дод 3'!F151</f>
        <v>11403700</v>
      </c>
      <c r="F97" s="79">
        <f>'дод 3'!G151</f>
        <v>0</v>
      </c>
      <c r="G97" s="79">
        <f>'дод 3'!H151</f>
        <v>0</v>
      </c>
      <c r="H97" s="79">
        <f>'дод 3'!I151</f>
        <v>0</v>
      </c>
      <c r="I97" s="79">
        <f>'дод 3'!J151</f>
        <v>0</v>
      </c>
      <c r="J97" s="79">
        <f>'дод 3'!K151</f>
        <v>0</v>
      </c>
      <c r="K97" s="79">
        <f>'дод 3'!L151</f>
        <v>0</v>
      </c>
      <c r="L97" s="79">
        <f>'дод 3'!M151</f>
        <v>0</v>
      </c>
      <c r="M97" s="79">
        <f>'дод 3'!N151</f>
        <v>0</v>
      </c>
      <c r="N97" s="79">
        <f>'дод 3'!O151</f>
        <v>0</v>
      </c>
      <c r="O97" s="79">
        <f>'дод 3'!P151</f>
        <v>11403700</v>
      </c>
    </row>
    <row r="98" spans="1:15" ht="33.75" customHeight="1" x14ac:dyDescent="0.25">
      <c r="A98" s="37" t="s">
        <v>282</v>
      </c>
      <c r="B98" s="37" t="s">
        <v>64</v>
      </c>
      <c r="C98" s="3" t="s">
        <v>284</v>
      </c>
      <c r="D98" s="49">
        <f>'дод 3'!E152</f>
        <v>3075784</v>
      </c>
      <c r="E98" s="49">
        <f>'дод 3'!F152</f>
        <v>3075784</v>
      </c>
      <c r="F98" s="49">
        <f>'дод 3'!G152</f>
        <v>2387600</v>
      </c>
      <c r="G98" s="49">
        <f>'дод 3'!H152</f>
        <v>75184</v>
      </c>
      <c r="H98" s="49">
        <f>'дод 3'!I152</f>
        <v>0</v>
      </c>
      <c r="I98" s="49">
        <f>'дод 3'!J152</f>
        <v>0</v>
      </c>
      <c r="J98" s="49">
        <f>'дод 3'!K152</f>
        <v>0</v>
      </c>
      <c r="K98" s="49">
        <f>'дод 3'!L152</f>
        <v>0</v>
      </c>
      <c r="L98" s="49">
        <f>'дод 3'!M152</f>
        <v>0</v>
      </c>
      <c r="M98" s="49">
        <f>'дод 3'!N152</f>
        <v>0</v>
      </c>
      <c r="N98" s="49">
        <f>'дод 3'!O152</f>
        <v>0</v>
      </c>
      <c r="O98" s="49">
        <f>'дод 3'!P152</f>
        <v>3075784</v>
      </c>
    </row>
    <row r="99" spans="1:15" ht="21.75" customHeight="1" x14ac:dyDescent="0.25">
      <c r="A99" s="37" t="s">
        <v>283</v>
      </c>
      <c r="B99" s="37" t="s">
        <v>64</v>
      </c>
      <c r="C99" s="3" t="s">
        <v>285</v>
      </c>
      <c r="D99" s="49">
        <f>'дод 3'!E153</f>
        <v>20438800</v>
      </c>
      <c r="E99" s="49">
        <f>'дод 3'!F153</f>
        <v>20438800</v>
      </c>
      <c r="F99" s="49">
        <f>'дод 3'!G153</f>
        <v>0</v>
      </c>
      <c r="G99" s="49">
        <f>'дод 3'!H153</f>
        <v>0</v>
      </c>
      <c r="H99" s="49">
        <f>'дод 3'!I153</f>
        <v>0</v>
      </c>
      <c r="I99" s="49">
        <f>'дод 3'!J153</f>
        <v>39891354</v>
      </c>
      <c r="J99" s="49">
        <f>'дод 3'!K153</f>
        <v>39891354</v>
      </c>
      <c r="K99" s="49">
        <f>'дод 3'!L153</f>
        <v>0</v>
      </c>
      <c r="L99" s="49">
        <f>'дод 3'!M153</f>
        <v>0</v>
      </c>
      <c r="M99" s="49">
        <f>'дод 3'!N153</f>
        <v>0</v>
      </c>
      <c r="N99" s="49">
        <f>'дод 3'!O153</f>
        <v>39891354</v>
      </c>
      <c r="O99" s="49">
        <f>'дод 3'!P153</f>
        <v>60330154</v>
      </c>
    </row>
    <row r="100" spans="1:15" s="52" customFormat="1" ht="33" customHeight="1" x14ac:dyDescent="0.25">
      <c r="A100" s="38" t="s">
        <v>65</v>
      </c>
      <c r="B100" s="41"/>
      <c r="C100" s="2" t="s">
        <v>513</v>
      </c>
      <c r="D100" s="48">
        <f>D106+D107+D108+D110+D111+D112+D114+D116+D117+D118+D119+D120+D121+D122+D123+D125+D127+D128+D129+D130+D131+D132+D134+D138+D139</f>
        <v>150036390.34999999</v>
      </c>
      <c r="E100" s="48">
        <f t="shared" ref="E100:O100" si="17">E106+E107+E108+E110+E111+E112+E114+E116+E117+E118+E119+E120+E121+E122+E123+E125+E127+E128+E129+E130+E131+E132+E134+E138+E139</f>
        <v>150036390.34999999</v>
      </c>
      <c r="F100" s="48">
        <f t="shared" si="17"/>
        <v>21152068</v>
      </c>
      <c r="G100" s="48">
        <f t="shared" si="17"/>
        <v>977151</v>
      </c>
      <c r="H100" s="48">
        <f t="shared" si="17"/>
        <v>0</v>
      </c>
      <c r="I100" s="48">
        <f t="shared" si="17"/>
        <v>2465611.0499999998</v>
      </c>
      <c r="J100" s="48">
        <f t="shared" si="17"/>
        <v>2369411.0499999998</v>
      </c>
      <c r="K100" s="48">
        <f t="shared" si="17"/>
        <v>96200</v>
      </c>
      <c r="L100" s="48">
        <f t="shared" si="17"/>
        <v>75000</v>
      </c>
      <c r="M100" s="48">
        <f t="shared" si="17"/>
        <v>0</v>
      </c>
      <c r="N100" s="48">
        <f t="shared" si="17"/>
        <v>2369411.0499999998</v>
      </c>
      <c r="O100" s="48">
        <f t="shared" si="17"/>
        <v>152502001.39999998</v>
      </c>
    </row>
    <row r="101" spans="1:15" s="53" customFormat="1" ht="262.5" hidden="1" customHeight="1" x14ac:dyDescent="0.25">
      <c r="A101" s="70"/>
      <c r="B101" s="71"/>
      <c r="C101" s="74" t="s">
        <v>444</v>
      </c>
      <c r="D101" s="75">
        <f>D133</f>
        <v>0</v>
      </c>
      <c r="E101" s="75">
        <f t="shared" ref="E101:O101" si="18">E133</f>
        <v>0</v>
      </c>
      <c r="F101" s="75">
        <f t="shared" si="18"/>
        <v>0</v>
      </c>
      <c r="G101" s="75">
        <f t="shared" si="18"/>
        <v>0</v>
      </c>
      <c r="H101" s="75">
        <f t="shared" si="18"/>
        <v>0</v>
      </c>
      <c r="I101" s="75">
        <f t="shared" si="18"/>
        <v>975480.06</v>
      </c>
      <c r="J101" s="75">
        <f t="shared" si="18"/>
        <v>975480.06</v>
      </c>
      <c r="K101" s="75">
        <f t="shared" si="18"/>
        <v>0</v>
      </c>
      <c r="L101" s="75">
        <f t="shared" si="18"/>
        <v>0</v>
      </c>
      <c r="M101" s="75">
        <f t="shared" si="18"/>
        <v>0</v>
      </c>
      <c r="N101" s="75">
        <f t="shared" si="18"/>
        <v>975480.06</v>
      </c>
      <c r="O101" s="75">
        <f t="shared" si="18"/>
        <v>975480.06</v>
      </c>
    </row>
    <row r="102" spans="1:15" s="53" customFormat="1" ht="231" hidden="1" customHeight="1" x14ac:dyDescent="0.25">
      <c r="A102" s="70"/>
      <c r="B102" s="71"/>
      <c r="C102" s="74" t="s">
        <v>443</v>
      </c>
      <c r="D102" s="75">
        <f>D137</f>
        <v>0</v>
      </c>
      <c r="E102" s="75">
        <f t="shared" ref="E102:O102" si="19">E137</f>
        <v>0</v>
      </c>
      <c r="F102" s="75">
        <f t="shared" si="19"/>
        <v>0</v>
      </c>
      <c r="G102" s="75">
        <f t="shared" si="19"/>
        <v>0</v>
      </c>
      <c r="H102" s="75">
        <f t="shared" si="19"/>
        <v>0</v>
      </c>
      <c r="I102" s="75">
        <f t="shared" si="19"/>
        <v>0</v>
      </c>
      <c r="J102" s="75">
        <f t="shared" si="19"/>
        <v>0</v>
      </c>
      <c r="K102" s="75">
        <f t="shared" si="19"/>
        <v>0</v>
      </c>
      <c r="L102" s="75">
        <f t="shared" si="19"/>
        <v>0</v>
      </c>
      <c r="M102" s="75">
        <f t="shared" si="19"/>
        <v>0</v>
      </c>
      <c r="N102" s="75">
        <f t="shared" si="19"/>
        <v>0</v>
      </c>
      <c r="O102" s="75">
        <f t="shared" si="19"/>
        <v>0</v>
      </c>
    </row>
    <row r="103" spans="1:15" s="53" customFormat="1" x14ac:dyDescent="0.25">
      <c r="A103" s="70"/>
      <c r="B103" s="71"/>
      <c r="C103" s="74" t="s">
        <v>395</v>
      </c>
      <c r="D103" s="75">
        <f>D109+D113+D115+D124+D126+D140</f>
        <v>7402508.2400000002</v>
      </c>
      <c r="E103" s="75">
        <f t="shared" ref="E103:O103" si="20">E109+E113+E115+E124+E126+E140</f>
        <v>7402508.2400000002</v>
      </c>
      <c r="F103" s="75">
        <f t="shared" si="20"/>
        <v>0</v>
      </c>
      <c r="G103" s="75">
        <f t="shared" si="20"/>
        <v>0</v>
      </c>
      <c r="H103" s="75">
        <f t="shared" si="20"/>
        <v>0</v>
      </c>
      <c r="I103" s="75">
        <f t="shared" si="20"/>
        <v>0</v>
      </c>
      <c r="J103" s="75">
        <f t="shared" si="20"/>
        <v>0</v>
      </c>
      <c r="K103" s="75">
        <f t="shared" si="20"/>
        <v>0</v>
      </c>
      <c r="L103" s="75">
        <f t="shared" si="20"/>
        <v>0</v>
      </c>
      <c r="M103" s="75">
        <f t="shared" si="20"/>
        <v>0</v>
      </c>
      <c r="N103" s="75">
        <f t="shared" si="20"/>
        <v>0</v>
      </c>
      <c r="O103" s="75">
        <f t="shared" si="20"/>
        <v>7402508.2400000002</v>
      </c>
    </row>
    <row r="104" spans="1:15" s="53" customFormat="1" ht="291" customHeight="1" x14ac:dyDescent="0.25">
      <c r="A104" s="70"/>
      <c r="B104" s="71"/>
      <c r="C104" s="76" t="s">
        <v>579</v>
      </c>
      <c r="D104" s="75">
        <f>D133</f>
        <v>0</v>
      </c>
      <c r="E104" s="75">
        <f t="shared" ref="E104:O104" si="21">E133</f>
        <v>0</v>
      </c>
      <c r="F104" s="75">
        <f t="shared" si="21"/>
        <v>0</v>
      </c>
      <c r="G104" s="75">
        <f t="shared" si="21"/>
        <v>0</v>
      </c>
      <c r="H104" s="75">
        <f t="shared" si="21"/>
        <v>0</v>
      </c>
      <c r="I104" s="75">
        <f t="shared" si="21"/>
        <v>975480.06</v>
      </c>
      <c r="J104" s="75">
        <f t="shared" si="21"/>
        <v>975480.06</v>
      </c>
      <c r="K104" s="75">
        <f t="shared" si="21"/>
        <v>0</v>
      </c>
      <c r="L104" s="75">
        <f t="shared" si="21"/>
        <v>0</v>
      </c>
      <c r="M104" s="75">
        <f t="shared" si="21"/>
        <v>0</v>
      </c>
      <c r="N104" s="75">
        <f t="shared" si="21"/>
        <v>975480.06</v>
      </c>
      <c r="O104" s="75">
        <f t="shared" si="21"/>
        <v>975480.06</v>
      </c>
    </row>
    <row r="105" spans="1:15" s="53" customFormat="1" ht="350.25" customHeight="1" x14ac:dyDescent="0.25">
      <c r="A105" s="70"/>
      <c r="B105" s="71"/>
      <c r="C105" s="76" t="s">
        <v>604</v>
      </c>
      <c r="D105" s="75">
        <f>D135</f>
        <v>0</v>
      </c>
      <c r="E105" s="75">
        <f t="shared" ref="E105:O105" si="22">E135</f>
        <v>0</v>
      </c>
      <c r="F105" s="75">
        <f t="shared" si="22"/>
        <v>0</v>
      </c>
      <c r="G105" s="75">
        <f t="shared" si="22"/>
        <v>0</v>
      </c>
      <c r="H105" s="75">
        <f t="shared" si="22"/>
        <v>0</v>
      </c>
      <c r="I105" s="75">
        <f t="shared" si="22"/>
        <v>1176130.99</v>
      </c>
      <c r="J105" s="75">
        <f t="shared" si="22"/>
        <v>1176130.99</v>
      </c>
      <c r="K105" s="75">
        <f t="shared" si="22"/>
        <v>0</v>
      </c>
      <c r="L105" s="75">
        <f t="shared" si="22"/>
        <v>0</v>
      </c>
      <c r="M105" s="75">
        <f t="shared" si="22"/>
        <v>0</v>
      </c>
      <c r="N105" s="75">
        <f t="shared" si="22"/>
        <v>1176130.99</v>
      </c>
      <c r="O105" s="75">
        <f t="shared" si="22"/>
        <v>1176130.99</v>
      </c>
    </row>
    <row r="106" spans="1:15" ht="38.25" customHeight="1" x14ac:dyDescent="0.25">
      <c r="A106" s="37" t="s">
        <v>98</v>
      </c>
      <c r="B106" s="37" t="s">
        <v>52</v>
      </c>
      <c r="C106" s="3" t="s">
        <v>123</v>
      </c>
      <c r="D106" s="49">
        <f>'дод 3'!E172</f>
        <v>806663</v>
      </c>
      <c r="E106" s="49">
        <f>'дод 3'!F172</f>
        <v>806663</v>
      </c>
      <c r="F106" s="49">
        <f>'дод 3'!G172</f>
        <v>0</v>
      </c>
      <c r="G106" s="49">
        <f>'дод 3'!H172</f>
        <v>0</v>
      </c>
      <c r="H106" s="49">
        <f>'дод 3'!I172</f>
        <v>0</v>
      </c>
      <c r="I106" s="49">
        <f>'дод 3'!J172</f>
        <v>0</v>
      </c>
      <c r="J106" s="49">
        <f>'дод 3'!K172</f>
        <v>0</v>
      </c>
      <c r="K106" s="49">
        <f>'дод 3'!L172</f>
        <v>0</v>
      </c>
      <c r="L106" s="49">
        <f>'дод 3'!M172</f>
        <v>0</v>
      </c>
      <c r="M106" s="49">
        <f>'дод 3'!N172</f>
        <v>0</v>
      </c>
      <c r="N106" s="49">
        <f>'дод 3'!O172</f>
        <v>0</v>
      </c>
      <c r="O106" s="49">
        <f>'дод 3'!P172</f>
        <v>806663</v>
      </c>
    </row>
    <row r="107" spans="1:15" ht="36.75" customHeight="1" x14ac:dyDescent="0.25">
      <c r="A107" s="37" t="s">
        <v>124</v>
      </c>
      <c r="B107" s="37" t="s">
        <v>54</v>
      </c>
      <c r="C107" s="3" t="s">
        <v>360</v>
      </c>
      <c r="D107" s="49">
        <f>'дод 3'!E173</f>
        <v>900230</v>
      </c>
      <c r="E107" s="49">
        <f>'дод 3'!F173</f>
        <v>900230</v>
      </c>
      <c r="F107" s="49">
        <f>'дод 3'!G173</f>
        <v>0</v>
      </c>
      <c r="G107" s="49">
        <f>'дод 3'!H173</f>
        <v>0</v>
      </c>
      <c r="H107" s="49">
        <f>'дод 3'!I173</f>
        <v>0</v>
      </c>
      <c r="I107" s="49">
        <f>'дод 3'!J173</f>
        <v>0</v>
      </c>
      <c r="J107" s="49">
        <f>'дод 3'!K173</f>
        <v>0</v>
      </c>
      <c r="K107" s="49">
        <f>'дод 3'!L173</f>
        <v>0</v>
      </c>
      <c r="L107" s="49">
        <f>'дод 3'!M173</f>
        <v>0</v>
      </c>
      <c r="M107" s="49">
        <f>'дод 3'!N173</f>
        <v>0</v>
      </c>
      <c r="N107" s="49">
        <f>'дод 3'!O173</f>
        <v>0</v>
      </c>
      <c r="O107" s="49">
        <f>'дод 3'!P173</f>
        <v>900230</v>
      </c>
    </row>
    <row r="108" spans="1:15" ht="47.25" x14ac:dyDescent="0.25">
      <c r="A108" s="37" t="s">
        <v>99</v>
      </c>
      <c r="B108" s="37" t="s">
        <v>54</v>
      </c>
      <c r="C108" s="3" t="s">
        <v>594</v>
      </c>
      <c r="D108" s="49">
        <f>'дод 3'!E174+'дод 3'!E26</f>
        <v>22348327.240000002</v>
      </c>
      <c r="E108" s="49">
        <f>'дод 3'!F174+'дод 3'!F26</f>
        <v>22348327.240000002</v>
      </c>
      <c r="F108" s="49">
        <f>'дод 3'!G174+'дод 3'!G26</f>
        <v>0</v>
      </c>
      <c r="G108" s="49">
        <f>'дод 3'!H174+'дод 3'!H26</f>
        <v>0</v>
      </c>
      <c r="H108" s="49">
        <f>'дод 3'!I174+'дод 3'!I26</f>
        <v>0</v>
      </c>
      <c r="I108" s="49">
        <f>'дод 3'!J174+'дод 3'!J26</f>
        <v>0</v>
      </c>
      <c r="J108" s="49">
        <f>'дод 3'!K174+'дод 3'!K26</f>
        <v>0</v>
      </c>
      <c r="K108" s="49">
        <f>'дод 3'!L174+'дод 3'!L26</f>
        <v>0</v>
      </c>
      <c r="L108" s="49">
        <f>'дод 3'!M174+'дод 3'!M26</f>
        <v>0</v>
      </c>
      <c r="M108" s="49">
        <f>'дод 3'!N174+'дод 3'!N26</f>
        <v>0</v>
      </c>
      <c r="N108" s="49">
        <f>'дод 3'!O174+'дод 3'!O26</f>
        <v>0</v>
      </c>
      <c r="O108" s="49">
        <f>'дод 3'!P174+'дод 3'!P26</f>
        <v>22348327.240000002</v>
      </c>
    </row>
    <row r="109" spans="1:15" s="54" customFormat="1" ht="21.75" customHeight="1" x14ac:dyDescent="0.25">
      <c r="A109" s="77"/>
      <c r="B109" s="77"/>
      <c r="C109" s="78" t="s">
        <v>393</v>
      </c>
      <c r="D109" s="79">
        <f>'дод 3'!E175</f>
        <v>5943709.2400000002</v>
      </c>
      <c r="E109" s="79">
        <f>'дод 3'!F175</f>
        <v>5943709.2400000002</v>
      </c>
      <c r="F109" s="79">
        <f>'дод 3'!G175</f>
        <v>0</v>
      </c>
      <c r="G109" s="79">
        <f>'дод 3'!H175</f>
        <v>0</v>
      </c>
      <c r="H109" s="79">
        <f>'дод 3'!I175</f>
        <v>0</v>
      </c>
      <c r="I109" s="79">
        <f>'дод 3'!J175</f>
        <v>0</v>
      </c>
      <c r="J109" s="79">
        <f>'дод 3'!K175</f>
        <v>0</v>
      </c>
      <c r="K109" s="79">
        <f>'дод 3'!L175</f>
        <v>0</v>
      </c>
      <c r="L109" s="79">
        <f>'дод 3'!M175</f>
        <v>0</v>
      </c>
      <c r="M109" s="79">
        <f>'дод 3'!N175</f>
        <v>0</v>
      </c>
      <c r="N109" s="79">
        <f>'дод 3'!O175</f>
        <v>0</v>
      </c>
      <c r="O109" s="79">
        <f>'дод 3'!P175</f>
        <v>5943709.2400000002</v>
      </c>
    </row>
    <row r="110" spans="1:15" ht="36" customHeight="1" x14ac:dyDescent="0.25">
      <c r="A110" s="37" t="s">
        <v>323</v>
      </c>
      <c r="B110" s="37" t="s">
        <v>54</v>
      </c>
      <c r="C110" s="3" t="s">
        <v>322</v>
      </c>
      <c r="D110" s="49">
        <f>'дод 3'!E176</f>
        <v>2000000</v>
      </c>
      <c r="E110" s="49">
        <f>'дод 3'!F176</f>
        <v>2000000</v>
      </c>
      <c r="F110" s="49">
        <f>'дод 3'!G176</f>
        <v>0</v>
      </c>
      <c r="G110" s="49">
        <f>'дод 3'!H176</f>
        <v>0</v>
      </c>
      <c r="H110" s="49">
        <f>'дод 3'!I176</f>
        <v>0</v>
      </c>
      <c r="I110" s="49">
        <f>'дод 3'!J176</f>
        <v>0</v>
      </c>
      <c r="J110" s="49">
        <f>'дод 3'!K176</f>
        <v>0</v>
      </c>
      <c r="K110" s="49">
        <f>'дод 3'!L176</f>
        <v>0</v>
      </c>
      <c r="L110" s="49">
        <f>'дод 3'!M176</f>
        <v>0</v>
      </c>
      <c r="M110" s="49">
        <f>'дод 3'!N176</f>
        <v>0</v>
      </c>
      <c r="N110" s="49">
        <f>'дод 3'!O176</f>
        <v>0</v>
      </c>
      <c r="O110" s="49">
        <f>'дод 3'!P176</f>
        <v>2000000</v>
      </c>
    </row>
    <row r="111" spans="1:15" ht="44.25" customHeight="1" x14ac:dyDescent="0.25">
      <c r="A111" s="37" t="s">
        <v>125</v>
      </c>
      <c r="B111" s="37" t="s">
        <v>54</v>
      </c>
      <c r="C111" s="3" t="s">
        <v>19</v>
      </c>
      <c r="D111" s="49">
        <f>'дод 3'!E177+'дод 3'!E27</f>
        <v>36042686</v>
      </c>
      <c r="E111" s="49">
        <f>'дод 3'!F177+'дод 3'!F27</f>
        <v>36042686</v>
      </c>
      <c r="F111" s="49">
        <f>'дод 3'!G177+'дод 3'!G27</f>
        <v>0</v>
      </c>
      <c r="G111" s="49">
        <f>'дод 3'!H177+'дод 3'!H27</f>
        <v>0</v>
      </c>
      <c r="H111" s="49">
        <f>'дод 3'!I177+'дод 3'!I27</f>
        <v>0</v>
      </c>
      <c r="I111" s="49">
        <f>'дод 3'!J177+'дод 3'!J27</f>
        <v>0</v>
      </c>
      <c r="J111" s="49">
        <f>'дод 3'!K177+'дод 3'!K27</f>
        <v>0</v>
      </c>
      <c r="K111" s="49">
        <f>'дод 3'!L177+'дод 3'!L27</f>
        <v>0</v>
      </c>
      <c r="L111" s="49">
        <f>'дод 3'!M177+'дод 3'!M27</f>
        <v>0</v>
      </c>
      <c r="M111" s="49">
        <f>'дод 3'!N177+'дод 3'!N27</f>
        <v>0</v>
      </c>
      <c r="N111" s="49">
        <f>'дод 3'!O177+'дод 3'!O27</f>
        <v>0</v>
      </c>
      <c r="O111" s="49">
        <f>'дод 3'!P177+'дод 3'!P27</f>
        <v>36042686</v>
      </c>
    </row>
    <row r="112" spans="1:15" ht="45" customHeight="1" x14ac:dyDescent="0.25">
      <c r="A112" s="37" t="s">
        <v>101</v>
      </c>
      <c r="B112" s="37" t="s">
        <v>54</v>
      </c>
      <c r="C112" s="3" t="s">
        <v>409</v>
      </c>
      <c r="D112" s="49">
        <f>'дод 3'!E178</f>
        <v>667500</v>
      </c>
      <c r="E112" s="49">
        <f>'дод 3'!F178</f>
        <v>667500</v>
      </c>
      <c r="F112" s="49">
        <f>'дод 3'!G178</f>
        <v>0</v>
      </c>
      <c r="G112" s="49">
        <f>'дод 3'!H178</f>
        <v>0</v>
      </c>
      <c r="H112" s="49">
        <f>'дод 3'!I178</f>
        <v>0</v>
      </c>
      <c r="I112" s="49">
        <f>'дод 3'!J178</f>
        <v>0</v>
      </c>
      <c r="J112" s="49">
        <f>'дод 3'!K178</f>
        <v>0</v>
      </c>
      <c r="K112" s="49">
        <f>'дод 3'!L178</f>
        <v>0</v>
      </c>
      <c r="L112" s="49">
        <f>'дод 3'!M178</f>
        <v>0</v>
      </c>
      <c r="M112" s="49">
        <f>'дод 3'!N178</f>
        <v>0</v>
      </c>
      <c r="N112" s="49">
        <f>'дод 3'!O178</f>
        <v>0</v>
      </c>
      <c r="O112" s="49">
        <f>'дод 3'!P178</f>
        <v>667500</v>
      </c>
    </row>
    <row r="113" spans="1:15" s="54" customFormat="1" x14ac:dyDescent="0.25">
      <c r="A113" s="77"/>
      <c r="B113" s="77"/>
      <c r="C113" s="78" t="s">
        <v>393</v>
      </c>
      <c r="D113" s="79">
        <f>'дод 3'!E179</f>
        <v>667500</v>
      </c>
      <c r="E113" s="79">
        <f>'дод 3'!F179</f>
        <v>667500</v>
      </c>
      <c r="F113" s="79">
        <f>'дод 3'!G179</f>
        <v>0</v>
      </c>
      <c r="G113" s="79">
        <f>'дод 3'!H179</f>
        <v>0</v>
      </c>
      <c r="H113" s="79">
        <f>'дод 3'!I179</f>
        <v>0</v>
      </c>
      <c r="I113" s="79">
        <f>'дод 3'!J179</f>
        <v>0</v>
      </c>
      <c r="J113" s="79">
        <f>'дод 3'!K179</f>
        <v>0</v>
      </c>
      <c r="K113" s="79">
        <f>'дод 3'!L179</f>
        <v>0</v>
      </c>
      <c r="L113" s="79">
        <f>'дод 3'!M179</f>
        <v>0</v>
      </c>
      <c r="M113" s="79">
        <f>'дод 3'!N179</f>
        <v>0</v>
      </c>
      <c r="N113" s="79">
        <f>'дод 3'!O179</f>
        <v>0</v>
      </c>
      <c r="O113" s="79">
        <f>'дод 3'!P179</f>
        <v>667500</v>
      </c>
    </row>
    <row r="114" spans="1:15" ht="40.5" customHeight="1" x14ac:dyDescent="0.25">
      <c r="A114" s="37" t="s">
        <v>315</v>
      </c>
      <c r="B114" s="37" t="s">
        <v>52</v>
      </c>
      <c r="C114" s="3" t="s">
        <v>410</v>
      </c>
      <c r="D114" s="49">
        <f>'дод 3'!E180</f>
        <v>245000</v>
      </c>
      <c r="E114" s="49">
        <f>'дод 3'!F180</f>
        <v>245000</v>
      </c>
      <c r="F114" s="49">
        <f>'дод 3'!G180</f>
        <v>0</v>
      </c>
      <c r="G114" s="49">
        <f>'дод 3'!H180</f>
        <v>0</v>
      </c>
      <c r="H114" s="49">
        <f>'дод 3'!I180</f>
        <v>0</v>
      </c>
      <c r="I114" s="49">
        <f>'дод 3'!J180</f>
        <v>0</v>
      </c>
      <c r="J114" s="49">
        <f>'дод 3'!K180</f>
        <v>0</v>
      </c>
      <c r="K114" s="49">
        <f>'дод 3'!L180</f>
        <v>0</v>
      </c>
      <c r="L114" s="49">
        <f>'дод 3'!M180</f>
        <v>0</v>
      </c>
      <c r="M114" s="49">
        <f>'дод 3'!N180</f>
        <v>0</v>
      </c>
      <c r="N114" s="49">
        <f>'дод 3'!O180</f>
        <v>0</v>
      </c>
      <c r="O114" s="49">
        <f>'дод 3'!P180</f>
        <v>245000</v>
      </c>
    </row>
    <row r="115" spans="1:15" s="54" customFormat="1" x14ac:dyDescent="0.25">
      <c r="A115" s="77"/>
      <c r="B115" s="77"/>
      <c r="C115" s="78" t="s">
        <v>393</v>
      </c>
      <c r="D115" s="79">
        <f>'дод 3'!E181</f>
        <v>245000</v>
      </c>
      <c r="E115" s="79">
        <f>'дод 3'!F181</f>
        <v>245000</v>
      </c>
      <c r="F115" s="79">
        <f>'дод 3'!G181</f>
        <v>0</v>
      </c>
      <c r="G115" s="79">
        <f>'дод 3'!H181</f>
        <v>0</v>
      </c>
      <c r="H115" s="79">
        <f>'дод 3'!I181</f>
        <v>0</v>
      </c>
      <c r="I115" s="79">
        <f>'дод 3'!J181</f>
        <v>0</v>
      </c>
      <c r="J115" s="79">
        <f>'дод 3'!K181</f>
        <v>0</v>
      </c>
      <c r="K115" s="79">
        <f>'дод 3'!L181</f>
        <v>0</v>
      </c>
      <c r="L115" s="79">
        <f>'дод 3'!M181</f>
        <v>0</v>
      </c>
      <c r="M115" s="79">
        <f>'дод 3'!N181</f>
        <v>0</v>
      </c>
      <c r="N115" s="79">
        <f>'дод 3'!O181</f>
        <v>0</v>
      </c>
      <c r="O115" s="79">
        <f>'дод 3'!P181</f>
        <v>245000</v>
      </c>
    </row>
    <row r="116" spans="1:15" ht="63.75" customHeight="1" x14ac:dyDescent="0.25">
      <c r="A116" s="37" t="s">
        <v>102</v>
      </c>
      <c r="B116" s="37" t="s">
        <v>50</v>
      </c>
      <c r="C116" s="3" t="s">
        <v>30</v>
      </c>
      <c r="D116" s="49">
        <f>'дод 3'!E182</f>
        <v>18402127.48</v>
      </c>
      <c r="E116" s="49">
        <f>'дод 3'!F182</f>
        <v>18402127.48</v>
      </c>
      <c r="F116" s="49">
        <f>'дод 3'!G182</f>
        <v>14027514.66</v>
      </c>
      <c r="G116" s="49">
        <f>'дод 3'!H182</f>
        <v>409914.4</v>
      </c>
      <c r="H116" s="49">
        <f>'дод 3'!I182</f>
        <v>0</v>
      </c>
      <c r="I116" s="49">
        <f>'дод 3'!J182</f>
        <v>96200</v>
      </c>
      <c r="J116" s="49">
        <f>'дод 3'!K182</f>
        <v>0</v>
      </c>
      <c r="K116" s="49">
        <f>'дод 3'!L182</f>
        <v>96200</v>
      </c>
      <c r="L116" s="49">
        <f>'дод 3'!M182</f>
        <v>75000</v>
      </c>
      <c r="M116" s="49">
        <f>'дод 3'!N182</f>
        <v>0</v>
      </c>
      <c r="N116" s="49">
        <f>'дод 3'!O182</f>
        <v>0</v>
      </c>
      <c r="O116" s="49">
        <f>'дод 3'!P182</f>
        <v>18498327.48</v>
      </c>
    </row>
    <row r="117" spans="1:15" ht="69.75" customHeight="1" x14ac:dyDescent="0.25">
      <c r="A117" s="37" t="s">
        <v>332</v>
      </c>
      <c r="B117" s="37" t="s">
        <v>100</v>
      </c>
      <c r="C117" s="36" t="s">
        <v>333</v>
      </c>
      <c r="D117" s="49">
        <f>SUM('дод 3'!E208)</f>
        <v>91140</v>
      </c>
      <c r="E117" s="49">
        <f>SUM('дод 3'!F208)</f>
        <v>91140</v>
      </c>
      <c r="F117" s="49">
        <f>SUM('дод 3'!G208)</f>
        <v>0</v>
      </c>
      <c r="G117" s="49">
        <f>SUM('дод 3'!H208)</f>
        <v>0</v>
      </c>
      <c r="H117" s="49">
        <f>SUM('дод 3'!I208)</f>
        <v>0</v>
      </c>
      <c r="I117" s="49">
        <f>SUM('дод 3'!J208)</f>
        <v>0</v>
      </c>
      <c r="J117" s="49">
        <f>SUM('дод 3'!K208)</f>
        <v>0</v>
      </c>
      <c r="K117" s="49">
        <f>SUM('дод 3'!L208)</f>
        <v>0</v>
      </c>
      <c r="L117" s="49">
        <f>SUM('дод 3'!M208)</f>
        <v>0</v>
      </c>
      <c r="M117" s="49">
        <f>SUM('дод 3'!N208)</f>
        <v>0</v>
      </c>
      <c r="N117" s="49">
        <f>SUM('дод 3'!O208)</f>
        <v>0</v>
      </c>
      <c r="O117" s="49">
        <f>SUM('дод 3'!P208)</f>
        <v>91140</v>
      </c>
    </row>
    <row r="118" spans="1:15" s="54" customFormat="1" ht="36" customHeight="1" x14ac:dyDescent="0.25">
      <c r="A118" s="37" t="s">
        <v>103</v>
      </c>
      <c r="B118" s="37" t="s">
        <v>100</v>
      </c>
      <c r="C118" s="3" t="s">
        <v>31</v>
      </c>
      <c r="D118" s="49">
        <f>'дод 3'!E209</f>
        <v>93040</v>
      </c>
      <c r="E118" s="49">
        <f>'дод 3'!F209</f>
        <v>93040</v>
      </c>
      <c r="F118" s="49">
        <f>'дод 3'!G209</f>
        <v>0</v>
      </c>
      <c r="G118" s="49">
        <f>'дод 3'!H209</f>
        <v>0</v>
      </c>
      <c r="H118" s="49">
        <f>'дод 3'!I209</f>
        <v>0</v>
      </c>
      <c r="I118" s="49">
        <f>'дод 3'!J209</f>
        <v>0</v>
      </c>
      <c r="J118" s="49">
        <f>'дод 3'!K209</f>
        <v>0</v>
      </c>
      <c r="K118" s="49">
        <f>'дод 3'!L209</f>
        <v>0</v>
      </c>
      <c r="L118" s="49">
        <f>'дод 3'!M209</f>
        <v>0</v>
      </c>
      <c r="M118" s="49">
        <f>'дод 3'!N209</f>
        <v>0</v>
      </c>
      <c r="N118" s="49">
        <f>'дод 3'!O209</f>
        <v>0</v>
      </c>
      <c r="O118" s="49">
        <f>'дод 3'!P209</f>
        <v>93040</v>
      </c>
    </row>
    <row r="119" spans="1:15" s="54" customFormat="1" ht="38.25" customHeight="1" x14ac:dyDescent="0.25">
      <c r="A119" s="37" t="s">
        <v>126</v>
      </c>
      <c r="B119" s="37" t="s">
        <v>100</v>
      </c>
      <c r="C119" s="3" t="s">
        <v>500</v>
      </c>
      <c r="D119" s="49">
        <f>'дод 3'!E28</f>
        <v>3222540</v>
      </c>
      <c r="E119" s="49">
        <f>'дод 3'!F28</f>
        <v>3222540</v>
      </c>
      <c r="F119" s="49">
        <f>'дод 3'!G28</f>
        <v>2407050</v>
      </c>
      <c r="G119" s="49">
        <f>'дод 3'!H28</f>
        <v>55730</v>
      </c>
      <c r="H119" s="49">
        <f>'дод 3'!I28</f>
        <v>0</v>
      </c>
      <c r="I119" s="49">
        <f>'дод 3'!J28</f>
        <v>0</v>
      </c>
      <c r="J119" s="49">
        <f>'дод 3'!K28</f>
        <v>0</v>
      </c>
      <c r="K119" s="49">
        <f>'дод 3'!L28</f>
        <v>0</v>
      </c>
      <c r="L119" s="49">
        <f>'дод 3'!M28</f>
        <v>0</v>
      </c>
      <c r="M119" s="49">
        <f>'дод 3'!N28</f>
        <v>0</v>
      </c>
      <c r="N119" s="49">
        <f>'дод 3'!O28</f>
        <v>0</v>
      </c>
      <c r="O119" s="49">
        <f>'дод 3'!P28</f>
        <v>3222540</v>
      </c>
    </row>
    <row r="120" spans="1:15" s="54" customFormat="1" ht="43.5" customHeight="1" x14ac:dyDescent="0.25">
      <c r="A120" s="40" t="s">
        <v>107</v>
      </c>
      <c r="B120" s="40" t="s">
        <v>100</v>
      </c>
      <c r="C120" s="3" t="s">
        <v>340</v>
      </c>
      <c r="D120" s="49">
        <f>'дод 3'!E29</f>
        <v>556216</v>
      </c>
      <c r="E120" s="49">
        <f>'дод 3'!F29</f>
        <v>556216</v>
      </c>
      <c r="F120" s="49">
        <f>'дод 3'!G29</f>
        <v>0</v>
      </c>
      <c r="G120" s="49">
        <f>'дод 3'!H29</f>
        <v>0</v>
      </c>
      <c r="H120" s="49">
        <f>'дод 3'!I29</f>
        <v>0</v>
      </c>
      <c r="I120" s="49">
        <f>'дод 3'!J29</f>
        <v>0</v>
      </c>
      <c r="J120" s="49">
        <f>'дод 3'!K29</f>
        <v>0</v>
      </c>
      <c r="K120" s="49">
        <f>'дод 3'!L29</f>
        <v>0</v>
      </c>
      <c r="L120" s="49">
        <f>'дод 3'!M29</f>
        <v>0</v>
      </c>
      <c r="M120" s="49">
        <f>'дод 3'!N29</f>
        <v>0</v>
      </c>
      <c r="N120" s="49">
        <f>'дод 3'!O29</f>
        <v>0</v>
      </c>
      <c r="O120" s="49">
        <f>'дод 3'!P29</f>
        <v>556216</v>
      </c>
    </row>
    <row r="121" spans="1:15" ht="69" customHeight="1" x14ac:dyDescent="0.25">
      <c r="A121" s="37" t="s">
        <v>108</v>
      </c>
      <c r="B121" s="37" t="s">
        <v>100</v>
      </c>
      <c r="C121" s="6" t="s">
        <v>20</v>
      </c>
      <c r="D121" s="49">
        <f>'дод 3'!E30+'дод 3'!E112</f>
        <v>5780000</v>
      </c>
      <c r="E121" s="49">
        <f>'дод 3'!F30+'дод 3'!F112</f>
        <v>5780000</v>
      </c>
      <c r="F121" s="49">
        <f>'дод 3'!G30+'дод 3'!G112</f>
        <v>0</v>
      </c>
      <c r="G121" s="49">
        <f>'дод 3'!H30+'дод 3'!H112</f>
        <v>0</v>
      </c>
      <c r="H121" s="49">
        <f>'дод 3'!I30+'дод 3'!I112</f>
        <v>0</v>
      </c>
      <c r="I121" s="49">
        <f>'дод 3'!J30+'дод 3'!J112</f>
        <v>0</v>
      </c>
      <c r="J121" s="49">
        <f>'дод 3'!K30+'дод 3'!K112</f>
        <v>0</v>
      </c>
      <c r="K121" s="49">
        <f>'дод 3'!L30+'дод 3'!L112</f>
        <v>0</v>
      </c>
      <c r="L121" s="49">
        <f>'дод 3'!M30+'дод 3'!M112</f>
        <v>0</v>
      </c>
      <c r="M121" s="49">
        <f>'дод 3'!N30+'дод 3'!N112</f>
        <v>0</v>
      </c>
      <c r="N121" s="49">
        <f>'дод 3'!O30+'дод 3'!O112</f>
        <v>0</v>
      </c>
      <c r="O121" s="49">
        <f>'дод 3'!P30+'дод 3'!P112</f>
        <v>5780000</v>
      </c>
    </row>
    <row r="122" spans="1:15" ht="78.75" x14ac:dyDescent="0.25">
      <c r="A122" s="37" t="s">
        <v>109</v>
      </c>
      <c r="B122" s="37">
        <v>1010</v>
      </c>
      <c r="C122" s="3" t="s">
        <v>286</v>
      </c>
      <c r="D122" s="49">
        <f>'дод 3'!E183</f>
        <v>4071000</v>
      </c>
      <c r="E122" s="49">
        <f>'дод 3'!F183</f>
        <v>4071000</v>
      </c>
      <c r="F122" s="49">
        <f>'дод 3'!G183</f>
        <v>0</v>
      </c>
      <c r="G122" s="49">
        <f>'дод 3'!H183</f>
        <v>0</v>
      </c>
      <c r="H122" s="49">
        <f>'дод 3'!I183</f>
        <v>0</v>
      </c>
      <c r="I122" s="49">
        <f>'дод 3'!J183</f>
        <v>0</v>
      </c>
      <c r="J122" s="49">
        <f>'дод 3'!K183</f>
        <v>0</v>
      </c>
      <c r="K122" s="49">
        <f>'дод 3'!L183</f>
        <v>0</v>
      </c>
      <c r="L122" s="49">
        <f>'дод 3'!M183</f>
        <v>0</v>
      </c>
      <c r="M122" s="49">
        <f>'дод 3'!N183</f>
        <v>0</v>
      </c>
      <c r="N122" s="49">
        <f>'дод 3'!O183</f>
        <v>0</v>
      </c>
      <c r="O122" s="49">
        <f>'дод 3'!P183</f>
        <v>4071000</v>
      </c>
    </row>
    <row r="123" spans="1:15" s="54" customFormat="1" ht="63" x14ac:dyDescent="0.25">
      <c r="A123" s="37" t="s">
        <v>316</v>
      </c>
      <c r="B123" s="37">
        <v>1010</v>
      </c>
      <c r="C123" s="3" t="s">
        <v>405</v>
      </c>
      <c r="D123" s="49">
        <f>'дод 3'!E184</f>
        <v>198209</v>
      </c>
      <c r="E123" s="49">
        <f>'дод 3'!F184</f>
        <v>198209</v>
      </c>
      <c r="F123" s="49">
        <f>'дод 3'!G184</f>
        <v>0</v>
      </c>
      <c r="G123" s="49">
        <f>'дод 3'!H184</f>
        <v>0</v>
      </c>
      <c r="H123" s="49">
        <f>'дод 3'!I184</f>
        <v>0</v>
      </c>
      <c r="I123" s="49">
        <f>'дод 3'!J184</f>
        <v>0</v>
      </c>
      <c r="J123" s="49">
        <f>'дод 3'!K184</f>
        <v>0</v>
      </c>
      <c r="K123" s="49">
        <f>'дод 3'!L184</f>
        <v>0</v>
      </c>
      <c r="L123" s="49">
        <f>'дод 3'!M184</f>
        <v>0</v>
      </c>
      <c r="M123" s="49">
        <f>'дод 3'!N184</f>
        <v>0</v>
      </c>
      <c r="N123" s="49">
        <f>'дод 3'!O184</f>
        <v>0</v>
      </c>
      <c r="O123" s="49">
        <f>'дод 3'!P184</f>
        <v>198209</v>
      </c>
    </row>
    <row r="124" spans="1:15" s="54" customFormat="1" x14ac:dyDescent="0.25">
      <c r="A124" s="77"/>
      <c r="B124" s="77"/>
      <c r="C124" s="78" t="s">
        <v>393</v>
      </c>
      <c r="D124" s="79">
        <f>'дод 3'!E185</f>
        <v>198209</v>
      </c>
      <c r="E124" s="79">
        <f>'дод 3'!F185</f>
        <v>198209</v>
      </c>
      <c r="F124" s="79">
        <f>'дод 3'!G185</f>
        <v>0</v>
      </c>
      <c r="G124" s="79">
        <f>'дод 3'!H185</f>
        <v>0</v>
      </c>
      <c r="H124" s="79">
        <f>'дод 3'!I185</f>
        <v>0</v>
      </c>
      <c r="I124" s="79">
        <f>'дод 3'!J185</f>
        <v>0</v>
      </c>
      <c r="J124" s="79">
        <f>'дод 3'!K185</f>
        <v>0</v>
      </c>
      <c r="K124" s="79">
        <f>'дод 3'!L185</f>
        <v>0</v>
      </c>
      <c r="L124" s="79">
        <f>'дод 3'!M185</f>
        <v>0</v>
      </c>
      <c r="M124" s="79">
        <f>'дод 3'!N185</f>
        <v>0</v>
      </c>
      <c r="N124" s="79">
        <f>'дод 3'!O185</f>
        <v>0</v>
      </c>
      <c r="O124" s="79">
        <f>'дод 3'!P185</f>
        <v>198209</v>
      </c>
    </row>
    <row r="125" spans="1:15" s="54" customFormat="1" ht="36" customHeight="1" x14ac:dyDescent="0.25">
      <c r="A125" s="37" t="s">
        <v>317</v>
      </c>
      <c r="B125" s="37">
        <v>1010</v>
      </c>
      <c r="C125" s="3" t="s">
        <v>406</v>
      </c>
      <c r="D125" s="49">
        <f>'дод 3'!E186</f>
        <v>90</v>
      </c>
      <c r="E125" s="49">
        <f>'дод 3'!F186</f>
        <v>90</v>
      </c>
      <c r="F125" s="49">
        <f>'дод 3'!G186</f>
        <v>0</v>
      </c>
      <c r="G125" s="49">
        <f>'дод 3'!H186</f>
        <v>0</v>
      </c>
      <c r="H125" s="49">
        <f>'дод 3'!I186</f>
        <v>0</v>
      </c>
      <c r="I125" s="49">
        <f>'дод 3'!J186</f>
        <v>0</v>
      </c>
      <c r="J125" s="49">
        <f>'дод 3'!K186</f>
        <v>0</v>
      </c>
      <c r="K125" s="49">
        <f>'дод 3'!L186</f>
        <v>0</v>
      </c>
      <c r="L125" s="49">
        <f>'дод 3'!M186</f>
        <v>0</v>
      </c>
      <c r="M125" s="49">
        <f>'дод 3'!N186</f>
        <v>0</v>
      </c>
      <c r="N125" s="49">
        <f>'дод 3'!O186</f>
        <v>0</v>
      </c>
      <c r="O125" s="49">
        <f>'дод 3'!P186</f>
        <v>90</v>
      </c>
    </row>
    <row r="126" spans="1:15" s="54" customFormat="1" x14ac:dyDescent="0.25">
      <c r="A126" s="77"/>
      <c r="B126" s="77"/>
      <c r="C126" s="78" t="s">
        <v>393</v>
      </c>
      <c r="D126" s="79">
        <f>'дод 3'!E187</f>
        <v>90</v>
      </c>
      <c r="E126" s="79">
        <f>'дод 3'!F187</f>
        <v>90</v>
      </c>
      <c r="F126" s="79">
        <f>'дод 3'!G187</f>
        <v>0</v>
      </c>
      <c r="G126" s="79">
        <f>'дод 3'!H187</f>
        <v>0</v>
      </c>
      <c r="H126" s="79">
        <f>'дод 3'!I187</f>
        <v>0</v>
      </c>
      <c r="I126" s="79">
        <f>'дод 3'!J187</f>
        <v>0</v>
      </c>
      <c r="J126" s="79">
        <f>'дод 3'!K187</f>
        <v>0</v>
      </c>
      <c r="K126" s="79">
        <f>'дод 3'!L187</f>
        <v>0</v>
      </c>
      <c r="L126" s="79">
        <f>'дод 3'!M187</f>
        <v>0</v>
      </c>
      <c r="M126" s="79">
        <f>'дод 3'!N187</f>
        <v>0</v>
      </c>
      <c r="N126" s="79">
        <f>'дод 3'!O187</f>
        <v>0</v>
      </c>
      <c r="O126" s="79">
        <f>'дод 3'!P187</f>
        <v>90</v>
      </c>
    </row>
    <row r="127" spans="1:15" ht="72.75" customHeight="1" x14ac:dyDescent="0.25">
      <c r="A127" s="37" t="s">
        <v>104</v>
      </c>
      <c r="B127" s="37" t="s">
        <v>53</v>
      </c>
      <c r="C127" s="3" t="s">
        <v>341</v>
      </c>
      <c r="D127" s="49">
        <f>'дод 3'!E188</f>
        <v>2505011</v>
      </c>
      <c r="E127" s="49">
        <f>'дод 3'!F188</f>
        <v>2505011</v>
      </c>
      <c r="F127" s="49">
        <f>'дод 3'!G188</f>
        <v>0</v>
      </c>
      <c r="G127" s="49">
        <f>'дод 3'!H188</f>
        <v>0</v>
      </c>
      <c r="H127" s="49">
        <f>'дод 3'!I188</f>
        <v>0</v>
      </c>
      <c r="I127" s="49">
        <f>'дод 3'!J188</f>
        <v>0</v>
      </c>
      <c r="J127" s="49">
        <f>'дод 3'!K188</f>
        <v>0</v>
      </c>
      <c r="K127" s="49">
        <f>'дод 3'!L188</f>
        <v>0</v>
      </c>
      <c r="L127" s="49">
        <f>'дод 3'!M188</f>
        <v>0</v>
      </c>
      <c r="M127" s="49">
        <f>'дод 3'!N188</f>
        <v>0</v>
      </c>
      <c r="N127" s="49">
        <f>'дод 3'!O188</f>
        <v>0</v>
      </c>
      <c r="O127" s="49">
        <f>'дод 3'!P188</f>
        <v>2505011</v>
      </c>
    </row>
    <row r="128" spans="1:15" s="54" customFormat="1" ht="19.5" customHeight="1" x14ac:dyDescent="0.25">
      <c r="A128" s="37" t="s">
        <v>287</v>
      </c>
      <c r="B128" s="37" t="s">
        <v>52</v>
      </c>
      <c r="C128" s="3" t="s">
        <v>18</v>
      </c>
      <c r="D128" s="49">
        <f>'дод 3'!E189</f>
        <v>1890666</v>
      </c>
      <c r="E128" s="49">
        <f>'дод 3'!F189</f>
        <v>1890666</v>
      </c>
      <c r="F128" s="49">
        <f>'дод 3'!G189</f>
        <v>0</v>
      </c>
      <c r="G128" s="49">
        <f>'дод 3'!H189</f>
        <v>0</v>
      </c>
      <c r="H128" s="49">
        <f>'дод 3'!I189</f>
        <v>0</v>
      </c>
      <c r="I128" s="49">
        <f>'дод 3'!J189</f>
        <v>0</v>
      </c>
      <c r="J128" s="49">
        <f>'дод 3'!K189</f>
        <v>0</v>
      </c>
      <c r="K128" s="49">
        <f>'дод 3'!L189</f>
        <v>0</v>
      </c>
      <c r="L128" s="49">
        <f>'дод 3'!M189</f>
        <v>0</v>
      </c>
      <c r="M128" s="49">
        <f>'дод 3'!N189</f>
        <v>0</v>
      </c>
      <c r="N128" s="49">
        <f>'дод 3'!O189</f>
        <v>0</v>
      </c>
      <c r="O128" s="49">
        <f>'дод 3'!P189</f>
        <v>1890666</v>
      </c>
    </row>
    <row r="129" spans="1:15" s="54" customFormat="1" ht="51" customHeight="1" x14ac:dyDescent="0.25">
      <c r="A129" s="37" t="s">
        <v>288</v>
      </c>
      <c r="B129" s="37" t="s">
        <v>52</v>
      </c>
      <c r="C129" s="60" t="s">
        <v>501</v>
      </c>
      <c r="D129" s="49">
        <f>'дод 3'!E190</f>
        <v>2250688</v>
      </c>
      <c r="E129" s="49">
        <f>'дод 3'!F190</f>
        <v>2250688</v>
      </c>
      <c r="F129" s="49">
        <f>'дод 3'!G190</f>
        <v>0</v>
      </c>
      <c r="G129" s="49">
        <f>'дод 3'!H190</f>
        <v>0</v>
      </c>
      <c r="H129" s="49">
        <f>'дод 3'!I190</f>
        <v>0</v>
      </c>
      <c r="I129" s="49">
        <f>'дод 3'!J190</f>
        <v>0</v>
      </c>
      <c r="J129" s="49">
        <f>'дод 3'!K190</f>
        <v>0</v>
      </c>
      <c r="K129" s="49">
        <f>'дод 3'!L190</f>
        <v>0</v>
      </c>
      <c r="L129" s="49">
        <f>'дод 3'!M190</f>
        <v>0</v>
      </c>
      <c r="M129" s="49">
        <f>'дод 3'!N190</f>
        <v>0</v>
      </c>
      <c r="N129" s="49">
        <f>'дод 3'!O190</f>
        <v>0</v>
      </c>
      <c r="O129" s="49">
        <f>'дод 3'!P190</f>
        <v>2250688</v>
      </c>
    </row>
    <row r="130" spans="1:15" ht="36.75" customHeight="1" x14ac:dyDescent="0.25">
      <c r="A130" s="37" t="s">
        <v>105</v>
      </c>
      <c r="B130" s="37" t="s">
        <v>56</v>
      </c>
      <c r="C130" s="3" t="s">
        <v>342</v>
      </c>
      <c r="D130" s="49">
        <f>'дод 3'!E191</f>
        <v>92000</v>
      </c>
      <c r="E130" s="49">
        <f>'дод 3'!F191</f>
        <v>92000</v>
      </c>
      <c r="F130" s="49">
        <f>'дод 3'!G191</f>
        <v>0</v>
      </c>
      <c r="G130" s="49">
        <f>'дод 3'!H191</f>
        <v>0</v>
      </c>
      <c r="H130" s="49">
        <f>'дод 3'!I191</f>
        <v>0</v>
      </c>
      <c r="I130" s="49">
        <f>'дод 3'!J191</f>
        <v>0</v>
      </c>
      <c r="J130" s="49">
        <f>'дод 3'!K191</f>
        <v>0</v>
      </c>
      <c r="K130" s="49">
        <f>'дод 3'!L191</f>
        <v>0</v>
      </c>
      <c r="L130" s="49">
        <f>'дод 3'!M191</f>
        <v>0</v>
      </c>
      <c r="M130" s="49">
        <f>'дод 3'!N191</f>
        <v>0</v>
      </c>
      <c r="N130" s="49">
        <f>'дод 3'!O191</f>
        <v>0</v>
      </c>
      <c r="O130" s="49">
        <f>'дод 3'!P191</f>
        <v>92000</v>
      </c>
    </row>
    <row r="131" spans="1:15" ht="20.25" customHeight="1" x14ac:dyDescent="0.25">
      <c r="A131" s="37" t="s">
        <v>289</v>
      </c>
      <c r="B131" s="37" t="s">
        <v>106</v>
      </c>
      <c r="C131" s="3" t="s">
        <v>37</v>
      </c>
      <c r="D131" s="49">
        <f>'дод 3'!E192+'дод 3'!E233</f>
        <v>50000</v>
      </c>
      <c r="E131" s="49">
        <f>'дод 3'!F192+'дод 3'!F233</f>
        <v>50000</v>
      </c>
      <c r="F131" s="49">
        <f>'дод 3'!G192+'дод 3'!G233</f>
        <v>40900</v>
      </c>
      <c r="G131" s="49">
        <f>'дод 3'!H192+'дод 3'!H233</f>
        <v>0</v>
      </c>
      <c r="H131" s="49">
        <f>'дод 3'!I192+'дод 3'!I233</f>
        <v>0</v>
      </c>
      <c r="I131" s="49">
        <f>'дод 3'!J192+'дод 3'!J233</f>
        <v>0</v>
      </c>
      <c r="J131" s="49">
        <f>'дод 3'!K192+'дод 3'!K233</f>
        <v>0</v>
      </c>
      <c r="K131" s="49">
        <f>'дод 3'!L192+'дод 3'!L233</f>
        <v>0</v>
      </c>
      <c r="L131" s="49">
        <f>'дод 3'!M192+'дод 3'!M233</f>
        <v>0</v>
      </c>
      <c r="M131" s="49">
        <f>'дод 3'!N192+'дод 3'!N233</f>
        <v>0</v>
      </c>
      <c r="N131" s="49">
        <f>'дод 3'!O192+'дод 3'!O233</f>
        <v>0</v>
      </c>
      <c r="O131" s="49">
        <f>'дод 3'!P192+'дод 3'!P233</f>
        <v>50000</v>
      </c>
    </row>
    <row r="132" spans="1:15" ht="240.75" customHeight="1" x14ac:dyDescent="0.25">
      <c r="A132" s="37">
        <v>3221</v>
      </c>
      <c r="B132" s="58" t="s">
        <v>53</v>
      </c>
      <c r="C132" s="36" t="s">
        <v>581</v>
      </c>
      <c r="D132" s="49">
        <f>'дод 3'!E193</f>
        <v>0</v>
      </c>
      <c r="E132" s="49">
        <f>'дод 3'!F193</f>
        <v>0</v>
      </c>
      <c r="F132" s="49">
        <f>'дод 3'!G193</f>
        <v>0</v>
      </c>
      <c r="G132" s="49">
        <f>'дод 3'!H193</f>
        <v>0</v>
      </c>
      <c r="H132" s="49">
        <f>'дод 3'!I193</f>
        <v>0</v>
      </c>
      <c r="I132" s="49">
        <f>'дод 3'!J193</f>
        <v>975480.06</v>
      </c>
      <c r="J132" s="49">
        <f>'дод 3'!K193</f>
        <v>975480.06</v>
      </c>
      <c r="K132" s="49">
        <f>'дод 3'!L193</f>
        <v>0</v>
      </c>
      <c r="L132" s="49">
        <f>'дод 3'!M193</f>
        <v>0</v>
      </c>
      <c r="M132" s="49">
        <f>'дод 3'!N193</f>
        <v>0</v>
      </c>
      <c r="N132" s="49">
        <f>'дод 3'!O193</f>
        <v>975480.06</v>
      </c>
      <c r="O132" s="49">
        <f>'дод 3'!P193</f>
        <v>975480.06</v>
      </c>
    </row>
    <row r="133" spans="1:15" s="54" customFormat="1" ht="267.75" customHeight="1" x14ac:dyDescent="0.25">
      <c r="A133" s="77"/>
      <c r="B133" s="88"/>
      <c r="C133" s="86" t="s">
        <v>579</v>
      </c>
      <c r="D133" s="79">
        <f>'дод 3'!E194</f>
        <v>0</v>
      </c>
      <c r="E133" s="79">
        <f>'дод 3'!F194</f>
        <v>0</v>
      </c>
      <c r="F133" s="79">
        <f>'дод 3'!G194</f>
        <v>0</v>
      </c>
      <c r="G133" s="79">
        <f>'дод 3'!H194</f>
        <v>0</v>
      </c>
      <c r="H133" s="79">
        <f>'дод 3'!I194</f>
        <v>0</v>
      </c>
      <c r="I133" s="79">
        <f>'дод 3'!J194</f>
        <v>975480.06</v>
      </c>
      <c r="J133" s="79">
        <f>'дод 3'!K194</f>
        <v>975480.06</v>
      </c>
      <c r="K133" s="79">
        <f>'дод 3'!L194</f>
        <v>0</v>
      </c>
      <c r="L133" s="79">
        <f>'дод 3'!M194</f>
        <v>0</v>
      </c>
      <c r="M133" s="79">
        <f>'дод 3'!N194</f>
        <v>0</v>
      </c>
      <c r="N133" s="79">
        <f>'дод 3'!O194</f>
        <v>975480.06</v>
      </c>
      <c r="O133" s="79">
        <f>'дод 3'!P194</f>
        <v>975480.06</v>
      </c>
    </row>
    <row r="134" spans="1:15" s="54" customFormat="1" ht="293.25" customHeight="1" x14ac:dyDescent="0.25">
      <c r="A134" s="42">
        <v>3222</v>
      </c>
      <c r="B134" s="102" t="s">
        <v>53</v>
      </c>
      <c r="C134" s="36" t="s">
        <v>618</v>
      </c>
      <c r="D134" s="49">
        <f>'дод 3'!E195</f>
        <v>0</v>
      </c>
      <c r="E134" s="49">
        <f>'дод 3'!F195</f>
        <v>0</v>
      </c>
      <c r="F134" s="49">
        <f>'дод 3'!G195</f>
        <v>0</v>
      </c>
      <c r="G134" s="49">
        <f>'дод 3'!H195</f>
        <v>0</v>
      </c>
      <c r="H134" s="49">
        <f>'дод 3'!I195</f>
        <v>0</v>
      </c>
      <c r="I134" s="49">
        <f>'дод 3'!J195</f>
        <v>1176130.99</v>
      </c>
      <c r="J134" s="49">
        <f>'дод 3'!K195</f>
        <v>1176130.99</v>
      </c>
      <c r="K134" s="49">
        <f>'дод 3'!L195</f>
        <v>0</v>
      </c>
      <c r="L134" s="49">
        <f>'дод 3'!M195</f>
        <v>0</v>
      </c>
      <c r="M134" s="49">
        <f>'дод 3'!N195</f>
        <v>0</v>
      </c>
      <c r="N134" s="49">
        <f>'дод 3'!O195</f>
        <v>1176130.99</v>
      </c>
      <c r="O134" s="49">
        <f>'дод 3'!P195</f>
        <v>1176130.99</v>
      </c>
    </row>
    <row r="135" spans="1:15" s="54" customFormat="1" ht="333.75" customHeight="1" x14ac:dyDescent="0.25">
      <c r="A135" s="77"/>
      <c r="B135" s="88"/>
      <c r="C135" s="86" t="s">
        <v>604</v>
      </c>
      <c r="D135" s="79">
        <f>'дод 3'!E196</f>
        <v>0</v>
      </c>
      <c r="E135" s="79">
        <f>'дод 3'!F196</f>
        <v>0</v>
      </c>
      <c r="F135" s="79">
        <f>'дод 3'!G196</f>
        <v>0</v>
      </c>
      <c r="G135" s="79">
        <f>'дод 3'!H196</f>
        <v>0</v>
      </c>
      <c r="H135" s="79">
        <f>'дод 3'!I196</f>
        <v>0</v>
      </c>
      <c r="I135" s="79">
        <f>'дод 3'!J196</f>
        <v>1176130.99</v>
      </c>
      <c r="J135" s="79">
        <f>'дод 3'!K196</f>
        <v>1176130.99</v>
      </c>
      <c r="K135" s="79">
        <f>'дод 3'!L196</f>
        <v>0</v>
      </c>
      <c r="L135" s="79">
        <f>'дод 3'!M196</f>
        <v>0</v>
      </c>
      <c r="M135" s="79">
        <f>'дод 3'!N196</f>
        <v>0</v>
      </c>
      <c r="N135" s="79">
        <f>'дод 3'!O196</f>
        <v>1176130.99</v>
      </c>
      <c r="O135" s="79">
        <f>'дод 3'!P196</f>
        <v>1176130.99</v>
      </c>
    </row>
    <row r="136" spans="1:15" ht="189" hidden="1" x14ac:dyDescent="0.25">
      <c r="A136" s="37">
        <v>3223</v>
      </c>
      <c r="B136" s="58" t="s">
        <v>53</v>
      </c>
      <c r="C136" s="36" t="s">
        <v>442</v>
      </c>
      <c r="D136" s="49">
        <f>'дод 3'!E197</f>
        <v>0</v>
      </c>
      <c r="E136" s="49">
        <f>'дод 3'!F197</f>
        <v>0</v>
      </c>
      <c r="F136" s="49">
        <f>'дод 3'!G197</f>
        <v>0</v>
      </c>
      <c r="G136" s="49">
        <f>'дод 3'!H197</f>
        <v>0</v>
      </c>
      <c r="H136" s="49">
        <f>'дод 3'!I197</f>
        <v>0</v>
      </c>
      <c r="I136" s="49">
        <f>'дод 3'!J197</f>
        <v>0</v>
      </c>
      <c r="J136" s="49">
        <f>'дод 3'!K197</f>
        <v>0</v>
      </c>
      <c r="K136" s="49">
        <f>'дод 3'!L197</f>
        <v>0</v>
      </c>
      <c r="L136" s="49">
        <f>'дод 3'!M197</f>
        <v>0</v>
      </c>
      <c r="M136" s="49">
        <f>'дод 3'!N197</f>
        <v>0</v>
      </c>
      <c r="N136" s="49">
        <f>'дод 3'!O197</f>
        <v>0</v>
      </c>
      <c r="O136" s="49">
        <f>'дод 3'!P197</f>
        <v>0</v>
      </c>
    </row>
    <row r="137" spans="1:15" s="54" customFormat="1" ht="236.25" hidden="1" x14ac:dyDescent="0.25">
      <c r="A137" s="77"/>
      <c r="B137" s="88"/>
      <c r="C137" s="86" t="s">
        <v>443</v>
      </c>
      <c r="D137" s="79">
        <f>'дод 3'!E198</f>
        <v>0</v>
      </c>
      <c r="E137" s="79">
        <f>'дод 3'!F198</f>
        <v>0</v>
      </c>
      <c r="F137" s="79">
        <f>'дод 3'!G198</f>
        <v>0</v>
      </c>
      <c r="G137" s="79">
        <f>'дод 3'!H198</f>
        <v>0</v>
      </c>
      <c r="H137" s="79">
        <f>'дод 3'!I198</f>
        <v>0</v>
      </c>
      <c r="I137" s="79">
        <f>'дод 3'!J198</f>
        <v>0</v>
      </c>
      <c r="J137" s="79">
        <f>'дод 3'!K198</f>
        <v>0</v>
      </c>
      <c r="K137" s="79">
        <f>'дод 3'!L198</f>
        <v>0</v>
      </c>
      <c r="L137" s="79">
        <f>'дод 3'!M198</f>
        <v>0</v>
      </c>
      <c r="M137" s="79">
        <f>'дод 3'!N198</f>
        <v>0</v>
      </c>
      <c r="N137" s="79">
        <f>'дод 3'!O198</f>
        <v>0</v>
      </c>
      <c r="O137" s="79">
        <f>'дод 3'!P198</f>
        <v>0</v>
      </c>
    </row>
    <row r="138" spans="1:15" s="54" customFormat="1" ht="32.25" customHeight="1" x14ac:dyDescent="0.25">
      <c r="A138" s="37" t="s">
        <v>290</v>
      </c>
      <c r="B138" s="37" t="s">
        <v>56</v>
      </c>
      <c r="C138" s="3" t="s">
        <v>292</v>
      </c>
      <c r="D138" s="49">
        <f>'дод 3'!E199+'дод 3'!E31</f>
        <v>7731482.0800000001</v>
      </c>
      <c r="E138" s="49">
        <f>'дод 3'!F199+'дод 3'!F31</f>
        <v>7731482.0800000001</v>
      </c>
      <c r="F138" s="49">
        <f>'дод 3'!G199+'дод 3'!G31</f>
        <v>4676603.34</v>
      </c>
      <c r="G138" s="49">
        <f>'дод 3'!H199+'дод 3'!H31</f>
        <v>511506.6</v>
      </c>
      <c r="H138" s="49">
        <f>'дод 3'!I199+'дод 3'!I31</f>
        <v>0</v>
      </c>
      <c r="I138" s="49">
        <f>'дод 3'!J199+'дод 3'!J31</f>
        <v>160800</v>
      </c>
      <c r="J138" s="49">
        <f>'дод 3'!K199+'дод 3'!K31</f>
        <v>160800</v>
      </c>
      <c r="K138" s="49">
        <f>'дод 3'!L199+'дод 3'!L31</f>
        <v>0</v>
      </c>
      <c r="L138" s="49">
        <f>'дод 3'!M199+'дод 3'!M31</f>
        <v>0</v>
      </c>
      <c r="M138" s="49">
        <f>'дод 3'!N199+'дод 3'!N31</f>
        <v>0</v>
      </c>
      <c r="N138" s="49">
        <f>'дод 3'!O199+'дод 3'!O31</f>
        <v>160800</v>
      </c>
      <c r="O138" s="49">
        <f>'дод 3'!P199+'дод 3'!P31</f>
        <v>7892282.0800000001</v>
      </c>
    </row>
    <row r="139" spans="1:15" s="54" customFormat="1" ht="31.5" customHeight="1" x14ac:dyDescent="0.25">
      <c r="A139" s="37" t="s">
        <v>291</v>
      </c>
      <c r="B139" s="37" t="s">
        <v>56</v>
      </c>
      <c r="C139" s="3" t="s">
        <v>514</v>
      </c>
      <c r="D139" s="49">
        <f>'дод 3'!E32+'дод 3'!E113+'дод 3'!E200</f>
        <v>40091774.549999997</v>
      </c>
      <c r="E139" s="49">
        <f>'дод 3'!F32+'дод 3'!F113+'дод 3'!F200</f>
        <v>40091774.549999997</v>
      </c>
      <c r="F139" s="49">
        <f>'дод 3'!G32+'дод 3'!G113+'дод 3'!G200</f>
        <v>0</v>
      </c>
      <c r="G139" s="49">
        <f>'дод 3'!H32+'дод 3'!H113+'дод 3'!H200</f>
        <v>0</v>
      </c>
      <c r="H139" s="49">
        <f>'дод 3'!I32+'дод 3'!I113+'дод 3'!I200</f>
        <v>0</v>
      </c>
      <c r="I139" s="49">
        <f>'дод 3'!J32+'дод 3'!J113+'дод 3'!J200</f>
        <v>57000</v>
      </c>
      <c r="J139" s="49">
        <f>'дод 3'!K32+'дод 3'!K113+'дод 3'!K200</f>
        <v>57000</v>
      </c>
      <c r="K139" s="49">
        <f>'дод 3'!L32+'дод 3'!L113+'дод 3'!L200</f>
        <v>0</v>
      </c>
      <c r="L139" s="49">
        <f>'дод 3'!M32+'дод 3'!M113+'дод 3'!M200</f>
        <v>0</v>
      </c>
      <c r="M139" s="49">
        <f>'дод 3'!N32+'дод 3'!N113+'дод 3'!N200</f>
        <v>0</v>
      </c>
      <c r="N139" s="49">
        <f>'дод 3'!O32+'дод 3'!O113+'дод 3'!O200</f>
        <v>57000</v>
      </c>
      <c r="O139" s="49">
        <f>'дод 3'!P32+'дод 3'!P113+'дод 3'!P200</f>
        <v>40148774.549999997</v>
      </c>
    </row>
    <row r="140" spans="1:15" s="54" customFormat="1" x14ac:dyDescent="0.25">
      <c r="A140" s="77"/>
      <c r="B140" s="77"/>
      <c r="C140" s="78" t="s">
        <v>393</v>
      </c>
      <c r="D140" s="79">
        <f>'дод 3'!E201</f>
        <v>348000</v>
      </c>
      <c r="E140" s="79">
        <f>'дод 3'!F201</f>
        <v>348000</v>
      </c>
      <c r="F140" s="79">
        <f>'дод 3'!G201</f>
        <v>0</v>
      </c>
      <c r="G140" s="79">
        <f>'дод 3'!H201</f>
        <v>0</v>
      </c>
      <c r="H140" s="79">
        <f>'дод 3'!I201</f>
        <v>0</v>
      </c>
      <c r="I140" s="79">
        <f>'дод 3'!J201</f>
        <v>0</v>
      </c>
      <c r="J140" s="79">
        <f>'дод 3'!K201</f>
        <v>0</v>
      </c>
      <c r="K140" s="79">
        <f>'дод 3'!L201</f>
        <v>0</v>
      </c>
      <c r="L140" s="79">
        <f>'дод 3'!M201</f>
        <v>0</v>
      </c>
      <c r="M140" s="79">
        <f>'дод 3'!N201</f>
        <v>0</v>
      </c>
      <c r="N140" s="79">
        <f>'дод 3'!O201</f>
        <v>0</v>
      </c>
      <c r="O140" s="79">
        <f>'дод 3'!P201</f>
        <v>348000</v>
      </c>
    </row>
    <row r="141" spans="1:15" s="52" customFormat="1" ht="19.5" customHeight="1" x14ac:dyDescent="0.25">
      <c r="A141" s="38" t="s">
        <v>71</v>
      </c>
      <c r="B141" s="41"/>
      <c r="C141" s="2" t="s">
        <v>72</v>
      </c>
      <c r="D141" s="48">
        <f t="shared" ref="D141:O141" si="23">D142+D143+D144+D145</f>
        <v>38204239</v>
      </c>
      <c r="E141" s="48">
        <f t="shared" si="23"/>
        <v>38204239</v>
      </c>
      <c r="F141" s="48">
        <f t="shared" si="23"/>
        <v>24382285</v>
      </c>
      <c r="G141" s="48">
        <f t="shared" si="23"/>
        <v>2733907</v>
      </c>
      <c r="H141" s="48">
        <f t="shared" si="23"/>
        <v>0</v>
      </c>
      <c r="I141" s="48">
        <f t="shared" si="23"/>
        <v>346500</v>
      </c>
      <c r="J141" s="48">
        <f t="shared" si="23"/>
        <v>315500</v>
      </c>
      <c r="K141" s="48">
        <f t="shared" si="23"/>
        <v>31000</v>
      </c>
      <c r="L141" s="48">
        <f t="shared" si="23"/>
        <v>12100</v>
      </c>
      <c r="M141" s="48">
        <f t="shared" si="23"/>
        <v>3300</v>
      </c>
      <c r="N141" s="48">
        <f t="shared" si="23"/>
        <v>315500</v>
      </c>
      <c r="O141" s="48">
        <f t="shared" si="23"/>
        <v>38550739</v>
      </c>
    </row>
    <row r="142" spans="1:15" ht="22.5" customHeight="1" x14ac:dyDescent="0.25">
      <c r="A142" s="37" t="s">
        <v>73</v>
      </c>
      <c r="B142" s="37" t="s">
        <v>74</v>
      </c>
      <c r="C142" s="3" t="s">
        <v>15</v>
      </c>
      <c r="D142" s="49">
        <f>'дод 3'!E216</f>
        <v>23641974</v>
      </c>
      <c r="E142" s="49">
        <f>'дод 3'!F216</f>
        <v>23641974</v>
      </c>
      <c r="F142" s="49">
        <f>'дод 3'!G216</f>
        <v>16756730</v>
      </c>
      <c r="G142" s="49">
        <f>'дод 3'!H216</f>
        <v>1742744</v>
      </c>
      <c r="H142" s="49">
        <f>'дод 3'!I216</f>
        <v>0</v>
      </c>
      <c r="I142" s="49">
        <f>'дод 3'!J216</f>
        <v>252500</v>
      </c>
      <c r="J142" s="49">
        <f>'дод 3'!K216</f>
        <v>227500</v>
      </c>
      <c r="K142" s="49">
        <f>'дод 3'!L216</f>
        <v>25000</v>
      </c>
      <c r="L142" s="49">
        <f>'дод 3'!M216</f>
        <v>12100</v>
      </c>
      <c r="M142" s="49">
        <f>'дод 3'!N216</f>
        <v>0</v>
      </c>
      <c r="N142" s="49">
        <f>'дод 3'!O216</f>
        <v>227500</v>
      </c>
      <c r="O142" s="49">
        <f>'дод 3'!P216</f>
        <v>23894474</v>
      </c>
    </row>
    <row r="143" spans="1:15" ht="33.75" customHeight="1" x14ac:dyDescent="0.25">
      <c r="A143" s="37" t="s">
        <v>319</v>
      </c>
      <c r="B143" s="37" t="s">
        <v>320</v>
      </c>
      <c r="C143" s="3" t="s">
        <v>321</v>
      </c>
      <c r="D143" s="49">
        <f>'дод 3'!E33+'дод 3'!E217</f>
        <v>7462416</v>
      </c>
      <c r="E143" s="49">
        <f>'дод 3'!F33+'дод 3'!F217</f>
        <v>7462416</v>
      </c>
      <c r="F143" s="49">
        <f>'дод 3'!G33+'дод 3'!G217</f>
        <v>4265055</v>
      </c>
      <c r="G143" s="49">
        <f>'дод 3'!H33+'дод 3'!H217</f>
        <v>829525</v>
      </c>
      <c r="H143" s="49">
        <f>'дод 3'!I33+'дод 3'!I217</f>
        <v>0</v>
      </c>
      <c r="I143" s="49">
        <f>'дод 3'!J33+'дод 3'!J217</f>
        <v>6000</v>
      </c>
      <c r="J143" s="49">
        <f>'дод 3'!K33+'дод 3'!K217</f>
        <v>0</v>
      </c>
      <c r="K143" s="49">
        <f>'дод 3'!L33+'дод 3'!L217</f>
        <v>6000</v>
      </c>
      <c r="L143" s="49">
        <f>'дод 3'!M33+'дод 3'!M217</f>
        <v>0</v>
      </c>
      <c r="M143" s="49">
        <f>'дод 3'!N33+'дод 3'!N217</f>
        <v>3300</v>
      </c>
      <c r="N143" s="49">
        <f>'дод 3'!O33+'дод 3'!O217</f>
        <v>0</v>
      </c>
      <c r="O143" s="49">
        <f>'дод 3'!P33+'дод 3'!P217</f>
        <v>7468416</v>
      </c>
    </row>
    <row r="144" spans="1:15" s="54" customFormat="1" ht="37.5" customHeight="1" x14ac:dyDescent="0.25">
      <c r="A144" s="37" t="s">
        <v>293</v>
      </c>
      <c r="B144" s="37" t="s">
        <v>75</v>
      </c>
      <c r="C144" s="3" t="s">
        <v>343</v>
      </c>
      <c r="D144" s="49">
        <f>'дод 3'!E34+'дод 3'!E218</f>
        <v>5302338</v>
      </c>
      <c r="E144" s="49">
        <f>'дод 3'!F34+'дод 3'!F218</f>
        <v>5302338</v>
      </c>
      <c r="F144" s="49">
        <f>'дод 3'!G34+'дод 3'!G218</f>
        <v>3360500</v>
      </c>
      <c r="G144" s="49">
        <f>'дод 3'!H34+'дод 3'!H218</f>
        <v>161638</v>
      </c>
      <c r="H144" s="49">
        <f>'дод 3'!I34+'дод 3'!I218</f>
        <v>0</v>
      </c>
      <c r="I144" s="49">
        <f>'дод 3'!J34+'дод 3'!J218</f>
        <v>88000</v>
      </c>
      <c r="J144" s="49">
        <f>'дод 3'!K34+'дод 3'!K218</f>
        <v>88000</v>
      </c>
      <c r="K144" s="49">
        <f>'дод 3'!L34+'дод 3'!L218</f>
        <v>0</v>
      </c>
      <c r="L144" s="49">
        <f>'дод 3'!M34+'дод 3'!M218</f>
        <v>0</v>
      </c>
      <c r="M144" s="49">
        <f>'дод 3'!N34+'дод 3'!N218</f>
        <v>0</v>
      </c>
      <c r="N144" s="49">
        <f>'дод 3'!O34+'дод 3'!O218</f>
        <v>88000</v>
      </c>
      <c r="O144" s="49">
        <f>'дод 3'!P34+'дод 3'!P218</f>
        <v>5390338</v>
      </c>
    </row>
    <row r="145" spans="1:15" s="54" customFormat="1" ht="22.5" customHeight="1" x14ac:dyDescent="0.25">
      <c r="A145" s="37" t="s">
        <v>294</v>
      </c>
      <c r="B145" s="37" t="s">
        <v>75</v>
      </c>
      <c r="C145" s="3" t="s">
        <v>295</v>
      </c>
      <c r="D145" s="49">
        <f>'дод 3'!E35+'дод 3'!E219</f>
        <v>1797511</v>
      </c>
      <c r="E145" s="49">
        <f>'дод 3'!F35+'дод 3'!F219</f>
        <v>1797511</v>
      </c>
      <c r="F145" s="49">
        <f>'дод 3'!G35+'дод 3'!G219</f>
        <v>0</v>
      </c>
      <c r="G145" s="49">
        <f>'дод 3'!H35+'дод 3'!H219</f>
        <v>0</v>
      </c>
      <c r="H145" s="49">
        <f>'дод 3'!I35+'дод 3'!I219</f>
        <v>0</v>
      </c>
      <c r="I145" s="49">
        <f>'дод 3'!J35+'дод 3'!J219</f>
        <v>0</v>
      </c>
      <c r="J145" s="49">
        <f>'дод 3'!K35+'дод 3'!K219</f>
        <v>0</v>
      </c>
      <c r="K145" s="49">
        <f>'дод 3'!L35+'дод 3'!L219</f>
        <v>0</v>
      </c>
      <c r="L145" s="49">
        <f>'дод 3'!M35+'дод 3'!M219</f>
        <v>0</v>
      </c>
      <c r="M145" s="49">
        <f>'дод 3'!N35+'дод 3'!N219</f>
        <v>0</v>
      </c>
      <c r="N145" s="49">
        <f>'дод 3'!O35+'дод 3'!O219</f>
        <v>0</v>
      </c>
      <c r="O145" s="49">
        <f>'дод 3'!P35+'дод 3'!P219</f>
        <v>1797511</v>
      </c>
    </row>
    <row r="146" spans="1:15" s="52" customFormat="1" ht="21.75" customHeight="1" x14ac:dyDescent="0.25">
      <c r="A146" s="38" t="s">
        <v>78</v>
      </c>
      <c r="B146" s="41"/>
      <c r="C146" s="2" t="s">
        <v>589</v>
      </c>
      <c r="D146" s="48">
        <f t="shared" ref="D146:O146" si="24">D148+D149+D150+D152+D153+D154</f>
        <v>65504449</v>
      </c>
      <c r="E146" s="48">
        <f t="shared" si="24"/>
        <v>65504449</v>
      </c>
      <c r="F146" s="48">
        <f t="shared" si="24"/>
        <v>22547322</v>
      </c>
      <c r="G146" s="48">
        <f t="shared" si="24"/>
        <v>1659079</v>
      </c>
      <c r="H146" s="48">
        <f t="shared" si="24"/>
        <v>0</v>
      </c>
      <c r="I146" s="48">
        <f t="shared" si="24"/>
        <v>2300794</v>
      </c>
      <c r="J146" s="48">
        <f t="shared" si="24"/>
        <v>2087800</v>
      </c>
      <c r="K146" s="48">
        <f t="shared" si="24"/>
        <v>212994</v>
      </c>
      <c r="L146" s="48">
        <f t="shared" si="24"/>
        <v>119291</v>
      </c>
      <c r="M146" s="48">
        <f t="shared" si="24"/>
        <v>50432</v>
      </c>
      <c r="N146" s="48">
        <f t="shared" si="24"/>
        <v>2087800</v>
      </c>
      <c r="O146" s="48">
        <f t="shared" si="24"/>
        <v>67805243</v>
      </c>
    </row>
    <row r="147" spans="1:15" s="52" customFormat="1" ht="21.75" customHeight="1" x14ac:dyDescent="0.25">
      <c r="A147" s="38"/>
      <c r="B147" s="41"/>
      <c r="C147" s="76" t="s">
        <v>395</v>
      </c>
      <c r="D147" s="75">
        <f>D151</f>
        <v>134064</v>
      </c>
      <c r="E147" s="75">
        <f t="shared" ref="E147:O147" si="25">E151</f>
        <v>134064</v>
      </c>
      <c r="F147" s="75">
        <f t="shared" si="25"/>
        <v>0</v>
      </c>
      <c r="G147" s="75">
        <f t="shared" si="25"/>
        <v>0</v>
      </c>
      <c r="H147" s="75">
        <f t="shared" si="25"/>
        <v>0</v>
      </c>
      <c r="I147" s="75">
        <f t="shared" si="25"/>
        <v>0</v>
      </c>
      <c r="J147" s="75">
        <f t="shared" si="25"/>
        <v>0</v>
      </c>
      <c r="K147" s="75">
        <f t="shared" si="25"/>
        <v>0</v>
      </c>
      <c r="L147" s="75">
        <f t="shared" si="25"/>
        <v>0</v>
      </c>
      <c r="M147" s="75">
        <f t="shared" si="25"/>
        <v>0</v>
      </c>
      <c r="N147" s="75">
        <f t="shared" si="25"/>
        <v>0</v>
      </c>
      <c r="O147" s="75">
        <f t="shared" si="25"/>
        <v>134064</v>
      </c>
    </row>
    <row r="148" spans="1:15" s="54" customFormat="1" ht="37.5" customHeight="1" x14ac:dyDescent="0.25">
      <c r="A148" s="37" t="s">
        <v>79</v>
      </c>
      <c r="B148" s="37" t="s">
        <v>80</v>
      </c>
      <c r="C148" s="3" t="s">
        <v>21</v>
      </c>
      <c r="D148" s="49">
        <f>'дод 3'!E36</f>
        <v>710000</v>
      </c>
      <c r="E148" s="49">
        <f>'дод 3'!F36</f>
        <v>710000</v>
      </c>
      <c r="F148" s="49">
        <f>'дод 3'!G36</f>
        <v>0</v>
      </c>
      <c r="G148" s="49">
        <f>'дод 3'!H36</f>
        <v>0</v>
      </c>
      <c r="H148" s="49">
        <f>'дод 3'!I36</f>
        <v>0</v>
      </c>
      <c r="I148" s="49">
        <f>'дод 3'!J36</f>
        <v>0</v>
      </c>
      <c r="J148" s="49">
        <f>'дод 3'!K36</f>
        <v>0</v>
      </c>
      <c r="K148" s="49">
        <f>'дод 3'!L36</f>
        <v>0</v>
      </c>
      <c r="L148" s="49">
        <f>'дод 3'!M36</f>
        <v>0</v>
      </c>
      <c r="M148" s="49">
        <f>'дод 3'!N36</f>
        <v>0</v>
      </c>
      <c r="N148" s="49">
        <f>'дод 3'!O36</f>
        <v>0</v>
      </c>
      <c r="O148" s="49">
        <f>'дод 3'!P36</f>
        <v>710000</v>
      </c>
    </row>
    <row r="149" spans="1:15" s="54" customFormat="1" ht="34.5" customHeight="1" x14ac:dyDescent="0.25">
      <c r="A149" s="37" t="s">
        <v>81</v>
      </c>
      <c r="B149" s="37" t="s">
        <v>80</v>
      </c>
      <c r="C149" s="3" t="s">
        <v>16</v>
      </c>
      <c r="D149" s="49">
        <f>'дод 3'!E37</f>
        <v>1031480</v>
      </c>
      <c r="E149" s="49">
        <f>'дод 3'!F37</f>
        <v>1031480</v>
      </c>
      <c r="F149" s="49">
        <f>'дод 3'!G37</f>
        <v>0</v>
      </c>
      <c r="G149" s="49">
        <f>'дод 3'!H37</f>
        <v>0</v>
      </c>
      <c r="H149" s="49">
        <f>'дод 3'!I37</f>
        <v>0</v>
      </c>
      <c r="I149" s="49">
        <f>'дод 3'!J37</f>
        <v>0</v>
      </c>
      <c r="J149" s="49">
        <f>'дод 3'!K37</f>
        <v>0</v>
      </c>
      <c r="K149" s="49">
        <f>'дод 3'!L37</f>
        <v>0</v>
      </c>
      <c r="L149" s="49">
        <f>'дод 3'!M37</f>
        <v>0</v>
      </c>
      <c r="M149" s="49">
        <f>'дод 3'!N37</f>
        <v>0</v>
      </c>
      <c r="N149" s="49">
        <f>'дод 3'!O37</f>
        <v>0</v>
      </c>
      <c r="O149" s="49">
        <f>'дод 3'!P37</f>
        <v>1031480</v>
      </c>
    </row>
    <row r="150" spans="1:15" s="54" customFormat="1" ht="47.25" x14ac:dyDescent="0.25">
      <c r="A150" s="37" t="s">
        <v>116</v>
      </c>
      <c r="B150" s="37" t="s">
        <v>80</v>
      </c>
      <c r="C150" s="3" t="s">
        <v>590</v>
      </c>
      <c r="D150" s="49">
        <f>'дод 3'!E38+'дод 3'!E114</f>
        <v>27287848</v>
      </c>
      <c r="E150" s="49">
        <f>'дод 3'!F38+'дод 3'!F114</f>
        <v>27287848</v>
      </c>
      <c r="F150" s="49">
        <f>'дод 3'!G38+'дод 3'!G114</f>
        <v>19566292</v>
      </c>
      <c r="G150" s="49">
        <f>'дод 3'!H38+'дод 3'!H114</f>
        <v>1234440</v>
      </c>
      <c r="H150" s="49">
        <f>'дод 3'!I38+'дод 3'!I114</f>
        <v>0</v>
      </c>
      <c r="I150" s="49">
        <f>'дод 3'!J38+'дод 3'!J114</f>
        <v>200700</v>
      </c>
      <c r="J150" s="49">
        <f>'дод 3'!K38+'дод 3'!K114</f>
        <v>200700</v>
      </c>
      <c r="K150" s="49">
        <f>'дод 3'!L38+'дод 3'!L114</f>
        <v>0</v>
      </c>
      <c r="L150" s="49">
        <f>'дод 3'!M38+'дод 3'!M114</f>
        <v>0</v>
      </c>
      <c r="M150" s="49">
        <f>'дод 3'!N38+'дод 3'!N114</f>
        <v>0</v>
      </c>
      <c r="N150" s="49">
        <f>'дод 3'!O38+'дод 3'!O114</f>
        <v>200700</v>
      </c>
      <c r="O150" s="49">
        <f>'дод 3'!P38+'дод 3'!P114</f>
        <v>27488548</v>
      </c>
    </row>
    <row r="151" spans="1:15" s="54" customFormat="1" ht="25.5" customHeight="1" x14ac:dyDescent="0.25">
      <c r="A151" s="37"/>
      <c r="B151" s="37"/>
      <c r="C151" s="86" t="s">
        <v>395</v>
      </c>
      <c r="D151" s="79">
        <f>'дод 3'!E115</f>
        <v>134064</v>
      </c>
      <c r="E151" s="79">
        <f>'дод 3'!F115</f>
        <v>134064</v>
      </c>
      <c r="F151" s="79">
        <f>'дод 3'!G115</f>
        <v>0</v>
      </c>
      <c r="G151" s="79">
        <f>'дод 3'!H115</f>
        <v>0</v>
      </c>
      <c r="H151" s="79">
        <f>'дод 3'!I115</f>
        <v>0</v>
      </c>
      <c r="I151" s="79">
        <f>'дод 3'!J115</f>
        <v>0</v>
      </c>
      <c r="J151" s="79">
        <f>'дод 3'!K115</f>
        <v>0</v>
      </c>
      <c r="K151" s="79">
        <f>'дод 3'!L115</f>
        <v>0</v>
      </c>
      <c r="L151" s="79">
        <f>'дод 3'!M115</f>
        <v>0</v>
      </c>
      <c r="M151" s="79">
        <f>'дод 3'!N115</f>
        <v>0</v>
      </c>
      <c r="N151" s="79">
        <f>'дод 3'!O115</f>
        <v>0</v>
      </c>
      <c r="O151" s="79">
        <f>'дод 3'!P115</f>
        <v>134064</v>
      </c>
    </row>
    <row r="152" spans="1:15" s="54" customFormat="1" ht="31.5" customHeight="1" x14ac:dyDescent="0.25">
      <c r="A152" s="37" t="s">
        <v>117</v>
      </c>
      <c r="B152" s="37" t="s">
        <v>80</v>
      </c>
      <c r="C152" s="3" t="s">
        <v>22</v>
      </c>
      <c r="D152" s="49">
        <f>'дод 3'!E39</f>
        <v>14994942</v>
      </c>
      <c r="E152" s="49">
        <f>'дод 3'!F39</f>
        <v>14994942</v>
      </c>
      <c r="F152" s="49">
        <f>'дод 3'!G39</f>
        <v>0</v>
      </c>
      <c r="G152" s="49">
        <f>'дод 3'!H39</f>
        <v>0</v>
      </c>
      <c r="H152" s="49">
        <f>'дод 3'!I39</f>
        <v>0</v>
      </c>
      <c r="I152" s="49">
        <f>'дод 3'!J39</f>
        <v>357100</v>
      </c>
      <c r="J152" s="49">
        <f>'дод 3'!K39</f>
        <v>357100</v>
      </c>
      <c r="K152" s="49">
        <f>'дод 3'!L39</f>
        <v>0</v>
      </c>
      <c r="L152" s="49">
        <f>'дод 3'!M39</f>
        <v>0</v>
      </c>
      <c r="M152" s="49">
        <f>'дод 3'!N39</f>
        <v>0</v>
      </c>
      <c r="N152" s="49">
        <f>'дод 3'!O39</f>
        <v>357100</v>
      </c>
      <c r="O152" s="49">
        <f>'дод 3'!P39</f>
        <v>15352042</v>
      </c>
    </row>
    <row r="153" spans="1:15" s="54" customFormat="1" ht="54" customHeight="1" x14ac:dyDescent="0.25">
      <c r="A153" s="37" t="s">
        <v>112</v>
      </c>
      <c r="B153" s="37" t="s">
        <v>80</v>
      </c>
      <c r="C153" s="3" t="s">
        <v>113</v>
      </c>
      <c r="D153" s="49">
        <f>'дод 3'!E40</f>
        <v>5088784</v>
      </c>
      <c r="E153" s="49">
        <f>'дод 3'!F40</f>
        <v>5088784</v>
      </c>
      <c r="F153" s="49">
        <f>'дод 3'!G40</f>
        <v>2981030</v>
      </c>
      <c r="G153" s="49">
        <f>'дод 3'!H40</f>
        <v>424639</v>
      </c>
      <c r="H153" s="49">
        <f>'дод 3'!I40</f>
        <v>0</v>
      </c>
      <c r="I153" s="49">
        <f>'дод 3'!J40</f>
        <v>1742994</v>
      </c>
      <c r="J153" s="49">
        <f>'дод 3'!K40</f>
        <v>1530000</v>
      </c>
      <c r="K153" s="49">
        <f>'дод 3'!L40</f>
        <v>212994</v>
      </c>
      <c r="L153" s="49">
        <f>'дод 3'!M40</f>
        <v>119291</v>
      </c>
      <c r="M153" s="49">
        <f>'дод 3'!N40</f>
        <v>50432</v>
      </c>
      <c r="N153" s="49">
        <f>'дод 3'!O40</f>
        <v>1530000</v>
      </c>
      <c r="O153" s="49">
        <f>'дод 3'!P40</f>
        <v>6831778</v>
      </c>
    </row>
    <row r="154" spans="1:15" s="54" customFormat="1" ht="37.5" customHeight="1" x14ac:dyDescent="0.25">
      <c r="A154" s="37" t="s">
        <v>115</v>
      </c>
      <c r="B154" s="37" t="s">
        <v>80</v>
      </c>
      <c r="C154" s="3" t="s">
        <v>114</v>
      </c>
      <c r="D154" s="49">
        <f>'дод 3'!E41</f>
        <v>16391395</v>
      </c>
      <c r="E154" s="49">
        <f>'дод 3'!F41</f>
        <v>16391395</v>
      </c>
      <c r="F154" s="49">
        <f>'дод 3'!G41</f>
        <v>0</v>
      </c>
      <c r="G154" s="49">
        <f>'дод 3'!H41</f>
        <v>0</v>
      </c>
      <c r="H154" s="49">
        <f>'дод 3'!I41</f>
        <v>0</v>
      </c>
      <c r="I154" s="49">
        <f>'дод 3'!J41</f>
        <v>0</v>
      </c>
      <c r="J154" s="49">
        <f>'дод 3'!K41</f>
        <v>0</v>
      </c>
      <c r="K154" s="49">
        <f>'дод 3'!L41</f>
        <v>0</v>
      </c>
      <c r="L154" s="49">
        <f>'дод 3'!M41</f>
        <v>0</v>
      </c>
      <c r="M154" s="49">
        <f>'дод 3'!N41</f>
        <v>0</v>
      </c>
      <c r="N154" s="49">
        <f>'дод 3'!O41</f>
        <v>0</v>
      </c>
      <c r="O154" s="49">
        <f>'дод 3'!P41</f>
        <v>16391395</v>
      </c>
    </row>
    <row r="155" spans="1:15" s="52" customFormat="1" ht="18" customHeight="1" x14ac:dyDescent="0.25">
      <c r="A155" s="38" t="s">
        <v>66</v>
      </c>
      <c r="B155" s="41"/>
      <c r="C155" s="2" t="s">
        <v>67</v>
      </c>
      <c r="D155" s="48">
        <f>D157+D158+D159+D160+D161+D162+D163+D165+D166</f>
        <v>279418872.75</v>
      </c>
      <c r="E155" s="48">
        <f t="shared" ref="E155:O155" si="26">E157+E158+E159+E160+E161+E162+E163+E165+E166</f>
        <v>247860659.44</v>
      </c>
      <c r="F155" s="48">
        <f t="shared" si="26"/>
        <v>0</v>
      </c>
      <c r="G155" s="48">
        <f t="shared" si="26"/>
        <v>37697533</v>
      </c>
      <c r="H155" s="48">
        <f t="shared" si="26"/>
        <v>31558213.309999999</v>
      </c>
      <c r="I155" s="48">
        <f t="shared" si="26"/>
        <v>151766526.24999997</v>
      </c>
      <c r="J155" s="48">
        <f t="shared" si="26"/>
        <v>149823697.59999996</v>
      </c>
      <c r="K155" s="48">
        <f t="shared" si="26"/>
        <v>1785000</v>
      </c>
      <c r="L155" s="48">
        <f t="shared" si="26"/>
        <v>0</v>
      </c>
      <c r="M155" s="48">
        <f t="shared" si="26"/>
        <v>0</v>
      </c>
      <c r="N155" s="48">
        <f t="shared" si="26"/>
        <v>149981526.24999997</v>
      </c>
      <c r="O155" s="48">
        <f t="shared" si="26"/>
        <v>431185398.99999994</v>
      </c>
    </row>
    <row r="156" spans="1:15" s="53" customFormat="1" ht="113.25" customHeight="1" x14ac:dyDescent="0.25">
      <c r="A156" s="70"/>
      <c r="B156" s="71"/>
      <c r="C156" s="144" t="s">
        <v>619</v>
      </c>
      <c r="D156" s="75">
        <f>D164</f>
        <v>0</v>
      </c>
      <c r="E156" s="75">
        <f t="shared" ref="E156:O156" si="27">E164</f>
        <v>0</v>
      </c>
      <c r="F156" s="75">
        <f t="shared" si="27"/>
        <v>0</v>
      </c>
      <c r="G156" s="75">
        <f t="shared" si="27"/>
        <v>0</v>
      </c>
      <c r="H156" s="75">
        <f t="shared" si="27"/>
        <v>0</v>
      </c>
      <c r="I156" s="75">
        <f t="shared" si="27"/>
        <v>6778277.5</v>
      </c>
      <c r="J156" s="75">
        <f t="shared" si="27"/>
        <v>6778277.5</v>
      </c>
      <c r="K156" s="75">
        <f t="shared" si="27"/>
        <v>0</v>
      </c>
      <c r="L156" s="75">
        <f t="shared" si="27"/>
        <v>0</v>
      </c>
      <c r="M156" s="75">
        <f t="shared" si="27"/>
        <v>0</v>
      </c>
      <c r="N156" s="75">
        <f t="shared" si="27"/>
        <v>6778277.5</v>
      </c>
      <c r="O156" s="75">
        <f t="shared" si="27"/>
        <v>6778277.5</v>
      </c>
    </row>
    <row r="157" spans="1:15" s="54" customFormat="1" ht="31.5" x14ac:dyDescent="0.25">
      <c r="A157" s="37" t="s">
        <v>127</v>
      </c>
      <c r="B157" s="37" t="s">
        <v>68</v>
      </c>
      <c r="C157" s="3" t="s">
        <v>128</v>
      </c>
      <c r="D157" s="49">
        <f>'дод 3'!E234</f>
        <v>0</v>
      </c>
      <c r="E157" s="49">
        <f>'дод 3'!F234</f>
        <v>0</v>
      </c>
      <c r="F157" s="49">
        <f>'дод 3'!G234</f>
        <v>0</v>
      </c>
      <c r="G157" s="49">
        <f>'дод 3'!H234</f>
        <v>0</v>
      </c>
      <c r="H157" s="49">
        <f>'дод 3'!I234</f>
        <v>0</v>
      </c>
      <c r="I157" s="49">
        <f>'дод 3'!J234</f>
        <v>9020843.5199999996</v>
      </c>
      <c r="J157" s="49">
        <f>'дод 3'!K234</f>
        <v>8984363.5199999996</v>
      </c>
      <c r="K157" s="49">
        <f>'дод 3'!L234</f>
        <v>0</v>
      </c>
      <c r="L157" s="49">
        <f>'дод 3'!M234</f>
        <v>0</v>
      </c>
      <c r="M157" s="49">
        <f>'дод 3'!N234</f>
        <v>0</v>
      </c>
      <c r="N157" s="49">
        <f>'дод 3'!O234</f>
        <v>9020843.5199999996</v>
      </c>
      <c r="O157" s="49">
        <f>'дод 3'!P234</f>
        <v>9020843.5199999996</v>
      </c>
    </row>
    <row r="158" spans="1:15" s="54" customFormat="1" ht="36.75" customHeight="1" x14ac:dyDescent="0.25">
      <c r="A158" s="37" t="s">
        <v>129</v>
      </c>
      <c r="B158" s="37" t="s">
        <v>70</v>
      </c>
      <c r="C158" s="3" t="s">
        <v>147</v>
      </c>
      <c r="D158" s="49">
        <f>'дод 3'!E235</f>
        <v>29081568</v>
      </c>
      <c r="E158" s="49">
        <f>'дод 3'!F235</f>
        <v>581568</v>
      </c>
      <c r="F158" s="49">
        <f>'дод 3'!G235</f>
        <v>0</v>
      </c>
      <c r="G158" s="49">
        <f>'дод 3'!H235</f>
        <v>0</v>
      </c>
      <c r="H158" s="49">
        <f>'дод 3'!I235</f>
        <v>28500000</v>
      </c>
      <c r="I158" s="49">
        <f>'дод 3'!J235</f>
        <v>200000</v>
      </c>
      <c r="J158" s="49">
        <f>'дод 3'!K235</f>
        <v>200000</v>
      </c>
      <c r="K158" s="49">
        <f>'дод 3'!L235</f>
        <v>0</v>
      </c>
      <c r="L158" s="49">
        <f>'дод 3'!M235</f>
        <v>0</v>
      </c>
      <c r="M158" s="49">
        <f>'дод 3'!N235</f>
        <v>0</v>
      </c>
      <c r="N158" s="49">
        <f>'дод 3'!O235</f>
        <v>200000</v>
      </c>
      <c r="O158" s="49">
        <f>'дод 3'!P235</f>
        <v>29281568</v>
      </c>
    </row>
    <row r="159" spans="1:15" s="54" customFormat="1" ht="33" customHeight="1" x14ac:dyDescent="0.25">
      <c r="A159" s="40" t="s">
        <v>260</v>
      </c>
      <c r="B159" s="40" t="s">
        <v>70</v>
      </c>
      <c r="C159" s="3" t="s">
        <v>261</v>
      </c>
      <c r="D159" s="49">
        <f>'дод 3'!E236</f>
        <v>71280</v>
      </c>
      <c r="E159" s="49">
        <f>'дод 3'!F236</f>
        <v>71280</v>
      </c>
      <c r="F159" s="49">
        <f>'дод 3'!G236</f>
        <v>0</v>
      </c>
      <c r="G159" s="49">
        <f>'дод 3'!H236</f>
        <v>0</v>
      </c>
      <c r="H159" s="49">
        <f>'дод 3'!I236</f>
        <v>0</v>
      </c>
      <c r="I159" s="49">
        <f>'дод 3'!J236</f>
        <v>32295150</v>
      </c>
      <c r="J159" s="49">
        <f>'дод 3'!K236</f>
        <v>32245150</v>
      </c>
      <c r="K159" s="49">
        <f>'дод 3'!L236</f>
        <v>0</v>
      </c>
      <c r="L159" s="49">
        <f>'дод 3'!M236</f>
        <v>0</v>
      </c>
      <c r="M159" s="49">
        <f>'дод 3'!N236</f>
        <v>0</v>
      </c>
      <c r="N159" s="49">
        <f>'дод 3'!O236</f>
        <v>32295150</v>
      </c>
      <c r="O159" s="49">
        <f>'дод 3'!P236</f>
        <v>32366430</v>
      </c>
    </row>
    <row r="160" spans="1:15" s="54" customFormat="1" ht="33" customHeight="1" x14ac:dyDescent="0.25">
      <c r="A160" s="37" t="s">
        <v>263</v>
      </c>
      <c r="B160" s="37" t="s">
        <v>70</v>
      </c>
      <c r="C160" s="3" t="s">
        <v>344</v>
      </c>
      <c r="D160" s="49">
        <f>'дод 3'!E237</f>
        <v>100000</v>
      </c>
      <c r="E160" s="49">
        <f>'дод 3'!F237</f>
        <v>100000</v>
      </c>
      <c r="F160" s="49">
        <f>'дод 3'!G237</f>
        <v>0</v>
      </c>
      <c r="G160" s="49">
        <f>'дод 3'!H237</f>
        <v>0</v>
      </c>
      <c r="H160" s="49">
        <f>'дод 3'!I237</f>
        <v>0</v>
      </c>
      <c r="I160" s="49">
        <f>'дод 3'!J237</f>
        <v>0</v>
      </c>
      <c r="J160" s="49">
        <f>'дод 3'!K237</f>
        <v>0</v>
      </c>
      <c r="K160" s="49">
        <f>'дод 3'!L237</f>
        <v>0</v>
      </c>
      <c r="L160" s="49">
        <f>'дод 3'!M237</f>
        <v>0</v>
      </c>
      <c r="M160" s="49">
        <f>'дод 3'!N237</f>
        <v>0</v>
      </c>
      <c r="N160" s="49">
        <f>'дод 3'!O237</f>
        <v>0</v>
      </c>
      <c r="O160" s="49">
        <f>'дод 3'!P237</f>
        <v>100000</v>
      </c>
    </row>
    <row r="161" spans="1:15" s="54" customFormat="1" ht="52.5" customHeight="1" x14ac:dyDescent="0.25">
      <c r="A161" s="37" t="s">
        <v>69</v>
      </c>
      <c r="B161" s="37" t="s">
        <v>70</v>
      </c>
      <c r="C161" s="3" t="s">
        <v>132</v>
      </c>
      <c r="D161" s="49">
        <f>'дод 3'!E238</f>
        <v>2815132.48</v>
      </c>
      <c r="E161" s="49">
        <f>'дод 3'!F238</f>
        <v>0</v>
      </c>
      <c r="F161" s="49">
        <f>'дод 3'!G238</f>
        <v>0</v>
      </c>
      <c r="G161" s="49">
        <f>'дод 3'!H238</f>
        <v>0</v>
      </c>
      <c r="H161" s="49">
        <f>'дод 3'!I238</f>
        <v>2815132.48</v>
      </c>
      <c r="I161" s="49">
        <f>'дод 3'!J238</f>
        <v>85000</v>
      </c>
      <c r="J161" s="49">
        <f>'дод 3'!K238</f>
        <v>85000</v>
      </c>
      <c r="K161" s="49">
        <f>'дод 3'!L238</f>
        <v>0</v>
      </c>
      <c r="L161" s="49">
        <f>'дод 3'!M238</f>
        <v>0</v>
      </c>
      <c r="M161" s="49">
        <f>'дод 3'!N238</f>
        <v>0</v>
      </c>
      <c r="N161" s="49">
        <f>'дод 3'!O238</f>
        <v>85000</v>
      </c>
      <c r="O161" s="49">
        <f>'дод 3'!P238</f>
        <v>2900132.48</v>
      </c>
    </row>
    <row r="162" spans="1:15" ht="24" customHeight="1" x14ac:dyDescent="0.25">
      <c r="A162" s="37" t="s">
        <v>130</v>
      </c>
      <c r="B162" s="37" t="s">
        <v>70</v>
      </c>
      <c r="C162" s="3" t="s">
        <v>131</v>
      </c>
      <c r="D162" s="49">
        <f>'дод 3'!E239+'дод 3'!E275</f>
        <v>240932362.25999999</v>
      </c>
      <c r="E162" s="49">
        <f>'дод 3'!F239+'дод 3'!F275</f>
        <v>240882362.25999999</v>
      </c>
      <c r="F162" s="49">
        <f>'дод 3'!G239+'дод 3'!G275</f>
        <v>0</v>
      </c>
      <c r="G162" s="49">
        <f>'дод 3'!H239+'дод 3'!H275</f>
        <v>37647943</v>
      </c>
      <c r="H162" s="49">
        <f>'дод 3'!I239+'дод 3'!I275</f>
        <v>50000</v>
      </c>
      <c r="I162" s="49">
        <f>'дод 3'!J239+'дод 3'!J275</f>
        <v>99799196.079999983</v>
      </c>
      <c r="J162" s="49">
        <f>'дод 3'!K239+'дод 3'!K275</f>
        <v>99799196.079999983</v>
      </c>
      <c r="K162" s="49">
        <f>'дод 3'!L239+'дод 3'!L275</f>
        <v>0</v>
      </c>
      <c r="L162" s="49">
        <f>'дод 3'!M239+'дод 3'!M275</f>
        <v>0</v>
      </c>
      <c r="M162" s="49">
        <f>'дод 3'!N239+'дод 3'!N275</f>
        <v>0</v>
      </c>
      <c r="N162" s="49">
        <f>'дод 3'!O239+'дод 3'!O275</f>
        <v>99799196.079999983</v>
      </c>
      <c r="O162" s="49">
        <f>'дод 3'!P239+'дод 3'!P275</f>
        <v>340731558.33999997</v>
      </c>
    </row>
    <row r="163" spans="1:15" ht="83.25" customHeight="1" x14ac:dyDescent="0.25">
      <c r="A163" s="37">
        <v>6083</v>
      </c>
      <c r="B163" s="58" t="s">
        <v>68</v>
      </c>
      <c r="C163" s="11" t="s">
        <v>438</v>
      </c>
      <c r="D163" s="49">
        <f>'дод 3'!E210+'дод 3'!E240</f>
        <v>0</v>
      </c>
      <c r="E163" s="49">
        <f>'дод 3'!F210+'дод 3'!F240</f>
        <v>0</v>
      </c>
      <c r="F163" s="49">
        <f>'дод 3'!G210+'дод 3'!G240</f>
        <v>0</v>
      </c>
      <c r="G163" s="49">
        <f>'дод 3'!H210+'дод 3'!H240</f>
        <v>0</v>
      </c>
      <c r="H163" s="49">
        <f>'дод 3'!I210+'дод 3'!I240</f>
        <v>0</v>
      </c>
      <c r="I163" s="49">
        <f>'дод 3'!J210+'дод 3'!J240</f>
        <v>8509988</v>
      </c>
      <c r="J163" s="49">
        <f>'дод 3'!K210+'дод 3'!K240</f>
        <v>8509988</v>
      </c>
      <c r="K163" s="49">
        <f>'дод 3'!L210+'дод 3'!L240</f>
        <v>0</v>
      </c>
      <c r="L163" s="49">
        <f>'дод 3'!M210+'дод 3'!M240</f>
        <v>0</v>
      </c>
      <c r="M163" s="49">
        <f>'дод 3'!N210+'дод 3'!N240</f>
        <v>0</v>
      </c>
      <c r="N163" s="49">
        <f>'дод 3'!O210+'дод 3'!O240</f>
        <v>8509988</v>
      </c>
      <c r="O163" s="49">
        <f>'дод 3'!P210+'дод 3'!P240</f>
        <v>8509988</v>
      </c>
    </row>
    <row r="164" spans="1:15" s="54" customFormat="1" ht="110.25" x14ac:dyDescent="0.25">
      <c r="A164" s="77"/>
      <c r="B164" s="88"/>
      <c r="C164" s="89" t="s">
        <v>619</v>
      </c>
      <c r="D164" s="79">
        <f>'дод 3'!E211+'дод 3'!E241</f>
        <v>0</v>
      </c>
      <c r="E164" s="79">
        <f>'дод 3'!F211+'дод 3'!F241</f>
        <v>0</v>
      </c>
      <c r="F164" s="79">
        <f>'дод 3'!G211+'дод 3'!G241</f>
        <v>0</v>
      </c>
      <c r="G164" s="79">
        <f>'дод 3'!H211+'дод 3'!H241</f>
        <v>0</v>
      </c>
      <c r="H164" s="79">
        <f>'дод 3'!I211+'дод 3'!I241</f>
        <v>0</v>
      </c>
      <c r="I164" s="79">
        <f>'дод 3'!J211+'дод 3'!J241</f>
        <v>6778277.5</v>
      </c>
      <c r="J164" s="79">
        <f>'дод 3'!K211+'дод 3'!K241</f>
        <v>6778277.5</v>
      </c>
      <c r="K164" s="79">
        <f>'дод 3'!L211+'дод 3'!L241</f>
        <v>0</v>
      </c>
      <c r="L164" s="79">
        <f>'дод 3'!M211+'дод 3'!M241</f>
        <v>0</v>
      </c>
      <c r="M164" s="79">
        <f>'дод 3'!N211+'дод 3'!N241</f>
        <v>0</v>
      </c>
      <c r="N164" s="79">
        <f>'дод 3'!O211+'дод 3'!O241</f>
        <v>6778277.5</v>
      </c>
      <c r="O164" s="79">
        <f>'дод 3'!P211+'дод 3'!P241</f>
        <v>6778277.5</v>
      </c>
    </row>
    <row r="165" spans="1:15" s="54" customFormat="1" ht="54.75" customHeight="1" x14ac:dyDescent="0.25">
      <c r="A165" s="37" t="s">
        <v>134</v>
      </c>
      <c r="B165" s="42" t="s">
        <v>68</v>
      </c>
      <c r="C165" s="3" t="s">
        <v>135</v>
      </c>
      <c r="D165" s="49">
        <f>'дод 3'!E276</f>
        <v>0</v>
      </c>
      <c r="E165" s="49">
        <f>'дод 3'!F276</f>
        <v>0</v>
      </c>
      <c r="F165" s="49">
        <f>'дод 3'!G276</f>
        <v>0</v>
      </c>
      <c r="G165" s="49">
        <f>'дод 3'!H276</f>
        <v>0</v>
      </c>
      <c r="H165" s="49">
        <f>'дод 3'!I276</f>
        <v>0</v>
      </c>
      <c r="I165" s="49">
        <f>'дод 3'!J276</f>
        <v>71348.649999999994</v>
      </c>
      <c r="J165" s="49">
        <f>'дод 3'!K276</f>
        <v>0</v>
      </c>
      <c r="K165" s="49">
        <f>'дод 3'!L276</f>
        <v>0</v>
      </c>
      <c r="L165" s="49">
        <f>'дод 3'!M276</f>
        <v>0</v>
      </c>
      <c r="M165" s="49">
        <f>'дод 3'!N276</f>
        <v>0</v>
      </c>
      <c r="N165" s="49">
        <f>'дод 3'!O276</f>
        <v>71348.649999999994</v>
      </c>
      <c r="O165" s="49">
        <f>'дод 3'!P276</f>
        <v>71348.649999999994</v>
      </c>
    </row>
    <row r="166" spans="1:15" ht="36" customHeight="1" x14ac:dyDescent="0.25">
      <c r="A166" s="37" t="s">
        <v>141</v>
      </c>
      <c r="B166" s="42" t="s">
        <v>312</v>
      </c>
      <c r="C166" s="3" t="s">
        <v>142</v>
      </c>
      <c r="D166" s="49">
        <f>'дод 3'!E242+'дод 3'!E295</f>
        <v>6418530.0099999998</v>
      </c>
      <c r="E166" s="49">
        <f>'дод 3'!F242+'дод 3'!F295</f>
        <v>6225449.1799999997</v>
      </c>
      <c r="F166" s="49">
        <f>'дод 3'!G242+'дод 3'!G295</f>
        <v>0</v>
      </c>
      <c r="G166" s="49">
        <f>'дод 3'!H242+'дод 3'!H295</f>
        <v>49590</v>
      </c>
      <c r="H166" s="49">
        <f>'дод 3'!I242+'дод 3'!I295</f>
        <v>193080.83000000002</v>
      </c>
      <c r="I166" s="49">
        <f>'дод 3'!J242+'дод 3'!J295</f>
        <v>1785000</v>
      </c>
      <c r="J166" s="49">
        <f>'дод 3'!K242+'дод 3'!K295</f>
        <v>0</v>
      </c>
      <c r="K166" s="49">
        <f>'дод 3'!L242+'дод 3'!L295</f>
        <v>1785000</v>
      </c>
      <c r="L166" s="49">
        <f>'дод 3'!M242+'дод 3'!M295</f>
        <v>0</v>
      </c>
      <c r="M166" s="49">
        <f>'дод 3'!N242+'дод 3'!N295</f>
        <v>0</v>
      </c>
      <c r="N166" s="49">
        <f>'дод 3'!O242+'дод 3'!O295</f>
        <v>0</v>
      </c>
      <c r="O166" s="49">
        <f>'дод 3'!P242+'дод 3'!P295</f>
        <v>8203530.0099999998</v>
      </c>
    </row>
    <row r="167" spans="1:15" s="52" customFormat="1" ht="21.75" customHeight="1" x14ac:dyDescent="0.25">
      <c r="A167" s="38" t="s">
        <v>136</v>
      </c>
      <c r="B167" s="41"/>
      <c r="C167" s="2" t="s">
        <v>407</v>
      </c>
      <c r="D167" s="48">
        <f>D173+D175+D197+D213+D215+D227</f>
        <v>79022342.149999991</v>
      </c>
      <c r="E167" s="48">
        <f>E173+E175+E197+E213+E215+E227</f>
        <v>15061036.149999999</v>
      </c>
      <c r="F167" s="48">
        <f t="shared" ref="F167:O167" si="28">F173+F175+F197+F213+F215+F227</f>
        <v>0</v>
      </c>
      <c r="G167" s="48">
        <f t="shared" si="28"/>
        <v>0</v>
      </c>
      <c r="H167" s="48">
        <f t="shared" si="28"/>
        <v>63961306</v>
      </c>
      <c r="I167" s="48">
        <f t="shared" si="28"/>
        <v>476750585.99000001</v>
      </c>
      <c r="J167" s="48">
        <f t="shared" si="28"/>
        <v>444197664.12</v>
      </c>
      <c r="K167" s="48">
        <f t="shared" si="28"/>
        <v>15048437.869999999</v>
      </c>
      <c r="L167" s="48">
        <f t="shared" si="28"/>
        <v>0</v>
      </c>
      <c r="M167" s="48">
        <f t="shared" si="28"/>
        <v>0</v>
      </c>
      <c r="N167" s="48">
        <f t="shared" si="28"/>
        <v>461702148.12</v>
      </c>
      <c r="O167" s="48">
        <f t="shared" si="28"/>
        <v>555772928.13999999</v>
      </c>
    </row>
    <row r="168" spans="1:15" s="53" customFormat="1" ht="47.25" x14ac:dyDescent="0.25">
      <c r="A168" s="70"/>
      <c r="B168" s="71"/>
      <c r="C168" s="74" t="s">
        <v>388</v>
      </c>
      <c r="D168" s="75">
        <f>D176</f>
        <v>0</v>
      </c>
      <c r="E168" s="75">
        <f t="shared" ref="E168:O168" si="29">E176</f>
        <v>0</v>
      </c>
      <c r="F168" s="75">
        <f t="shared" si="29"/>
        <v>0</v>
      </c>
      <c r="G168" s="75">
        <f t="shared" si="29"/>
        <v>0</v>
      </c>
      <c r="H168" s="75">
        <f t="shared" si="29"/>
        <v>0</v>
      </c>
      <c r="I168" s="75">
        <f t="shared" si="29"/>
        <v>30921007</v>
      </c>
      <c r="J168" s="75">
        <f t="shared" si="29"/>
        <v>27428057</v>
      </c>
      <c r="K168" s="75">
        <f t="shared" si="29"/>
        <v>0</v>
      </c>
      <c r="L168" s="75">
        <f t="shared" si="29"/>
        <v>0</v>
      </c>
      <c r="M168" s="75">
        <f t="shared" si="29"/>
        <v>0</v>
      </c>
      <c r="N168" s="75">
        <f t="shared" si="29"/>
        <v>30921007</v>
      </c>
      <c r="O168" s="75">
        <f t="shared" si="29"/>
        <v>30921007</v>
      </c>
    </row>
    <row r="169" spans="1:15" s="53" customFormat="1" ht="94.5" x14ac:dyDescent="0.25">
      <c r="A169" s="70"/>
      <c r="B169" s="71"/>
      <c r="C169" s="74" t="s">
        <v>397</v>
      </c>
      <c r="D169" s="75">
        <f>D198</f>
        <v>0</v>
      </c>
      <c r="E169" s="75">
        <f t="shared" ref="E169:N169" si="30">E198</f>
        <v>0</v>
      </c>
      <c r="F169" s="75">
        <f t="shared" si="30"/>
        <v>0</v>
      </c>
      <c r="G169" s="75">
        <f t="shared" si="30"/>
        <v>0</v>
      </c>
      <c r="H169" s="75">
        <f t="shared" si="30"/>
        <v>0</v>
      </c>
      <c r="I169" s="75">
        <f t="shared" si="30"/>
        <v>12100000</v>
      </c>
      <c r="J169" s="75">
        <f t="shared" si="30"/>
        <v>0</v>
      </c>
      <c r="K169" s="75">
        <f t="shared" si="30"/>
        <v>12100000</v>
      </c>
      <c r="L169" s="75">
        <f t="shared" si="30"/>
        <v>0</v>
      </c>
      <c r="M169" s="75">
        <f t="shared" si="30"/>
        <v>0</v>
      </c>
      <c r="N169" s="75">
        <f t="shared" si="30"/>
        <v>0</v>
      </c>
      <c r="O169" s="75">
        <f t="shared" ref="O169" si="31">O198</f>
        <v>12100000</v>
      </c>
    </row>
    <row r="170" spans="1:15" s="53" customFormat="1" ht="66" customHeight="1" x14ac:dyDescent="0.25">
      <c r="A170" s="70"/>
      <c r="B170" s="71"/>
      <c r="C170" s="134" t="s">
        <v>622</v>
      </c>
      <c r="D170" s="75">
        <f>D177</f>
        <v>0</v>
      </c>
      <c r="E170" s="75">
        <f>E177</f>
        <v>0</v>
      </c>
      <c r="F170" s="75">
        <f t="shared" ref="F170:H170" si="32">F177</f>
        <v>0</v>
      </c>
      <c r="G170" s="75">
        <f t="shared" si="32"/>
        <v>0</v>
      </c>
      <c r="H170" s="75">
        <f t="shared" si="32"/>
        <v>0</v>
      </c>
      <c r="I170" s="75">
        <f>I177</f>
        <v>1530600</v>
      </c>
      <c r="J170" s="75">
        <f t="shared" ref="J170:N170" si="33">J177</f>
        <v>1530600</v>
      </c>
      <c r="K170" s="75">
        <f t="shared" si="33"/>
        <v>0</v>
      </c>
      <c r="L170" s="75">
        <f t="shared" si="33"/>
        <v>0</v>
      </c>
      <c r="M170" s="75">
        <f t="shared" si="33"/>
        <v>0</v>
      </c>
      <c r="N170" s="75">
        <f t="shared" si="33"/>
        <v>1530600</v>
      </c>
      <c r="O170" s="75">
        <f>O177</f>
        <v>1530600</v>
      </c>
    </row>
    <row r="171" spans="1:15" s="53" customFormat="1" ht="18.75" customHeight="1" x14ac:dyDescent="0.25">
      <c r="A171" s="70"/>
      <c r="B171" s="71"/>
      <c r="C171" s="76" t="s">
        <v>395</v>
      </c>
      <c r="D171" s="75">
        <f>D178+D200</f>
        <v>200000</v>
      </c>
      <c r="E171" s="75">
        <f t="shared" ref="E171:O171" si="34">E178+E200</f>
        <v>200000</v>
      </c>
      <c r="F171" s="75">
        <f t="shared" si="34"/>
        <v>0</v>
      </c>
      <c r="G171" s="75">
        <f t="shared" si="34"/>
        <v>0</v>
      </c>
      <c r="H171" s="75">
        <f t="shared" si="34"/>
        <v>0</v>
      </c>
      <c r="I171" s="75">
        <f t="shared" si="34"/>
        <v>450000</v>
      </c>
      <c r="J171" s="75">
        <f t="shared" si="34"/>
        <v>450000</v>
      </c>
      <c r="K171" s="75">
        <f t="shared" si="34"/>
        <v>0</v>
      </c>
      <c r="L171" s="75">
        <f t="shared" si="34"/>
        <v>0</v>
      </c>
      <c r="M171" s="75">
        <f t="shared" si="34"/>
        <v>0</v>
      </c>
      <c r="N171" s="75">
        <f t="shared" si="34"/>
        <v>450000</v>
      </c>
      <c r="O171" s="75">
        <f t="shared" si="34"/>
        <v>650000</v>
      </c>
    </row>
    <row r="172" spans="1:15" s="53" customFormat="1" ht="18" customHeight="1" x14ac:dyDescent="0.25">
      <c r="A172" s="70"/>
      <c r="B172" s="70"/>
      <c r="C172" s="82" t="s">
        <v>419</v>
      </c>
      <c r="D172" s="75">
        <f>D216</f>
        <v>0</v>
      </c>
      <c r="E172" s="75">
        <f t="shared" ref="E172:O172" si="35">E216</f>
        <v>0</v>
      </c>
      <c r="F172" s="75">
        <f t="shared" si="35"/>
        <v>0</v>
      </c>
      <c r="G172" s="75">
        <f t="shared" si="35"/>
        <v>0</v>
      </c>
      <c r="H172" s="75">
        <f t="shared" si="35"/>
        <v>0</v>
      </c>
      <c r="I172" s="75">
        <f t="shared" si="35"/>
        <v>127771665.12</v>
      </c>
      <c r="J172" s="75">
        <f t="shared" si="35"/>
        <v>127771665.12</v>
      </c>
      <c r="K172" s="75">
        <f t="shared" si="35"/>
        <v>0</v>
      </c>
      <c r="L172" s="75">
        <f t="shared" si="35"/>
        <v>0</v>
      </c>
      <c r="M172" s="75">
        <f t="shared" si="35"/>
        <v>0</v>
      </c>
      <c r="N172" s="75">
        <f t="shared" si="35"/>
        <v>127771665.12</v>
      </c>
      <c r="O172" s="75">
        <f t="shared" si="35"/>
        <v>127771665.12</v>
      </c>
    </row>
    <row r="173" spans="1:15" s="52" customFormat="1" x14ac:dyDescent="0.25">
      <c r="A173" s="38" t="s">
        <v>143</v>
      </c>
      <c r="B173" s="41"/>
      <c r="C173" s="2" t="s">
        <v>144</v>
      </c>
      <c r="D173" s="48">
        <f t="shared" ref="D173:O173" si="36">D174</f>
        <v>450000</v>
      </c>
      <c r="E173" s="48">
        <f t="shared" si="36"/>
        <v>450000</v>
      </c>
      <c r="F173" s="48">
        <f t="shared" si="36"/>
        <v>0</v>
      </c>
      <c r="G173" s="48">
        <f t="shared" si="36"/>
        <v>0</v>
      </c>
      <c r="H173" s="48">
        <f t="shared" si="36"/>
        <v>0</v>
      </c>
      <c r="I173" s="48">
        <f t="shared" si="36"/>
        <v>0</v>
      </c>
      <c r="J173" s="48">
        <f t="shared" si="36"/>
        <v>0</v>
      </c>
      <c r="K173" s="48">
        <f t="shared" si="36"/>
        <v>0</v>
      </c>
      <c r="L173" s="48">
        <f t="shared" si="36"/>
        <v>0</v>
      </c>
      <c r="M173" s="48">
        <f t="shared" si="36"/>
        <v>0</v>
      </c>
      <c r="N173" s="48">
        <f t="shared" si="36"/>
        <v>0</v>
      </c>
      <c r="O173" s="48">
        <f t="shared" si="36"/>
        <v>450000</v>
      </c>
    </row>
    <row r="174" spans="1:15" ht="24" customHeight="1" x14ac:dyDescent="0.25">
      <c r="A174" s="37" t="s">
        <v>137</v>
      </c>
      <c r="B174" s="37" t="s">
        <v>83</v>
      </c>
      <c r="C174" s="3" t="s">
        <v>345</v>
      </c>
      <c r="D174" s="49">
        <f>'дод 3'!E305</f>
        <v>450000</v>
      </c>
      <c r="E174" s="49">
        <f>'дод 3'!F305</f>
        <v>450000</v>
      </c>
      <c r="F174" s="49">
        <f>'дод 3'!G305</f>
        <v>0</v>
      </c>
      <c r="G174" s="49">
        <f>'дод 3'!H305</f>
        <v>0</v>
      </c>
      <c r="H174" s="49">
        <f>'дод 3'!I305</f>
        <v>0</v>
      </c>
      <c r="I174" s="49">
        <f>'дод 3'!J305</f>
        <v>0</v>
      </c>
      <c r="J174" s="49">
        <f>'дод 3'!K305</f>
        <v>0</v>
      </c>
      <c r="K174" s="49">
        <f>'дод 3'!L305</f>
        <v>0</v>
      </c>
      <c r="L174" s="49">
        <f>'дод 3'!M305</f>
        <v>0</v>
      </c>
      <c r="M174" s="49">
        <f>'дод 3'!N305</f>
        <v>0</v>
      </c>
      <c r="N174" s="49">
        <f>'дод 3'!O305</f>
        <v>0</v>
      </c>
      <c r="O174" s="49">
        <f>'дод 3'!P305</f>
        <v>450000</v>
      </c>
    </row>
    <row r="175" spans="1:15" s="52" customFormat="1" ht="31.5" x14ac:dyDescent="0.25">
      <c r="A175" s="38" t="s">
        <v>97</v>
      </c>
      <c r="B175" s="38"/>
      <c r="C175" s="13" t="s">
        <v>591</v>
      </c>
      <c r="D175" s="48">
        <f>D179+D180+D182+D184+D185+D186+D187+D188+D189+D190+D192+D194+D196</f>
        <v>2341300.6</v>
      </c>
      <c r="E175" s="48">
        <f t="shared" ref="E175:O175" si="37">E179+E180+E182+E184+E185+E186+E187+E188+E189+E190+E192+E194+E196</f>
        <v>2341300.6</v>
      </c>
      <c r="F175" s="48">
        <f t="shared" si="37"/>
        <v>0</v>
      </c>
      <c r="G175" s="48">
        <f t="shared" si="37"/>
        <v>0</v>
      </c>
      <c r="H175" s="48">
        <f t="shared" si="37"/>
        <v>0</v>
      </c>
      <c r="I175" s="48">
        <f t="shared" si="37"/>
        <v>267394980.55000001</v>
      </c>
      <c r="J175" s="48">
        <f t="shared" si="37"/>
        <v>263902030.55000001</v>
      </c>
      <c r="K175" s="48">
        <f t="shared" si="37"/>
        <v>0</v>
      </c>
      <c r="L175" s="48">
        <f t="shared" si="37"/>
        <v>0</v>
      </c>
      <c r="M175" s="48">
        <f t="shared" si="37"/>
        <v>0</v>
      </c>
      <c r="N175" s="48">
        <f t="shared" si="37"/>
        <v>267394980.55000001</v>
      </c>
      <c r="O175" s="48">
        <f t="shared" si="37"/>
        <v>269736281.15000004</v>
      </c>
    </row>
    <row r="176" spans="1:15" s="53" customFormat="1" ht="53.25" customHeight="1" x14ac:dyDescent="0.25">
      <c r="A176" s="70"/>
      <c r="B176" s="70"/>
      <c r="C176" s="74" t="s">
        <v>388</v>
      </c>
      <c r="D176" s="75">
        <f>D193</f>
        <v>0</v>
      </c>
      <c r="E176" s="75">
        <f t="shared" ref="E176:O176" si="38">E193</f>
        <v>0</v>
      </c>
      <c r="F176" s="75">
        <f t="shared" si="38"/>
        <v>0</v>
      </c>
      <c r="G176" s="75">
        <f t="shared" si="38"/>
        <v>0</v>
      </c>
      <c r="H176" s="75">
        <f t="shared" si="38"/>
        <v>0</v>
      </c>
      <c r="I176" s="75">
        <f t="shared" si="38"/>
        <v>30921007</v>
      </c>
      <c r="J176" s="75">
        <f t="shared" si="38"/>
        <v>27428057</v>
      </c>
      <c r="K176" s="75">
        <f t="shared" si="38"/>
        <v>0</v>
      </c>
      <c r="L176" s="75">
        <f t="shared" si="38"/>
        <v>0</v>
      </c>
      <c r="M176" s="75">
        <f t="shared" si="38"/>
        <v>0</v>
      </c>
      <c r="N176" s="75">
        <f t="shared" si="38"/>
        <v>30921007</v>
      </c>
      <c r="O176" s="75">
        <f t="shared" si="38"/>
        <v>30921007</v>
      </c>
    </row>
    <row r="177" spans="1:15" s="53" customFormat="1" ht="63" x14ac:dyDescent="0.25">
      <c r="A177" s="70"/>
      <c r="B177" s="70"/>
      <c r="C177" s="134" t="s">
        <v>622</v>
      </c>
      <c r="D177" s="75">
        <f>D183</f>
        <v>0</v>
      </c>
      <c r="E177" s="75">
        <f>E183</f>
        <v>0</v>
      </c>
      <c r="F177" s="75">
        <f t="shared" ref="F177:H177" si="39">F183</f>
        <v>0</v>
      </c>
      <c r="G177" s="75">
        <f t="shared" si="39"/>
        <v>0</v>
      </c>
      <c r="H177" s="75">
        <f t="shared" si="39"/>
        <v>0</v>
      </c>
      <c r="I177" s="75">
        <f>I183</f>
        <v>1530600</v>
      </c>
      <c r="J177" s="75">
        <f t="shared" ref="J177:N177" si="40">J183</f>
        <v>1530600</v>
      </c>
      <c r="K177" s="75">
        <f t="shared" si="40"/>
        <v>0</v>
      </c>
      <c r="L177" s="75">
        <f t="shared" si="40"/>
        <v>0</v>
      </c>
      <c r="M177" s="75">
        <f t="shared" si="40"/>
        <v>0</v>
      </c>
      <c r="N177" s="75">
        <f t="shared" si="40"/>
        <v>1530600</v>
      </c>
      <c r="O177" s="75">
        <f>O183</f>
        <v>1530600</v>
      </c>
    </row>
    <row r="178" spans="1:15" s="53" customFormat="1" x14ac:dyDescent="0.25">
      <c r="A178" s="70"/>
      <c r="B178" s="70"/>
      <c r="C178" s="76" t="s">
        <v>395</v>
      </c>
      <c r="D178" s="75">
        <f>D181+D195</f>
        <v>0</v>
      </c>
      <c r="E178" s="75">
        <f t="shared" ref="E178:O178" si="41">E181+E195</f>
        <v>0</v>
      </c>
      <c r="F178" s="75">
        <f t="shared" si="41"/>
        <v>0</v>
      </c>
      <c r="G178" s="75">
        <f t="shared" si="41"/>
        <v>0</v>
      </c>
      <c r="H178" s="75">
        <f t="shared" si="41"/>
        <v>0</v>
      </c>
      <c r="I178" s="75">
        <f t="shared" si="41"/>
        <v>450000</v>
      </c>
      <c r="J178" s="75">
        <f>J181+J195</f>
        <v>450000</v>
      </c>
      <c r="K178" s="75">
        <f t="shared" si="41"/>
        <v>0</v>
      </c>
      <c r="L178" s="75">
        <f t="shared" si="41"/>
        <v>0</v>
      </c>
      <c r="M178" s="75">
        <f t="shared" si="41"/>
        <v>0</v>
      </c>
      <c r="N178" s="75">
        <f t="shared" si="41"/>
        <v>450000</v>
      </c>
      <c r="O178" s="75">
        <f t="shared" si="41"/>
        <v>450000</v>
      </c>
    </row>
    <row r="179" spans="1:15" ht="33" customHeight="1" x14ac:dyDescent="0.25">
      <c r="A179" s="40" t="s">
        <v>272</v>
      </c>
      <c r="B179" s="40" t="s">
        <v>111</v>
      </c>
      <c r="C179" s="6" t="s">
        <v>551</v>
      </c>
      <c r="D179" s="49">
        <f>'дод 3'!E277+'дод 3'!E243</f>
        <v>0</v>
      </c>
      <c r="E179" s="49">
        <f>'дод 3'!F277+'дод 3'!F243</f>
        <v>0</v>
      </c>
      <c r="F179" s="49">
        <f>'дод 3'!G277+'дод 3'!G243</f>
        <v>0</v>
      </c>
      <c r="G179" s="49">
        <f>'дод 3'!H277+'дод 3'!H243</f>
        <v>0</v>
      </c>
      <c r="H179" s="49">
        <f>'дод 3'!I277+'дод 3'!I243</f>
        <v>0</v>
      </c>
      <c r="I179" s="49">
        <f>'дод 3'!J277+'дод 3'!J243</f>
        <v>26157976.469999999</v>
      </c>
      <c r="J179" s="49">
        <f>'дод 3'!K277+'дод 3'!K243</f>
        <v>26157976.469999999</v>
      </c>
      <c r="K179" s="49">
        <f>'дод 3'!L277+'дод 3'!L243</f>
        <v>0</v>
      </c>
      <c r="L179" s="49">
        <f>'дод 3'!M277+'дод 3'!M243</f>
        <v>0</v>
      </c>
      <c r="M179" s="49">
        <f>'дод 3'!N277+'дод 3'!N243</f>
        <v>0</v>
      </c>
      <c r="N179" s="49">
        <f>'дод 3'!O277+'дод 3'!O243</f>
        <v>26157976.469999999</v>
      </c>
      <c r="O179" s="49">
        <f>'дод 3'!P277+'дод 3'!P243</f>
        <v>26157976.469999999</v>
      </c>
    </row>
    <row r="180" spans="1:15" s="54" customFormat="1" ht="34.5" x14ac:dyDescent="0.25">
      <c r="A180" s="40" t="s">
        <v>277</v>
      </c>
      <c r="B180" s="40" t="s">
        <v>111</v>
      </c>
      <c r="C180" s="6" t="s">
        <v>592</v>
      </c>
      <c r="D180" s="49">
        <f>'дод 3'!E116+'дод 3'!E278</f>
        <v>0</v>
      </c>
      <c r="E180" s="49">
        <f>'дод 3'!F116+'дод 3'!F278</f>
        <v>0</v>
      </c>
      <c r="F180" s="49">
        <f>'дод 3'!G116+'дод 3'!G278</f>
        <v>0</v>
      </c>
      <c r="G180" s="49">
        <f>'дод 3'!H116+'дод 3'!H278</f>
        <v>0</v>
      </c>
      <c r="H180" s="49">
        <f>'дод 3'!I116+'дод 3'!I278</f>
        <v>0</v>
      </c>
      <c r="I180" s="49">
        <f>'дод 3'!J116+'дод 3'!J278</f>
        <v>31814047.5</v>
      </c>
      <c r="J180" s="49">
        <f>'дод 3'!K116+'дод 3'!K278</f>
        <v>31814047.5</v>
      </c>
      <c r="K180" s="49">
        <f>'дод 3'!L116+'дод 3'!L278</f>
        <v>0</v>
      </c>
      <c r="L180" s="49">
        <f>'дод 3'!M116+'дод 3'!M278</f>
        <v>0</v>
      </c>
      <c r="M180" s="49">
        <f>'дод 3'!N116+'дод 3'!N278</f>
        <v>0</v>
      </c>
      <c r="N180" s="49">
        <f>'дод 3'!O116+'дод 3'!O278</f>
        <v>31814047.5</v>
      </c>
      <c r="O180" s="49">
        <f>'дод 3'!P116+'дод 3'!P278</f>
        <v>31814047.5</v>
      </c>
    </row>
    <row r="181" spans="1:15" s="54" customFormat="1" ht="21.75" customHeight="1" x14ac:dyDescent="0.25">
      <c r="A181" s="81"/>
      <c r="B181" s="81"/>
      <c r="C181" s="86" t="s">
        <v>395</v>
      </c>
      <c r="D181" s="79">
        <f>'дод 3'!E117</f>
        <v>0</v>
      </c>
      <c r="E181" s="79">
        <f>'дод 3'!F117</f>
        <v>0</v>
      </c>
      <c r="F181" s="79">
        <f>'дод 3'!G117</f>
        <v>0</v>
      </c>
      <c r="G181" s="79">
        <f>'дод 3'!H117</f>
        <v>0</v>
      </c>
      <c r="H181" s="79">
        <f>'дод 3'!I117</f>
        <v>0</v>
      </c>
      <c r="I181" s="79">
        <f>'дод 3'!J117</f>
        <v>250000</v>
      </c>
      <c r="J181" s="79">
        <f>'дод 3'!K117</f>
        <v>250000</v>
      </c>
      <c r="K181" s="79">
        <f>'дод 3'!L117</f>
        <v>0</v>
      </c>
      <c r="L181" s="79">
        <f>'дод 3'!M117</f>
        <v>0</v>
      </c>
      <c r="M181" s="79">
        <f>'дод 3'!N117</f>
        <v>0</v>
      </c>
      <c r="N181" s="79">
        <f>'дод 3'!O117</f>
        <v>250000</v>
      </c>
      <c r="O181" s="79">
        <f>'дод 3'!P117</f>
        <v>250000</v>
      </c>
    </row>
    <row r="182" spans="1:15" s="54" customFormat="1" ht="36.75" customHeight="1" x14ac:dyDescent="0.25">
      <c r="A182" s="40" t="s">
        <v>279</v>
      </c>
      <c r="B182" s="40" t="s">
        <v>111</v>
      </c>
      <c r="C182" s="6" t="s">
        <v>621</v>
      </c>
      <c r="D182" s="49">
        <f>'дод 3'!E279+'дод 3'!E154</f>
        <v>0</v>
      </c>
      <c r="E182" s="49">
        <f>'дод 3'!F279+'дод 3'!F154</f>
        <v>0</v>
      </c>
      <c r="F182" s="49">
        <f>'дод 3'!G279+'дод 3'!G154</f>
        <v>0</v>
      </c>
      <c r="G182" s="49">
        <f>'дод 3'!H279+'дод 3'!H154</f>
        <v>0</v>
      </c>
      <c r="H182" s="49">
        <f>'дод 3'!I279+'дод 3'!I154</f>
        <v>0</v>
      </c>
      <c r="I182" s="49">
        <f>'дод 3'!J279+'дод 3'!J154</f>
        <v>47036436</v>
      </c>
      <c r="J182" s="49">
        <f>'дод 3'!K279+'дод 3'!K154</f>
        <v>47036436</v>
      </c>
      <c r="K182" s="49">
        <f>'дод 3'!L279+'дод 3'!L154</f>
        <v>0</v>
      </c>
      <c r="L182" s="49">
        <f>'дод 3'!M279+'дод 3'!M154</f>
        <v>0</v>
      </c>
      <c r="M182" s="49">
        <f>'дод 3'!N279+'дод 3'!N154</f>
        <v>0</v>
      </c>
      <c r="N182" s="49">
        <f>'дод 3'!O279+'дод 3'!O154</f>
        <v>47036436</v>
      </c>
      <c r="O182" s="49">
        <f>'дод 3'!P279+'дод 3'!P154</f>
        <v>47036436</v>
      </c>
    </row>
    <row r="183" spans="1:15" s="54" customFormat="1" ht="63" x14ac:dyDescent="0.25">
      <c r="A183" s="40"/>
      <c r="B183" s="40"/>
      <c r="C183" s="80" t="s">
        <v>622</v>
      </c>
      <c r="D183" s="79">
        <f>'дод 3'!E155</f>
        <v>0</v>
      </c>
      <c r="E183" s="79">
        <f>'дод 3'!F155</f>
        <v>0</v>
      </c>
      <c r="F183" s="79">
        <f>'дод 3'!G155</f>
        <v>0</v>
      </c>
      <c r="G183" s="79">
        <f>'дод 3'!H155</f>
        <v>0</v>
      </c>
      <c r="H183" s="79">
        <f>'дод 3'!I155</f>
        <v>0</v>
      </c>
      <c r="I183" s="79">
        <f>'дод 3'!J155</f>
        <v>1530600</v>
      </c>
      <c r="J183" s="79">
        <f>'дод 3'!K155</f>
        <v>1530600</v>
      </c>
      <c r="K183" s="79">
        <f>'дод 3'!L155</f>
        <v>0</v>
      </c>
      <c r="L183" s="79">
        <f>'дод 3'!M155</f>
        <v>0</v>
      </c>
      <c r="M183" s="79">
        <f>'дод 3'!N155</f>
        <v>0</v>
      </c>
      <c r="N183" s="79">
        <f>'дод 3'!O155</f>
        <v>1530600</v>
      </c>
      <c r="O183" s="79">
        <f>'дод 3'!P155</f>
        <v>1530600</v>
      </c>
    </row>
    <row r="184" spans="1:15" s="54" customFormat="1" ht="22.5" customHeight="1" x14ac:dyDescent="0.25">
      <c r="A184" s="40">
        <v>7323</v>
      </c>
      <c r="B184" s="72" t="s">
        <v>111</v>
      </c>
      <c r="C184" s="128" t="s">
        <v>549</v>
      </c>
      <c r="D184" s="49">
        <f>'дод 3'!E202</f>
        <v>0</v>
      </c>
      <c r="E184" s="49">
        <f>'дод 3'!F202</f>
        <v>0</v>
      </c>
      <c r="F184" s="49">
        <f>'дод 3'!G202</f>
        <v>0</v>
      </c>
      <c r="G184" s="49">
        <f>'дод 3'!H202</f>
        <v>0</v>
      </c>
      <c r="H184" s="49">
        <f>'дод 3'!I202</f>
        <v>0</v>
      </c>
      <c r="I184" s="49">
        <f>'дод 3'!J202</f>
        <v>461003</v>
      </c>
      <c r="J184" s="49">
        <f>'дод 3'!K202</f>
        <v>461003</v>
      </c>
      <c r="K184" s="49">
        <f>'дод 3'!L202</f>
        <v>0</v>
      </c>
      <c r="L184" s="49">
        <f>'дод 3'!M202</f>
        <v>0</v>
      </c>
      <c r="M184" s="49">
        <f>'дод 3'!N202</f>
        <v>0</v>
      </c>
      <c r="N184" s="49">
        <f>'дод 3'!O202</f>
        <v>461003</v>
      </c>
      <c r="O184" s="49">
        <f>'дод 3'!P202</f>
        <v>461003</v>
      </c>
    </row>
    <row r="185" spans="1:15" s="54" customFormat="1" ht="19.5" customHeight="1" x14ac:dyDescent="0.25">
      <c r="A185" s="40">
        <v>7324</v>
      </c>
      <c r="B185" s="72" t="s">
        <v>111</v>
      </c>
      <c r="C185" s="6" t="s">
        <v>550</v>
      </c>
      <c r="D185" s="49">
        <f>'дод 3'!E220+'дод 3'!E280</f>
        <v>0</v>
      </c>
      <c r="E185" s="49">
        <f>'дод 3'!F220+'дод 3'!F280</f>
        <v>0</v>
      </c>
      <c r="F185" s="49">
        <f>'дод 3'!G220+'дод 3'!G280</f>
        <v>0</v>
      </c>
      <c r="G185" s="49">
        <f>'дод 3'!H220+'дод 3'!H280</f>
        <v>0</v>
      </c>
      <c r="H185" s="49">
        <f>'дод 3'!I220+'дод 3'!I280</f>
        <v>0</v>
      </c>
      <c r="I185" s="49">
        <f>'дод 3'!J220+'дод 3'!J280</f>
        <v>735000</v>
      </c>
      <c r="J185" s="49">
        <f>'дод 3'!K220+'дод 3'!K280</f>
        <v>735000</v>
      </c>
      <c r="K185" s="49">
        <f>'дод 3'!L220+'дод 3'!L280</f>
        <v>0</v>
      </c>
      <c r="L185" s="49">
        <f>'дод 3'!M220+'дод 3'!M280</f>
        <v>0</v>
      </c>
      <c r="M185" s="49">
        <f>'дод 3'!N220+'дод 3'!N280</f>
        <v>0</v>
      </c>
      <c r="N185" s="49">
        <f>'дод 3'!O220+'дод 3'!O280</f>
        <v>735000</v>
      </c>
      <c r="O185" s="49">
        <f>'дод 3'!P220+'дод 3'!P280</f>
        <v>735000</v>
      </c>
    </row>
    <row r="186" spans="1:15" s="54" customFormat="1" ht="34.5" x14ac:dyDescent="0.25">
      <c r="A186" s="40">
        <v>7325</v>
      </c>
      <c r="B186" s="72" t="s">
        <v>111</v>
      </c>
      <c r="C186" s="6" t="s">
        <v>545</v>
      </c>
      <c r="D186" s="49">
        <f>'дод 3'!E281+'дод 3'!E42</f>
        <v>0</v>
      </c>
      <c r="E186" s="49">
        <f>'дод 3'!F281+'дод 3'!F42</f>
        <v>0</v>
      </c>
      <c r="F186" s="49">
        <f>'дод 3'!G281+'дод 3'!G42</f>
        <v>0</v>
      </c>
      <c r="G186" s="49">
        <f>'дод 3'!H281+'дод 3'!H42</f>
        <v>0</v>
      </c>
      <c r="H186" s="49">
        <f>'дод 3'!I281+'дод 3'!I42</f>
        <v>0</v>
      </c>
      <c r="I186" s="49">
        <f>'дод 3'!J281+'дод 3'!J42</f>
        <v>10294114</v>
      </c>
      <c r="J186" s="49">
        <f>'дод 3'!K281+'дод 3'!K42</f>
        <v>10294114</v>
      </c>
      <c r="K186" s="49">
        <f>'дод 3'!L281+'дод 3'!L42</f>
        <v>0</v>
      </c>
      <c r="L186" s="49">
        <f>'дод 3'!M281+'дод 3'!M42</f>
        <v>0</v>
      </c>
      <c r="M186" s="49">
        <f>'дод 3'!N281+'дод 3'!N42</f>
        <v>0</v>
      </c>
      <c r="N186" s="49">
        <f>'дод 3'!O281+'дод 3'!O42</f>
        <v>10294114</v>
      </c>
      <c r="O186" s="49">
        <f>'дод 3'!P281+'дод 3'!P42</f>
        <v>10294114</v>
      </c>
    </row>
    <row r="187" spans="1:15" ht="21.75" customHeight="1" x14ac:dyDescent="0.25">
      <c r="A187" s="40" t="s">
        <v>274</v>
      </c>
      <c r="B187" s="40" t="s">
        <v>111</v>
      </c>
      <c r="C187" s="6" t="s">
        <v>546</v>
      </c>
      <c r="D187" s="49">
        <f>'дод 3'!E282+'дод 3'!E244+'дод 3'!E43</f>
        <v>0</v>
      </c>
      <c r="E187" s="49">
        <f>'дод 3'!F282+'дод 3'!F244+'дод 3'!F43</f>
        <v>0</v>
      </c>
      <c r="F187" s="49">
        <f>'дод 3'!G282+'дод 3'!G244+'дод 3'!G43</f>
        <v>0</v>
      </c>
      <c r="G187" s="49">
        <f>'дод 3'!H282+'дод 3'!H244+'дод 3'!H43</f>
        <v>0</v>
      </c>
      <c r="H187" s="49">
        <f>'дод 3'!I282+'дод 3'!I244+'дод 3'!I43</f>
        <v>0</v>
      </c>
      <c r="I187" s="49">
        <f>'дод 3'!J282+'дод 3'!J244+'дод 3'!J43</f>
        <v>31601881.579999998</v>
      </c>
      <c r="J187" s="49">
        <f>'дод 3'!K282+'дод 3'!K244+'дод 3'!K43</f>
        <v>31601881.579999998</v>
      </c>
      <c r="K187" s="49">
        <f>'дод 3'!L282+'дод 3'!L244+'дод 3'!L43</f>
        <v>0</v>
      </c>
      <c r="L187" s="49">
        <f>'дод 3'!M282+'дод 3'!M244+'дод 3'!M43</f>
        <v>0</v>
      </c>
      <c r="M187" s="49">
        <f>'дод 3'!N282+'дод 3'!N244+'дод 3'!N43</f>
        <v>0</v>
      </c>
      <c r="N187" s="49">
        <f>'дод 3'!O282+'дод 3'!O244+'дод 3'!O43</f>
        <v>31601881.579999998</v>
      </c>
      <c r="O187" s="49">
        <f>'дод 3'!P282+'дод 3'!P244+'дод 3'!P43</f>
        <v>31601881.579999998</v>
      </c>
    </row>
    <row r="188" spans="1:15" ht="31.5" customHeight="1" x14ac:dyDescent="0.25">
      <c r="A188" s="37" t="s">
        <v>138</v>
      </c>
      <c r="B188" s="37" t="s">
        <v>111</v>
      </c>
      <c r="C188" s="3" t="s">
        <v>1</v>
      </c>
      <c r="D188" s="49">
        <f>'дод 3'!E245+'дод 3'!E283</f>
        <v>0</v>
      </c>
      <c r="E188" s="49">
        <f>'дод 3'!F245+'дод 3'!F283</f>
        <v>0</v>
      </c>
      <c r="F188" s="49">
        <f>'дод 3'!G245+'дод 3'!G283</f>
        <v>0</v>
      </c>
      <c r="G188" s="49">
        <f>'дод 3'!H245+'дод 3'!H283</f>
        <v>0</v>
      </c>
      <c r="H188" s="49">
        <f>'дод 3'!I245+'дод 3'!I283</f>
        <v>0</v>
      </c>
      <c r="I188" s="49">
        <f>'дод 3'!J245+'дод 3'!J283</f>
        <v>4133608</v>
      </c>
      <c r="J188" s="49">
        <f>'дод 3'!K245+'дод 3'!K283</f>
        <v>4133608</v>
      </c>
      <c r="K188" s="49">
        <f>'дод 3'!L245+'дод 3'!L283</f>
        <v>0</v>
      </c>
      <c r="L188" s="49">
        <f>'дод 3'!M245+'дод 3'!M283</f>
        <v>0</v>
      </c>
      <c r="M188" s="49">
        <f>'дод 3'!N245+'дод 3'!N283</f>
        <v>0</v>
      </c>
      <c r="N188" s="49">
        <f>'дод 3'!O245+'дод 3'!O283</f>
        <v>4133608</v>
      </c>
      <c r="O188" s="49">
        <f>'дод 3'!P245+'дод 3'!P283</f>
        <v>4133608</v>
      </c>
    </row>
    <row r="189" spans="1:15" ht="35.25" customHeight="1" x14ac:dyDescent="0.25">
      <c r="A189" s="58" t="s">
        <v>458</v>
      </c>
      <c r="B189" s="58" t="s">
        <v>111</v>
      </c>
      <c r="C189" s="3" t="s">
        <v>459</v>
      </c>
      <c r="D189" s="49">
        <f>'дод 3'!E296</f>
        <v>0</v>
      </c>
      <c r="E189" s="49">
        <f>'дод 3'!F296</f>
        <v>0</v>
      </c>
      <c r="F189" s="49">
        <f>'дод 3'!G296</f>
        <v>0</v>
      </c>
      <c r="G189" s="49">
        <f>'дод 3'!H296</f>
        <v>0</v>
      </c>
      <c r="H189" s="49">
        <f>'дод 3'!I296</f>
        <v>0</v>
      </c>
      <c r="I189" s="49">
        <f>'дод 3'!J296</f>
        <v>0</v>
      </c>
      <c r="J189" s="49">
        <f>'дод 3'!K296</f>
        <v>0</v>
      </c>
      <c r="K189" s="49">
        <f>'дод 3'!L296</f>
        <v>0</v>
      </c>
      <c r="L189" s="49">
        <f>'дод 3'!M296</f>
        <v>0</v>
      </c>
      <c r="M189" s="49">
        <f>'дод 3'!N296</f>
        <v>0</v>
      </c>
      <c r="N189" s="49">
        <f>'дод 3'!O296</f>
        <v>0</v>
      </c>
      <c r="O189" s="49">
        <f>'дод 3'!P296</f>
        <v>0</v>
      </c>
    </row>
    <row r="190" spans="1:15" ht="51.75" customHeight="1" x14ac:dyDescent="0.25">
      <c r="A190" s="37">
        <v>7361</v>
      </c>
      <c r="B190" s="37" t="s">
        <v>82</v>
      </c>
      <c r="C190" s="3" t="s">
        <v>372</v>
      </c>
      <c r="D190" s="49">
        <f>'дод 3'!E246+'дод 3'!E284+'дод 3'!E156</f>
        <v>0</v>
      </c>
      <c r="E190" s="49">
        <f>'дод 3'!F246+'дод 3'!F284+'дод 3'!F156</f>
        <v>0</v>
      </c>
      <c r="F190" s="49">
        <f>'дод 3'!G246+'дод 3'!G284+'дод 3'!G156</f>
        <v>0</v>
      </c>
      <c r="G190" s="49">
        <f>'дод 3'!H246+'дод 3'!H284+'дод 3'!H156</f>
        <v>0</v>
      </c>
      <c r="H190" s="49">
        <f>'дод 3'!I246+'дод 3'!I284+'дод 3'!I156</f>
        <v>0</v>
      </c>
      <c r="I190" s="49">
        <f>'дод 3'!J246+'дод 3'!J284+'дод 3'!J156</f>
        <v>72862673</v>
      </c>
      <c r="J190" s="49">
        <f>'дод 3'!K246+'дод 3'!K284+'дод 3'!K156</f>
        <v>72862673</v>
      </c>
      <c r="K190" s="49">
        <f>'дод 3'!L246+'дод 3'!L284+'дод 3'!L156</f>
        <v>0</v>
      </c>
      <c r="L190" s="49">
        <f>'дод 3'!M246+'дод 3'!M284+'дод 3'!M156</f>
        <v>0</v>
      </c>
      <c r="M190" s="49">
        <f>'дод 3'!N246+'дод 3'!N284+'дод 3'!N156</f>
        <v>0</v>
      </c>
      <c r="N190" s="49">
        <f>'дод 3'!O246+'дод 3'!O284+'дод 3'!O156</f>
        <v>72862673</v>
      </c>
      <c r="O190" s="49">
        <f>'дод 3'!P246+'дод 3'!P284+'дод 3'!P156</f>
        <v>72862673</v>
      </c>
    </row>
    <row r="191" spans="1:15" s="54" customFormat="1" ht="46.5" hidden="1" customHeight="1" x14ac:dyDescent="0.25">
      <c r="A191" s="37">
        <v>7362</v>
      </c>
      <c r="B191" s="37" t="s">
        <v>82</v>
      </c>
      <c r="C191" s="3" t="s">
        <v>364</v>
      </c>
      <c r="D191" s="49">
        <f>'дод 3'!E247</f>
        <v>0</v>
      </c>
      <c r="E191" s="49">
        <f>'дод 3'!F247</f>
        <v>0</v>
      </c>
      <c r="F191" s="49">
        <f>'дод 3'!G247</f>
        <v>0</v>
      </c>
      <c r="G191" s="49">
        <f>'дод 3'!H247</f>
        <v>0</v>
      </c>
      <c r="H191" s="49">
        <f>'дод 3'!I247</f>
        <v>0</v>
      </c>
      <c r="I191" s="49">
        <f>'дод 3'!J247</f>
        <v>0</v>
      </c>
      <c r="J191" s="49">
        <f>'дод 3'!K247</f>
        <v>0</v>
      </c>
      <c r="K191" s="49">
        <f>'дод 3'!L247</f>
        <v>0</v>
      </c>
      <c r="L191" s="49">
        <f>'дод 3'!M247</f>
        <v>0</v>
      </c>
      <c r="M191" s="49">
        <f>'дод 3'!N247</f>
        <v>0</v>
      </c>
      <c r="N191" s="49">
        <f>'дод 3'!O247</f>
        <v>0</v>
      </c>
      <c r="O191" s="49">
        <f>'дод 3'!P247</f>
        <v>0</v>
      </c>
    </row>
    <row r="192" spans="1:15" s="54" customFormat="1" ht="47.25" x14ac:dyDescent="0.25">
      <c r="A192" s="37">
        <v>7363</v>
      </c>
      <c r="B192" s="59" t="s">
        <v>82</v>
      </c>
      <c r="C192" s="60" t="s">
        <v>398</v>
      </c>
      <c r="D192" s="49">
        <f>'дод 3'!E248+'дод 3'!E118+'дод 3'!E157+'дод 3'!E285</f>
        <v>0</v>
      </c>
      <c r="E192" s="49">
        <f>'дод 3'!F248+'дод 3'!F118+'дод 3'!F157+'дод 3'!F285</f>
        <v>0</v>
      </c>
      <c r="F192" s="49">
        <f>'дод 3'!G248+'дод 3'!G118+'дод 3'!G157+'дод 3'!G285</f>
        <v>0</v>
      </c>
      <c r="G192" s="49">
        <f>'дод 3'!H248+'дод 3'!H118+'дод 3'!H157+'дод 3'!H285</f>
        <v>0</v>
      </c>
      <c r="H192" s="49">
        <f>'дод 3'!I248+'дод 3'!I118+'дод 3'!I157+'дод 3'!I285</f>
        <v>0</v>
      </c>
      <c r="I192" s="49">
        <f>'дод 3'!J248+'дод 3'!J118+'дод 3'!J157+'дод 3'!J285</f>
        <v>42098241</v>
      </c>
      <c r="J192" s="49">
        <f>'дод 3'!K248+'дод 3'!K118+'дод 3'!K157+'дод 3'!K285</f>
        <v>38605291</v>
      </c>
      <c r="K192" s="49">
        <f>'дод 3'!L248+'дод 3'!L118+'дод 3'!L157+'дод 3'!L285</f>
        <v>0</v>
      </c>
      <c r="L192" s="49">
        <f>'дод 3'!M248+'дод 3'!M118+'дод 3'!M157+'дод 3'!M285</f>
        <v>0</v>
      </c>
      <c r="M192" s="49">
        <f>'дод 3'!N248+'дод 3'!N118+'дод 3'!N157+'дод 3'!N285</f>
        <v>0</v>
      </c>
      <c r="N192" s="49">
        <f>'дод 3'!O248+'дод 3'!O118+'дод 3'!O157+'дод 3'!O285</f>
        <v>42098241</v>
      </c>
      <c r="O192" s="49">
        <f>'дод 3'!P248+'дод 3'!P118+'дод 3'!P157+'дод 3'!P285</f>
        <v>42098241</v>
      </c>
    </row>
    <row r="193" spans="1:15" s="54" customFormat="1" ht="47.25" x14ac:dyDescent="0.25">
      <c r="A193" s="77"/>
      <c r="B193" s="83"/>
      <c r="C193" s="78" t="s">
        <v>388</v>
      </c>
      <c r="D193" s="79">
        <f>'дод 3'!E119+'дод 3'!E158+'дод 3'!E249+'дод 3'!E286</f>
        <v>0</v>
      </c>
      <c r="E193" s="79">
        <f>'дод 3'!F119+'дод 3'!F158+'дод 3'!F249+'дод 3'!F286</f>
        <v>0</v>
      </c>
      <c r="F193" s="79">
        <f>'дод 3'!G119+'дод 3'!G158+'дод 3'!G249+'дод 3'!G286</f>
        <v>0</v>
      </c>
      <c r="G193" s="79">
        <f>'дод 3'!H119+'дод 3'!H158+'дод 3'!H249+'дод 3'!H286</f>
        <v>0</v>
      </c>
      <c r="H193" s="79">
        <f>'дод 3'!I119+'дод 3'!I158+'дод 3'!I249+'дод 3'!I286</f>
        <v>0</v>
      </c>
      <c r="I193" s="79">
        <f>'дод 3'!J119+'дод 3'!J158+'дод 3'!J249+'дод 3'!J286</f>
        <v>30921007</v>
      </c>
      <c r="J193" s="79">
        <f>'дод 3'!K119+'дод 3'!K158+'дод 3'!K249+'дод 3'!K286</f>
        <v>27428057</v>
      </c>
      <c r="K193" s="79">
        <f>'дод 3'!L119+'дод 3'!L158+'дод 3'!L249+'дод 3'!L286</f>
        <v>0</v>
      </c>
      <c r="L193" s="79">
        <f>'дод 3'!M119+'дод 3'!M158+'дод 3'!M249+'дод 3'!M286</f>
        <v>0</v>
      </c>
      <c r="M193" s="79">
        <f>'дод 3'!N119+'дод 3'!N158+'дод 3'!N249+'дод 3'!N286</f>
        <v>0</v>
      </c>
      <c r="N193" s="79">
        <f>'дод 3'!O119+'дод 3'!O158+'дод 3'!O249+'дод 3'!O286</f>
        <v>30921007</v>
      </c>
      <c r="O193" s="79">
        <f>'дод 3'!P119+'дод 3'!P158+'дод 3'!P249+'дод 3'!P286</f>
        <v>30921007</v>
      </c>
    </row>
    <row r="194" spans="1:15" ht="31.5" x14ac:dyDescent="0.25">
      <c r="A194" s="37">
        <v>7368</v>
      </c>
      <c r="B194" s="37" t="s">
        <v>82</v>
      </c>
      <c r="C194" s="36" t="s">
        <v>588</v>
      </c>
      <c r="D194" s="49">
        <f>'дод 3'!E250</f>
        <v>0</v>
      </c>
      <c r="E194" s="49">
        <f>'дод 3'!F250</f>
        <v>0</v>
      </c>
      <c r="F194" s="49">
        <f>'дод 3'!G250</f>
        <v>0</v>
      </c>
      <c r="G194" s="49">
        <f>'дод 3'!H250</f>
        <v>0</v>
      </c>
      <c r="H194" s="49">
        <f>'дод 3'!I250</f>
        <v>0</v>
      </c>
      <c r="I194" s="49">
        <f>'дод 3'!J250</f>
        <v>200000</v>
      </c>
      <c r="J194" s="49">
        <f>'дод 3'!K250</f>
        <v>200000</v>
      </c>
      <c r="K194" s="49">
        <f>'дод 3'!L250</f>
        <v>0</v>
      </c>
      <c r="L194" s="49">
        <f>'дод 3'!M250</f>
        <v>0</v>
      </c>
      <c r="M194" s="49">
        <f>'дод 3'!N250</f>
        <v>0</v>
      </c>
      <c r="N194" s="49">
        <f>'дод 3'!O250</f>
        <v>200000</v>
      </c>
      <c r="O194" s="49">
        <f>'дод 3'!P250</f>
        <v>200000</v>
      </c>
    </row>
    <row r="195" spans="1:15" s="54" customFormat="1" x14ac:dyDescent="0.25">
      <c r="A195" s="77"/>
      <c r="B195" s="83"/>
      <c r="C195" s="84" t="s">
        <v>393</v>
      </c>
      <c r="D195" s="79">
        <f>'дод 3'!E251</f>
        <v>0</v>
      </c>
      <c r="E195" s="79">
        <f>'дод 3'!F251</f>
        <v>0</v>
      </c>
      <c r="F195" s="79">
        <f>'дод 3'!G251</f>
        <v>0</v>
      </c>
      <c r="G195" s="79">
        <f>'дод 3'!H251</f>
        <v>0</v>
      </c>
      <c r="H195" s="79">
        <f>'дод 3'!I251</f>
        <v>0</v>
      </c>
      <c r="I195" s="79">
        <f>'дод 3'!J251</f>
        <v>200000</v>
      </c>
      <c r="J195" s="79">
        <f>'дод 3'!K251</f>
        <v>200000</v>
      </c>
      <c r="K195" s="79">
        <f>'дод 3'!L251</f>
        <v>0</v>
      </c>
      <c r="L195" s="79">
        <f>'дод 3'!M251</f>
        <v>0</v>
      </c>
      <c r="M195" s="79">
        <f>'дод 3'!N251</f>
        <v>0</v>
      </c>
      <c r="N195" s="79">
        <f>'дод 3'!O251</f>
        <v>200000</v>
      </c>
      <c r="O195" s="79">
        <f>'дод 3'!P251</f>
        <v>200000</v>
      </c>
    </row>
    <row r="196" spans="1:15" s="54" customFormat="1" ht="31.5" x14ac:dyDescent="0.25">
      <c r="A196" s="37">
        <v>7370</v>
      </c>
      <c r="B196" s="59" t="s">
        <v>82</v>
      </c>
      <c r="C196" s="60" t="s">
        <v>431</v>
      </c>
      <c r="D196" s="49">
        <f>'дод 3'!E287+'дод 3'!E297</f>
        <v>2341300.6</v>
      </c>
      <c r="E196" s="49">
        <f>'дод 3'!F287+'дод 3'!F297</f>
        <v>2341300.6</v>
      </c>
      <c r="F196" s="49">
        <f>'дод 3'!G287+'дод 3'!G297</f>
        <v>0</v>
      </c>
      <c r="G196" s="49">
        <f>'дод 3'!H287+'дод 3'!H297</f>
        <v>0</v>
      </c>
      <c r="H196" s="49">
        <f>'дод 3'!I287+'дод 3'!I297</f>
        <v>0</v>
      </c>
      <c r="I196" s="49">
        <f>'дод 3'!J287+'дод 3'!J297</f>
        <v>0</v>
      </c>
      <c r="J196" s="49">
        <f>'дод 3'!K287+'дод 3'!K297</f>
        <v>0</v>
      </c>
      <c r="K196" s="49">
        <f>'дод 3'!L287+'дод 3'!L297</f>
        <v>0</v>
      </c>
      <c r="L196" s="49">
        <f>'дод 3'!M287+'дод 3'!M297</f>
        <v>0</v>
      </c>
      <c r="M196" s="49">
        <f>'дод 3'!N287+'дод 3'!N297</f>
        <v>0</v>
      </c>
      <c r="N196" s="49">
        <f>'дод 3'!O287+'дод 3'!O297</f>
        <v>0</v>
      </c>
      <c r="O196" s="49">
        <f>'дод 3'!P287+'дод 3'!P297</f>
        <v>2341300.6</v>
      </c>
    </row>
    <row r="197" spans="1:15" s="52" customFormat="1" ht="34.5" customHeight="1" x14ac:dyDescent="0.25">
      <c r="A197" s="38" t="s">
        <v>85</v>
      </c>
      <c r="B197" s="41"/>
      <c r="C197" s="2" t="s">
        <v>593</v>
      </c>
      <c r="D197" s="48">
        <f>D201+D202+D203+D204+D208+D209+D211</f>
        <v>64406042</v>
      </c>
      <c r="E197" s="48">
        <f t="shared" ref="E197:O197" si="42">E201+E202+E203+E204+E208+E209+E211</f>
        <v>1727346</v>
      </c>
      <c r="F197" s="48">
        <f t="shared" si="42"/>
        <v>0</v>
      </c>
      <c r="G197" s="48">
        <f t="shared" si="42"/>
        <v>0</v>
      </c>
      <c r="H197" s="48">
        <f t="shared" si="42"/>
        <v>62678696</v>
      </c>
      <c r="I197" s="48">
        <f t="shared" si="42"/>
        <v>12100000</v>
      </c>
      <c r="J197" s="48">
        <f t="shared" si="42"/>
        <v>0</v>
      </c>
      <c r="K197" s="48">
        <f t="shared" si="42"/>
        <v>12100000</v>
      </c>
      <c r="L197" s="48">
        <f t="shared" si="42"/>
        <v>0</v>
      </c>
      <c r="M197" s="48">
        <f t="shared" si="42"/>
        <v>0</v>
      </c>
      <c r="N197" s="48">
        <f t="shared" si="42"/>
        <v>0</v>
      </c>
      <c r="O197" s="48">
        <f t="shared" si="42"/>
        <v>76506042</v>
      </c>
    </row>
    <row r="198" spans="1:15" s="53" customFormat="1" ht="97.5" customHeight="1" x14ac:dyDescent="0.25">
      <c r="A198" s="70"/>
      <c r="B198" s="71"/>
      <c r="C198" s="74" t="s">
        <v>397</v>
      </c>
      <c r="D198" s="75">
        <f>D206</f>
        <v>0</v>
      </c>
      <c r="E198" s="75">
        <f t="shared" ref="E198:O198" si="43">E206</f>
        <v>0</v>
      </c>
      <c r="F198" s="75">
        <f t="shared" si="43"/>
        <v>0</v>
      </c>
      <c r="G198" s="75">
        <f t="shared" si="43"/>
        <v>0</v>
      </c>
      <c r="H198" s="75">
        <f t="shared" si="43"/>
        <v>0</v>
      </c>
      <c r="I198" s="75">
        <f t="shared" si="43"/>
        <v>12100000</v>
      </c>
      <c r="J198" s="75">
        <f t="shared" si="43"/>
        <v>0</v>
      </c>
      <c r="K198" s="75">
        <f t="shared" si="43"/>
        <v>12100000</v>
      </c>
      <c r="L198" s="75">
        <f t="shared" si="43"/>
        <v>0</v>
      </c>
      <c r="M198" s="75">
        <f t="shared" si="43"/>
        <v>0</v>
      </c>
      <c r="N198" s="75">
        <f t="shared" si="43"/>
        <v>0</v>
      </c>
      <c r="O198" s="75">
        <f t="shared" si="43"/>
        <v>12100000</v>
      </c>
    </row>
    <row r="199" spans="1:15" s="53" customFormat="1" ht="65.25" customHeight="1" x14ac:dyDescent="0.25">
      <c r="A199" s="70"/>
      <c r="B199" s="71"/>
      <c r="C199" s="74" t="s">
        <v>445</v>
      </c>
      <c r="D199" s="75">
        <f>D210</f>
        <v>1527346</v>
      </c>
      <c r="E199" s="75">
        <f t="shared" ref="E199:O199" si="44">E210</f>
        <v>1527346</v>
      </c>
      <c r="F199" s="75">
        <f t="shared" si="44"/>
        <v>0</v>
      </c>
      <c r="G199" s="75">
        <f t="shared" si="44"/>
        <v>0</v>
      </c>
      <c r="H199" s="75">
        <f t="shared" si="44"/>
        <v>0</v>
      </c>
      <c r="I199" s="75">
        <f t="shared" si="44"/>
        <v>0</v>
      </c>
      <c r="J199" s="75">
        <f t="shared" si="44"/>
        <v>0</v>
      </c>
      <c r="K199" s="75">
        <f t="shared" si="44"/>
        <v>0</v>
      </c>
      <c r="L199" s="75">
        <f t="shared" si="44"/>
        <v>0</v>
      </c>
      <c r="M199" s="75">
        <f t="shared" si="44"/>
        <v>0</v>
      </c>
      <c r="N199" s="75">
        <f t="shared" si="44"/>
        <v>0</v>
      </c>
      <c r="O199" s="75">
        <f t="shared" si="44"/>
        <v>1527346</v>
      </c>
    </row>
    <row r="200" spans="1:15" s="53" customFormat="1" x14ac:dyDescent="0.25">
      <c r="A200" s="70"/>
      <c r="B200" s="71"/>
      <c r="C200" s="82" t="s">
        <v>393</v>
      </c>
      <c r="D200" s="75">
        <f>D212</f>
        <v>200000</v>
      </c>
      <c r="E200" s="75">
        <f t="shared" ref="E200:O200" si="45">E212</f>
        <v>200000</v>
      </c>
      <c r="F200" s="75">
        <f t="shared" si="45"/>
        <v>0</v>
      </c>
      <c r="G200" s="75">
        <f t="shared" si="45"/>
        <v>0</v>
      </c>
      <c r="H200" s="75">
        <f t="shared" si="45"/>
        <v>0</v>
      </c>
      <c r="I200" s="75">
        <f t="shared" si="45"/>
        <v>0</v>
      </c>
      <c r="J200" s="75">
        <f t="shared" si="45"/>
        <v>0</v>
      </c>
      <c r="K200" s="75">
        <f t="shared" si="45"/>
        <v>0</v>
      </c>
      <c r="L200" s="75">
        <f t="shared" si="45"/>
        <v>0</v>
      </c>
      <c r="M200" s="75">
        <f t="shared" si="45"/>
        <v>0</v>
      </c>
      <c r="N200" s="75">
        <f t="shared" si="45"/>
        <v>0</v>
      </c>
      <c r="O200" s="75">
        <f t="shared" si="45"/>
        <v>200000</v>
      </c>
    </row>
    <row r="201" spans="1:15" s="54" customFormat="1" ht="18.75" customHeight="1" x14ac:dyDescent="0.25">
      <c r="A201" s="37" t="s">
        <v>3</v>
      </c>
      <c r="B201" s="37" t="s">
        <v>84</v>
      </c>
      <c r="C201" s="3" t="s">
        <v>36</v>
      </c>
      <c r="D201" s="49">
        <f>'дод 3'!E44</f>
        <v>6542500</v>
      </c>
      <c r="E201" s="49">
        <f>'дод 3'!F44</f>
        <v>0</v>
      </c>
      <c r="F201" s="49">
        <f>'дод 3'!G44</f>
        <v>0</v>
      </c>
      <c r="G201" s="49">
        <f>'дод 3'!H44</f>
        <v>0</v>
      </c>
      <c r="H201" s="49">
        <f>'дод 3'!I44</f>
        <v>6542500</v>
      </c>
      <c r="I201" s="49">
        <f>'дод 3'!J44</f>
        <v>0</v>
      </c>
      <c r="J201" s="49">
        <f>'дод 3'!K44</f>
        <v>0</v>
      </c>
      <c r="K201" s="49">
        <f>'дод 3'!L44</f>
        <v>0</v>
      </c>
      <c r="L201" s="49">
        <f>'дод 3'!M44</f>
        <v>0</v>
      </c>
      <c r="M201" s="49">
        <f>'дод 3'!N44</f>
        <v>0</v>
      </c>
      <c r="N201" s="49">
        <f>'дод 3'!O44</f>
        <v>0</v>
      </c>
      <c r="O201" s="49">
        <f>'дод 3'!P44</f>
        <v>6542500</v>
      </c>
    </row>
    <row r="202" spans="1:15" s="54" customFormat="1" ht="20.25" customHeight="1" x14ac:dyDescent="0.25">
      <c r="A202" s="37">
        <v>7413</v>
      </c>
      <c r="B202" s="37" t="s">
        <v>84</v>
      </c>
      <c r="C202" s="3" t="s">
        <v>375</v>
      </c>
      <c r="D202" s="49">
        <f>'дод 3'!E45</f>
        <v>12800000</v>
      </c>
      <c r="E202" s="49">
        <f>'дод 3'!F45</f>
        <v>0</v>
      </c>
      <c r="F202" s="49">
        <f>'дод 3'!G45</f>
        <v>0</v>
      </c>
      <c r="G202" s="49">
        <f>'дод 3'!H45</f>
        <v>0</v>
      </c>
      <c r="H202" s="49">
        <f>'дод 3'!I45</f>
        <v>12800000</v>
      </c>
      <c r="I202" s="49">
        <f>'дод 3'!J45</f>
        <v>0</v>
      </c>
      <c r="J202" s="49">
        <f>'дод 3'!K45</f>
        <v>0</v>
      </c>
      <c r="K202" s="49">
        <f>'дод 3'!L45</f>
        <v>0</v>
      </c>
      <c r="L202" s="49">
        <f>'дод 3'!M45</f>
        <v>0</v>
      </c>
      <c r="M202" s="49">
        <f>'дод 3'!N45</f>
        <v>0</v>
      </c>
      <c r="N202" s="49">
        <f>'дод 3'!O45</f>
        <v>0</v>
      </c>
      <c r="O202" s="49">
        <f>'дод 3'!P45</f>
        <v>12800000</v>
      </c>
    </row>
    <row r="203" spans="1:15" s="54" customFormat="1" ht="31.5" x14ac:dyDescent="0.25">
      <c r="A203" s="42">
        <v>7422</v>
      </c>
      <c r="B203" s="102" t="s">
        <v>413</v>
      </c>
      <c r="C203" s="103" t="s">
        <v>565</v>
      </c>
      <c r="D203" s="49">
        <f>'дод 3'!E46</f>
        <v>5893900</v>
      </c>
      <c r="E203" s="49">
        <f>'дод 3'!F46</f>
        <v>0</v>
      </c>
      <c r="F203" s="49">
        <f>'дод 3'!G46</f>
        <v>0</v>
      </c>
      <c r="G203" s="49">
        <f>'дод 3'!H46</f>
        <v>0</v>
      </c>
      <c r="H203" s="49">
        <f>'дод 3'!I46</f>
        <v>5893900</v>
      </c>
      <c r="I203" s="49">
        <f>'дод 3'!J46</f>
        <v>0</v>
      </c>
      <c r="J203" s="49">
        <f>'дод 3'!K46</f>
        <v>0</v>
      </c>
      <c r="K203" s="49">
        <f>'дод 3'!L46</f>
        <v>0</v>
      </c>
      <c r="L203" s="49">
        <f>'дод 3'!M46</f>
        <v>0</v>
      </c>
      <c r="M203" s="49">
        <f>'дод 3'!N46</f>
        <v>0</v>
      </c>
      <c r="N203" s="49">
        <f>'дод 3'!O46</f>
        <v>0</v>
      </c>
      <c r="O203" s="49">
        <f>'дод 3'!P46</f>
        <v>5893900</v>
      </c>
    </row>
    <row r="204" spans="1:15" s="54" customFormat="1" ht="24" customHeight="1" x14ac:dyDescent="0.25">
      <c r="A204" s="37">
        <v>7426</v>
      </c>
      <c r="B204" s="58" t="s">
        <v>413</v>
      </c>
      <c r="C204" s="3" t="s">
        <v>376</v>
      </c>
      <c r="D204" s="49">
        <f>'дод 3'!E47</f>
        <v>37442296</v>
      </c>
      <c r="E204" s="49">
        <f>'дод 3'!F47</f>
        <v>0</v>
      </c>
      <c r="F204" s="49">
        <f>'дод 3'!G47</f>
        <v>0</v>
      </c>
      <c r="G204" s="49">
        <f>'дод 3'!H47</f>
        <v>0</v>
      </c>
      <c r="H204" s="49">
        <f>'дод 3'!I47</f>
        <v>37442296</v>
      </c>
      <c r="I204" s="49">
        <f>'дод 3'!J47</f>
        <v>0</v>
      </c>
      <c r="J204" s="49">
        <f>'дод 3'!K47</f>
        <v>0</v>
      </c>
      <c r="K204" s="49">
        <f>'дод 3'!L47</f>
        <v>0</v>
      </c>
      <c r="L204" s="49">
        <f>'дод 3'!M47</f>
        <v>0</v>
      </c>
      <c r="M204" s="49">
        <f>'дод 3'!N47</f>
        <v>0</v>
      </c>
      <c r="N204" s="49">
        <f>'дод 3'!O47</f>
        <v>0</v>
      </c>
      <c r="O204" s="49">
        <f>'дод 3'!P47</f>
        <v>37442296</v>
      </c>
    </row>
    <row r="205" spans="1:15" s="54" customFormat="1" ht="53.25" hidden="1" customHeight="1" x14ac:dyDescent="0.25">
      <c r="A205" s="37">
        <v>7462</v>
      </c>
      <c r="B205" s="58" t="s">
        <v>400</v>
      </c>
      <c r="C205" s="3" t="s">
        <v>399</v>
      </c>
      <c r="D205" s="49">
        <f>'дод 3'!E252</f>
        <v>1527346</v>
      </c>
      <c r="E205" s="49">
        <f>'дод 3'!F252</f>
        <v>1527346</v>
      </c>
      <c r="F205" s="49">
        <f>'дод 3'!G252</f>
        <v>0</v>
      </c>
      <c r="G205" s="49">
        <f>'дод 3'!H252</f>
        <v>0</v>
      </c>
      <c r="H205" s="49">
        <f>'дод 3'!I252</f>
        <v>0</v>
      </c>
      <c r="I205" s="49">
        <f>'дод 3'!J252</f>
        <v>12100000</v>
      </c>
      <c r="J205" s="49">
        <f>'дод 3'!K252</f>
        <v>0</v>
      </c>
      <c r="K205" s="49">
        <f>'дод 3'!L252</f>
        <v>12100000</v>
      </c>
      <c r="L205" s="49">
        <f>'дод 3'!M252</f>
        <v>0</v>
      </c>
      <c r="M205" s="49">
        <f>'дод 3'!N252</f>
        <v>0</v>
      </c>
      <c r="N205" s="49">
        <f>'дод 3'!O252</f>
        <v>0</v>
      </c>
      <c r="O205" s="49">
        <f>'дод 3'!P252</f>
        <v>13627346</v>
      </c>
    </row>
    <row r="206" spans="1:15" s="54" customFormat="1" ht="94.5" hidden="1" customHeight="1" x14ac:dyDescent="0.25">
      <c r="A206" s="77"/>
      <c r="B206" s="77"/>
      <c r="C206" s="78" t="s">
        <v>397</v>
      </c>
      <c r="D206" s="79">
        <f>'дод 3'!E253</f>
        <v>0</v>
      </c>
      <c r="E206" s="79">
        <f>'дод 3'!F253</f>
        <v>0</v>
      </c>
      <c r="F206" s="79">
        <f>'дод 3'!G253</f>
        <v>0</v>
      </c>
      <c r="G206" s="79">
        <f>'дод 3'!H253</f>
        <v>0</v>
      </c>
      <c r="H206" s="79">
        <f>'дод 3'!I253</f>
        <v>0</v>
      </c>
      <c r="I206" s="79">
        <f>'дод 3'!J253</f>
        <v>12100000</v>
      </c>
      <c r="J206" s="79">
        <f>'дод 3'!K253</f>
        <v>0</v>
      </c>
      <c r="K206" s="79">
        <f>'дод 3'!L253</f>
        <v>12100000</v>
      </c>
      <c r="L206" s="79">
        <f>'дод 3'!M253</f>
        <v>0</v>
      </c>
      <c r="M206" s="79">
        <f>'дод 3'!N253</f>
        <v>0</v>
      </c>
      <c r="N206" s="79">
        <f>'дод 3'!O253</f>
        <v>0</v>
      </c>
      <c r="O206" s="79">
        <f>'дод 3'!P253</f>
        <v>12100000</v>
      </c>
    </row>
    <row r="207" spans="1:15" s="54" customFormat="1" ht="63" hidden="1" customHeight="1" x14ac:dyDescent="0.25">
      <c r="A207" s="77"/>
      <c r="B207" s="77"/>
      <c r="C207" s="78" t="s">
        <v>445</v>
      </c>
      <c r="D207" s="79">
        <f>'дод 3'!E254</f>
        <v>1527346</v>
      </c>
      <c r="E207" s="79">
        <f>'дод 3'!F254</f>
        <v>1527346</v>
      </c>
      <c r="F207" s="79">
        <f>'дод 3'!G254</f>
        <v>0</v>
      </c>
      <c r="G207" s="79">
        <f>'дод 3'!H254</f>
        <v>0</v>
      </c>
      <c r="H207" s="79">
        <f>'дод 3'!I254</f>
        <v>0</v>
      </c>
      <c r="I207" s="79">
        <f>'дод 3'!J254</f>
        <v>0</v>
      </c>
      <c r="J207" s="79">
        <f>'дод 3'!K254</f>
        <v>0</v>
      </c>
      <c r="K207" s="79">
        <f>'дод 3'!L254</f>
        <v>0</v>
      </c>
      <c r="L207" s="79">
        <f>'дод 3'!M254</f>
        <v>0</v>
      </c>
      <c r="M207" s="79">
        <f>'дод 3'!N254</f>
        <v>0</v>
      </c>
      <c r="N207" s="79">
        <f>'дод 3'!O254</f>
        <v>0</v>
      </c>
      <c r="O207" s="79">
        <f>'дод 3'!P254</f>
        <v>1527346</v>
      </c>
    </row>
    <row r="208" spans="1:15" s="54" customFormat="1" ht="18" customHeight="1" x14ac:dyDescent="0.25">
      <c r="A208" s="58" t="s">
        <v>454</v>
      </c>
      <c r="B208" s="58" t="s">
        <v>400</v>
      </c>
      <c r="C208" s="3" t="s">
        <v>460</v>
      </c>
      <c r="D208" s="49">
        <f>'дод 3'!E48</f>
        <v>0</v>
      </c>
      <c r="E208" s="49">
        <f>'дод 3'!F48</f>
        <v>0</v>
      </c>
      <c r="F208" s="49">
        <f>'дод 3'!G48</f>
        <v>0</v>
      </c>
      <c r="G208" s="49">
        <f>'дод 3'!H48</f>
        <v>0</v>
      </c>
      <c r="H208" s="49">
        <f>'дод 3'!I48</f>
        <v>0</v>
      </c>
      <c r="I208" s="49">
        <f>'дод 3'!J48</f>
        <v>0</v>
      </c>
      <c r="J208" s="49">
        <f>'дод 3'!K48</f>
        <v>0</v>
      </c>
      <c r="K208" s="49">
        <f>'дод 3'!L48</f>
        <v>0</v>
      </c>
      <c r="L208" s="49">
        <f>'дод 3'!M48</f>
        <v>0</v>
      </c>
      <c r="M208" s="49">
        <f>'дод 3'!N48</f>
        <v>0</v>
      </c>
      <c r="N208" s="49">
        <f>'дод 3'!O48</f>
        <v>0</v>
      </c>
      <c r="O208" s="49">
        <f>'дод 3'!P48</f>
        <v>0</v>
      </c>
    </row>
    <row r="209" spans="1:15" s="54" customFormat="1" ht="54.75" customHeight="1" x14ac:dyDescent="0.25">
      <c r="A209" s="58" t="s">
        <v>541</v>
      </c>
      <c r="B209" s="58" t="s">
        <v>400</v>
      </c>
      <c r="C209" s="116" t="s">
        <v>399</v>
      </c>
      <c r="D209" s="49">
        <f>'дод 3'!E252</f>
        <v>1527346</v>
      </c>
      <c r="E209" s="49">
        <f>'дод 3'!F252</f>
        <v>1527346</v>
      </c>
      <c r="F209" s="49">
        <f>'дод 3'!G252</f>
        <v>0</v>
      </c>
      <c r="G209" s="49">
        <f>'дод 3'!H252</f>
        <v>0</v>
      </c>
      <c r="H209" s="49">
        <f>'дод 3'!I252</f>
        <v>0</v>
      </c>
      <c r="I209" s="49">
        <f>'дод 3'!J252</f>
        <v>12100000</v>
      </c>
      <c r="J209" s="49">
        <f>'дод 3'!K252</f>
        <v>0</v>
      </c>
      <c r="K209" s="49">
        <f>'дод 3'!L252</f>
        <v>12100000</v>
      </c>
      <c r="L209" s="49">
        <f>'дод 3'!M252</f>
        <v>0</v>
      </c>
      <c r="M209" s="49">
        <f>'дод 3'!N252</f>
        <v>0</v>
      </c>
      <c r="N209" s="49">
        <f>'дод 3'!O252</f>
        <v>0</v>
      </c>
      <c r="O209" s="49">
        <f>'дод 3'!P252</f>
        <v>13627346</v>
      </c>
    </row>
    <row r="210" spans="1:15" s="54" customFormat="1" ht="63" x14ac:dyDescent="0.25">
      <c r="A210" s="88"/>
      <c r="B210" s="88"/>
      <c r="C210" s="86" t="s">
        <v>539</v>
      </c>
      <c r="D210" s="79">
        <f>'дод 3'!E254</f>
        <v>1527346</v>
      </c>
      <c r="E210" s="79">
        <f>'дод 3'!F254</f>
        <v>1527346</v>
      </c>
      <c r="F210" s="79">
        <f>'дод 3'!G254</f>
        <v>0</v>
      </c>
      <c r="G210" s="79">
        <f>'дод 3'!H254</f>
        <v>0</v>
      </c>
      <c r="H210" s="79">
        <f>'дод 3'!I254</f>
        <v>0</v>
      </c>
      <c r="I210" s="79">
        <f>'дод 3'!J254</f>
        <v>0</v>
      </c>
      <c r="J210" s="79">
        <f>'дод 3'!K254</f>
        <v>0</v>
      </c>
      <c r="K210" s="79">
        <f>'дод 3'!L254</f>
        <v>0</v>
      </c>
      <c r="L210" s="79">
        <f>'дод 3'!M254</f>
        <v>0</v>
      </c>
      <c r="M210" s="79">
        <f>'дод 3'!N254</f>
        <v>0</v>
      </c>
      <c r="N210" s="79">
        <f>'дод 3'!O254</f>
        <v>0</v>
      </c>
      <c r="O210" s="79">
        <f>'дод 3'!P254</f>
        <v>1527346</v>
      </c>
    </row>
    <row r="211" spans="1:15" ht="49.5" customHeight="1" x14ac:dyDescent="0.25">
      <c r="A211" s="58" t="s">
        <v>596</v>
      </c>
      <c r="B211" s="59" t="s">
        <v>400</v>
      </c>
      <c r="C211" s="116" t="s">
        <v>586</v>
      </c>
      <c r="D211" s="49">
        <f>'дод 3'!E255</f>
        <v>200000</v>
      </c>
      <c r="E211" s="49">
        <f>'дод 3'!F255</f>
        <v>200000</v>
      </c>
      <c r="F211" s="49">
        <f>'дод 3'!G255</f>
        <v>0</v>
      </c>
      <c r="G211" s="49">
        <f>'дод 3'!H255</f>
        <v>0</v>
      </c>
      <c r="H211" s="49">
        <f>'дод 3'!I255</f>
        <v>0</v>
      </c>
      <c r="I211" s="49">
        <f>'дод 3'!J255</f>
        <v>0</v>
      </c>
      <c r="J211" s="49">
        <f>'дод 3'!K255</f>
        <v>0</v>
      </c>
      <c r="K211" s="49">
        <f>'дод 3'!L255</f>
        <v>0</v>
      </c>
      <c r="L211" s="49">
        <f>'дод 3'!M255</f>
        <v>0</v>
      </c>
      <c r="M211" s="49">
        <f>'дод 3'!N255</f>
        <v>0</v>
      </c>
      <c r="N211" s="49">
        <f>'дод 3'!O255</f>
        <v>0</v>
      </c>
      <c r="O211" s="49">
        <f>'дод 3'!P255</f>
        <v>200000</v>
      </c>
    </row>
    <row r="212" spans="1:15" s="54" customFormat="1" x14ac:dyDescent="0.25">
      <c r="A212" s="88"/>
      <c r="B212" s="88"/>
      <c r="C212" s="84" t="s">
        <v>393</v>
      </c>
      <c r="D212" s="79">
        <f>'дод 3'!E256</f>
        <v>200000</v>
      </c>
      <c r="E212" s="79">
        <f>'дод 3'!F256</f>
        <v>200000</v>
      </c>
      <c r="F212" s="79">
        <f>'дод 3'!G256</f>
        <v>0</v>
      </c>
      <c r="G212" s="79">
        <f>'дод 3'!H256</f>
        <v>0</v>
      </c>
      <c r="H212" s="79">
        <f>'дод 3'!I256</f>
        <v>0</v>
      </c>
      <c r="I212" s="79">
        <f>'дод 3'!J256</f>
        <v>0</v>
      </c>
      <c r="J212" s="79">
        <f>'дод 3'!K256</f>
        <v>0</v>
      </c>
      <c r="K212" s="79">
        <f>'дод 3'!L256</f>
        <v>0</v>
      </c>
      <c r="L212" s="79">
        <f>'дод 3'!M256</f>
        <v>0</v>
      </c>
      <c r="M212" s="79">
        <f>'дод 3'!N256</f>
        <v>0</v>
      </c>
      <c r="N212" s="79">
        <f>'дод 3'!O256</f>
        <v>0</v>
      </c>
      <c r="O212" s="79">
        <f>'дод 3'!P256</f>
        <v>200000</v>
      </c>
    </row>
    <row r="213" spans="1:15" s="52" customFormat="1" ht="18.75" customHeight="1" x14ac:dyDescent="0.25">
      <c r="A213" s="39" t="s">
        <v>237</v>
      </c>
      <c r="B213" s="41"/>
      <c r="C213" s="2" t="s">
        <v>238</v>
      </c>
      <c r="D213" s="48">
        <f>D214</f>
        <v>5882000</v>
      </c>
      <c r="E213" s="48">
        <f t="shared" ref="E213:O213" si="46">E214</f>
        <v>5882000</v>
      </c>
      <c r="F213" s="48">
        <f t="shared" si="46"/>
        <v>0</v>
      </c>
      <c r="G213" s="48">
        <f t="shared" si="46"/>
        <v>0</v>
      </c>
      <c r="H213" s="48">
        <f t="shared" si="46"/>
        <v>0</v>
      </c>
      <c r="I213" s="48">
        <f t="shared" si="46"/>
        <v>4020000</v>
      </c>
      <c r="J213" s="48">
        <f t="shared" si="46"/>
        <v>4020000</v>
      </c>
      <c r="K213" s="48">
        <f t="shared" si="46"/>
        <v>0</v>
      </c>
      <c r="L213" s="48">
        <f t="shared" si="46"/>
        <v>0</v>
      </c>
      <c r="M213" s="48">
        <f t="shared" si="46"/>
        <v>0</v>
      </c>
      <c r="N213" s="48">
        <f t="shared" si="46"/>
        <v>4020000</v>
      </c>
      <c r="O213" s="48">
        <f t="shared" si="46"/>
        <v>9902000</v>
      </c>
    </row>
    <row r="214" spans="1:15" ht="37.5" customHeight="1" x14ac:dyDescent="0.25">
      <c r="A214" s="40" t="s">
        <v>235</v>
      </c>
      <c r="B214" s="40" t="s">
        <v>236</v>
      </c>
      <c r="C214" s="11" t="s">
        <v>234</v>
      </c>
      <c r="D214" s="49">
        <f>'дод 3'!E49+'дод 3'!E257</f>
        <v>5882000</v>
      </c>
      <c r="E214" s="49">
        <f>'дод 3'!F49+'дод 3'!F257</f>
        <v>5882000</v>
      </c>
      <c r="F214" s="49">
        <f>'дод 3'!G49+'дод 3'!G257</f>
        <v>0</v>
      </c>
      <c r="G214" s="49">
        <f>'дод 3'!H49+'дод 3'!H257</f>
        <v>0</v>
      </c>
      <c r="H214" s="49">
        <f>'дод 3'!I49+'дод 3'!I257</f>
        <v>0</v>
      </c>
      <c r="I214" s="49">
        <f>'дод 3'!J49+'дод 3'!J257</f>
        <v>4020000</v>
      </c>
      <c r="J214" s="49">
        <f>'дод 3'!K49+'дод 3'!K257</f>
        <v>4020000</v>
      </c>
      <c r="K214" s="49">
        <f>'дод 3'!L49+'дод 3'!L257</f>
        <v>0</v>
      </c>
      <c r="L214" s="49">
        <f>'дод 3'!M49+'дод 3'!M257</f>
        <v>0</v>
      </c>
      <c r="M214" s="49">
        <f>'дод 3'!N49+'дод 3'!N257</f>
        <v>0</v>
      </c>
      <c r="N214" s="49">
        <f>'дод 3'!O49+'дод 3'!O257</f>
        <v>4020000</v>
      </c>
      <c r="O214" s="49">
        <f>'дод 3'!P49+'дод 3'!P257</f>
        <v>9902000</v>
      </c>
    </row>
    <row r="215" spans="1:15" s="52" customFormat="1" ht="31.5" customHeight="1" x14ac:dyDescent="0.25">
      <c r="A215" s="38" t="s">
        <v>88</v>
      </c>
      <c r="B215" s="41"/>
      <c r="C215" s="2" t="s">
        <v>421</v>
      </c>
      <c r="D215" s="48">
        <f>D217+D218+D220+D221+D222+D224+D225+D226</f>
        <v>5942999.5499999998</v>
      </c>
      <c r="E215" s="48">
        <f t="shared" ref="E215:O215" si="47">E217+E218+E220+E221+E222+E224+E225+E226</f>
        <v>4660389.55</v>
      </c>
      <c r="F215" s="48">
        <f t="shared" si="47"/>
        <v>0</v>
      </c>
      <c r="G215" s="48">
        <f t="shared" si="47"/>
        <v>0</v>
      </c>
      <c r="H215" s="48">
        <f t="shared" si="47"/>
        <v>1282610</v>
      </c>
      <c r="I215" s="48">
        <f t="shared" si="47"/>
        <v>192605605.44</v>
      </c>
      <c r="J215" s="48">
        <f t="shared" si="47"/>
        <v>176275633.56999999</v>
      </c>
      <c r="K215" s="48">
        <f t="shared" si="47"/>
        <v>2948437.8699999996</v>
      </c>
      <c r="L215" s="48">
        <f t="shared" si="47"/>
        <v>0</v>
      </c>
      <c r="M215" s="48">
        <f t="shared" si="47"/>
        <v>0</v>
      </c>
      <c r="N215" s="48">
        <f t="shared" si="47"/>
        <v>189657167.56999999</v>
      </c>
      <c r="O215" s="48">
        <f t="shared" si="47"/>
        <v>198548604.98999998</v>
      </c>
    </row>
    <row r="216" spans="1:15" s="53" customFormat="1" ht="16.5" customHeight="1" x14ac:dyDescent="0.25">
      <c r="A216" s="70"/>
      <c r="B216" s="70"/>
      <c r="C216" s="82" t="s">
        <v>419</v>
      </c>
      <c r="D216" s="75">
        <f>D219+D223</f>
        <v>0</v>
      </c>
      <c r="E216" s="75">
        <f t="shared" ref="E216:O216" si="48">E219+E223</f>
        <v>0</v>
      </c>
      <c r="F216" s="75">
        <f t="shared" si="48"/>
        <v>0</v>
      </c>
      <c r="G216" s="75">
        <f t="shared" si="48"/>
        <v>0</v>
      </c>
      <c r="H216" s="75">
        <f t="shared" si="48"/>
        <v>0</v>
      </c>
      <c r="I216" s="75">
        <f t="shared" si="48"/>
        <v>127771665.12</v>
      </c>
      <c r="J216" s="75">
        <f t="shared" si="48"/>
        <v>127771665.12</v>
      </c>
      <c r="K216" s="75">
        <f t="shared" si="48"/>
        <v>0</v>
      </c>
      <c r="L216" s="75">
        <f t="shared" si="48"/>
        <v>0</v>
      </c>
      <c r="M216" s="75">
        <f t="shared" si="48"/>
        <v>0</v>
      </c>
      <c r="N216" s="75">
        <f t="shared" si="48"/>
        <v>127771665.12</v>
      </c>
      <c r="O216" s="75">
        <f t="shared" si="48"/>
        <v>127771665.12</v>
      </c>
    </row>
    <row r="217" spans="1:15" ht="32.25" customHeight="1" x14ac:dyDescent="0.25">
      <c r="A217" s="37" t="s">
        <v>4</v>
      </c>
      <c r="B217" s="37" t="s">
        <v>87</v>
      </c>
      <c r="C217" s="3" t="s">
        <v>23</v>
      </c>
      <c r="D217" s="49">
        <f>'дод 3'!E50+'дод 3'!E306</f>
        <v>372000</v>
      </c>
      <c r="E217" s="49">
        <f>'дод 3'!F50+'дод 3'!F306</f>
        <v>372000</v>
      </c>
      <c r="F217" s="49">
        <f>'дод 3'!G50+'дод 3'!G306</f>
        <v>0</v>
      </c>
      <c r="G217" s="49">
        <f>'дод 3'!H50+'дод 3'!H306</f>
        <v>0</v>
      </c>
      <c r="H217" s="49">
        <f>'дод 3'!I50+'дод 3'!I306</f>
        <v>0</v>
      </c>
      <c r="I217" s="49">
        <f>'дод 3'!J50+'дод 3'!J306</f>
        <v>0</v>
      </c>
      <c r="J217" s="49">
        <f>'дод 3'!K50+'дод 3'!K306</f>
        <v>0</v>
      </c>
      <c r="K217" s="49">
        <f>'дод 3'!L50+'дод 3'!L306</f>
        <v>0</v>
      </c>
      <c r="L217" s="49">
        <f>'дод 3'!M50+'дод 3'!M306</f>
        <v>0</v>
      </c>
      <c r="M217" s="49">
        <f>'дод 3'!N50+'дод 3'!N306</f>
        <v>0</v>
      </c>
      <c r="N217" s="49">
        <f>'дод 3'!O50+'дод 3'!O306</f>
        <v>0</v>
      </c>
      <c r="O217" s="49">
        <f>'дод 3'!P50+'дод 3'!P306</f>
        <v>372000</v>
      </c>
    </row>
    <row r="218" spans="1:15" ht="20.25" customHeight="1" x14ac:dyDescent="0.25">
      <c r="A218" s="37" t="s">
        <v>2</v>
      </c>
      <c r="B218" s="37" t="s">
        <v>86</v>
      </c>
      <c r="C218" s="3" t="s">
        <v>418</v>
      </c>
      <c r="D218" s="49">
        <f>'дод 3'!E120+'дод 3'!E159+'дод 3'!E221+'дод 3'!E258+'дод 3'!E288+'дод 3'!E316</f>
        <v>3515686.55</v>
      </c>
      <c r="E218" s="49">
        <f>'дод 3'!F120+'дод 3'!F159+'дод 3'!F221+'дод 3'!F258+'дод 3'!F288+'дод 3'!F316</f>
        <v>2233076.5499999998</v>
      </c>
      <c r="F218" s="49">
        <f>'дод 3'!G120+'дод 3'!G159+'дод 3'!G221+'дод 3'!G258+'дод 3'!G288+'дод 3'!G316</f>
        <v>0</v>
      </c>
      <c r="G218" s="49">
        <f>'дод 3'!H120+'дод 3'!H159+'дод 3'!H221+'дод 3'!H258+'дод 3'!H288+'дод 3'!H316</f>
        <v>0</v>
      </c>
      <c r="H218" s="49">
        <f>'дод 3'!I120+'дод 3'!I159+'дод 3'!I221+'дод 3'!I258+'дод 3'!I288+'дод 3'!I316</f>
        <v>1282610</v>
      </c>
      <c r="I218" s="49">
        <f>'дод 3'!J120+'дод 3'!J159+'дод 3'!J221+'дод 3'!J258+'дод 3'!J288+'дод 3'!J316</f>
        <v>141941667.56999999</v>
      </c>
      <c r="J218" s="49">
        <f>'дод 3'!K120+'дод 3'!K159+'дод 3'!K221+'дод 3'!K258+'дод 3'!K288+'дод 3'!K316</f>
        <v>130467733.56999999</v>
      </c>
      <c r="K218" s="49">
        <f>'дод 3'!L120+'дод 3'!L159+'дод 3'!L221+'дод 3'!L258+'дод 3'!L288+'дод 3'!L316</f>
        <v>0</v>
      </c>
      <c r="L218" s="49">
        <f>'дод 3'!M120+'дод 3'!M159+'дод 3'!M221+'дод 3'!M258+'дод 3'!M288+'дод 3'!M316</f>
        <v>0</v>
      </c>
      <c r="M218" s="49">
        <f>'дод 3'!N120+'дод 3'!N159+'дод 3'!N221+'дод 3'!N258+'дод 3'!N288+'дод 3'!N316</f>
        <v>0</v>
      </c>
      <c r="N218" s="49">
        <f>'дод 3'!O120+'дод 3'!O159+'дод 3'!O221+'дод 3'!O258+'дод 3'!O288+'дод 3'!O316</f>
        <v>141941667.56999999</v>
      </c>
      <c r="O218" s="49">
        <f>'дод 3'!P120+'дод 3'!P159+'дод 3'!P221+'дод 3'!P258+'дод 3'!P288+'дод 3'!P316</f>
        <v>145457354.11999997</v>
      </c>
    </row>
    <row r="219" spans="1:15" s="54" customFormat="1" ht="17.25" customHeight="1" x14ac:dyDescent="0.25">
      <c r="A219" s="77"/>
      <c r="B219" s="77"/>
      <c r="C219" s="84" t="s">
        <v>419</v>
      </c>
      <c r="D219" s="79">
        <f>'дод 3'!E160+'дод 3'!E289</f>
        <v>0</v>
      </c>
      <c r="E219" s="79">
        <f>'дод 3'!F160+'дод 3'!F289</f>
        <v>0</v>
      </c>
      <c r="F219" s="79">
        <f>'дод 3'!G160+'дод 3'!G289</f>
        <v>0</v>
      </c>
      <c r="G219" s="79">
        <f>'дод 3'!H160+'дод 3'!H289</f>
        <v>0</v>
      </c>
      <c r="H219" s="79">
        <f>'дод 3'!I160+'дод 3'!I289</f>
        <v>0</v>
      </c>
      <c r="I219" s="79">
        <f>'дод 3'!J160+'дод 3'!J289</f>
        <v>101521665.12</v>
      </c>
      <c r="J219" s="79">
        <f>'дод 3'!K160+'дод 3'!K289</f>
        <v>101521665.12</v>
      </c>
      <c r="K219" s="79">
        <f>'дод 3'!L160+'дод 3'!L289</f>
        <v>0</v>
      </c>
      <c r="L219" s="79">
        <f>'дод 3'!M160+'дод 3'!M289</f>
        <v>0</v>
      </c>
      <c r="M219" s="79">
        <f>'дод 3'!N160+'дод 3'!N289</f>
        <v>0</v>
      </c>
      <c r="N219" s="79">
        <f>'дод 3'!O160+'дод 3'!O289</f>
        <v>101521665.12</v>
      </c>
      <c r="O219" s="79">
        <f>'дод 3'!P160+'дод 3'!P289</f>
        <v>101521665.12</v>
      </c>
    </row>
    <row r="220" spans="1:15" ht="33.75" customHeight="1" x14ac:dyDescent="0.25">
      <c r="A220" s="37" t="s">
        <v>267</v>
      </c>
      <c r="B220" s="37" t="s">
        <v>82</v>
      </c>
      <c r="C220" s="3" t="s">
        <v>346</v>
      </c>
      <c r="D220" s="49">
        <f>'дод 3'!E307</f>
        <v>0</v>
      </c>
      <c r="E220" s="49">
        <f>'дод 3'!F307</f>
        <v>0</v>
      </c>
      <c r="F220" s="49">
        <f>'дод 3'!G307</f>
        <v>0</v>
      </c>
      <c r="G220" s="49">
        <f>'дод 3'!H307</f>
        <v>0</v>
      </c>
      <c r="H220" s="49">
        <f>'дод 3'!I307</f>
        <v>0</v>
      </c>
      <c r="I220" s="49">
        <f>'дод 3'!J307</f>
        <v>20000</v>
      </c>
      <c r="J220" s="49">
        <f>'дод 3'!K307</f>
        <v>20000</v>
      </c>
      <c r="K220" s="49">
        <f>'дод 3'!L307</f>
        <v>0</v>
      </c>
      <c r="L220" s="49">
        <f>'дод 3'!M307</f>
        <v>0</v>
      </c>
      <c r="M220" s="49">
        <f>'дод 3'!N307</f>
        <v>0</v>
      </c>
      <c r="N220" s="49">
        <f>'дод 3'!O307</f>
        <v>20000</v>
      </c>
      <c r="O220" s="49">
        <f>'дод 3'!P307</f>
        <v>20000</v>
      </c>
    </row>
    <row r="221" spans="1:15" ht="67.5" customHeight="1" x14ac:dyDescent="0.25">
      <c r="A221" s="37" t="s">
        <v>269</v>
      </c>
      <c r="B221" s="37" t="s">
        <v>82</v>
      </c>
      <c r="C221" s="3" t="s">
        <v>270</v>
      </c>
      <c r="D221" s="49">
        <f>'дод 3'!E308</f>
        <v>0</v>
      </c>
      <c r="E221" s="49">
        <f>'дод 3'!F308</f>
        <v>0</v>
      </c>
      <c r="F221" s="49">
        <f>'дод 3'!G308</f>
        <v>0</v>
      </c>
      <c r="G221" s="49">
        <f>'дод 3'!H308</f>
        <v>0</v>
      </c>
      <c r="H221" s="49">
        <f>'дод 3'!I308</f>
        <v>0</v>
      </c>
      <c r="I221" s="49">
        <f>'дод 3'!J308</f>
        <v>45000</v>
      </c>
      <c r="J221" s="49">
        <f>'дод 3'!K308</f>
        <v>45000</v>
      </c>
      <c r="K221" s="49">
        <f>'дод 3'!L308</f>
        <v>0</v>
      </c>
      <c r="L221" s="49">
        <f>'дод 3'!M308</f>
        <v>0</v>
      </c>
      <c r="M221" s="49">
        <f>'дод 3'!N308</f>
        <v>0</v>
      </c>
      <c r="N221" s="49">
        <f>'дод 3'!O308</f>
        <v>45000</v>
      </c>
      <c r="O221" s="49">
        <f>'дод 3'!P308</f>
        <v>45000</v>
      </c>
    </row>
    <row r="222" spans="1:15" ht="30.75" customHeight="1" x14ac:dyDescent="0.25">
      <c r="A222" s="37" t="s">
        <v>5</v>
      </c>
      <c r="B222" s="37" t="s">
        <v>82</v>
      </c>
      <c r="C222" s="3" t="s">
        <v>466</v>
      </c>
      <c r="D222" s="49">
        <f>'дод 3'!E51+'дод 3'!E259</f>
        <v>0</v>
      </c>
      <c r="E222" s="49">
        <f>'дод 3'!F51+'дод 3'!F259</f>
        <v>0</v>
      </c>
      <c r="F222" s="49">
        <f>'дод 3'!G51+'дод 3'!G259</f>
        <v>0</v>
      </c>
      <c r="G222" s="49">
        <f>'дод 3'!H51+'дод 3'!H259</f>
        <v>0</v>
      </c>
      <c r="H222" s="49">
        <f>'дод 3'!I51+'дод 3'!I259</f>
        <v>0</v>
      </c>
      <c r="I222" s="49">
        <f>'дод 3'!J51+'дод 3'!J259</f>
        <v>45742900</v>
      </c>
      <c r="J222" s="49">
        <f>'дод 3'!K51+'дод 3'!K259</f>
        <v>45742900</v>
      </c>
      <c r="K222" s="49">
        <f>'дод 3'!L51+'дод 3'!L259</f>
        <v>0</v>
      </c>
      <c r="L222" s="49">
        <f>'дод 3'!M51+'дод 3'!M259</f>
        <v>0</v>
      </c>
      <c r="M222" s="49">
        <f>'дод 3'!N51+'дод 3'!N259</f>
        <v>0</v>
      </c>
      <c r="N222" s="49">
        <f>'дод 3'!O51+'дод 3'!O259</f>
        <v>45742900</v>
      </c>
      <c r="O222" s="49">
        <f>'дод 3'!P51+'дод 3'!P259</f>
        <v>45742900</v>
      </c>
    </row>
    <row r="223" spans="1:15" ht="16.5" customHeight="1" x14ac:dyDescent="0.25">
      <c r="A223" s="37"/>
      <c r="B223" s="37"/>
      <c r="C223" s="84" t="s">
        <v>419</v>
      </c>
      <c r="D223" s="49">
        <f>'дод 3'!E260</f>
        <v>0</v>
      </c>
      <c r="E223" s="49">
        <f>'дод 3'!F260</f>
        <v>0</v>
      </c>
      <c r="F223" s="49">
        <f>'дод 3'!G260</f>
        <v>0</v>
      </c>
      <c r="G223" s="49">
        <f>'дод 3'!H260</f>
        <v>0</v>
      </c>
      <c r="H223" s="49">
        <f>'дод 3'!I260</f>
        <v>0</v>
      </c>
      <c r="I223" s="49">
        <f>'дод 3'!J260</f>
        <v>26250000</v>
      </c>
      <c r="J223" s="49">
        <f>'дод 3'!K260</f>
        <v>26250000</v>
      </c>
      <c r="K223" s="49">
        <f>'дод 3'!L260</f>
        <v>0</v>
      </c>
      <c r="L223" s="49">
        <f>'дод 3'!M260</f>
        <v>0</v>
      </c>
      <c r="M223" s="49">
        <f>'дод 3'!N260</f>
        <v>0</v>
      </c>
      <c r="N223" s="49">
        <f>'дод 3'!O260</f>
        <v>26250000</v>
      </c>
      <c r="O223" s="49">
        <f>'дод 3'!P260</f>
        <v>26250000</v>
      </c>
    </row>
    <row r="224" spans="1:15" ht="36.75" customHeight="1" x14ac:dyDescent="0.25">
      <c r="A224" s="37" t="s">
        <v>248</v>
      </c>
      <c r="B224" s="37" t="s">
        <v>82</v>
      </c>
      <c r="C224" s="3" t="s">
        <v>249</v>
      </c>
      <c r="D224" s="49">
        <f>'дод 3'!E52</f>
        <v>356337</v>
      </c>
      <c r="E224" s="49">
        <f>'дод 3'!F52</f>
        <v>356337</v>
      </c>
      <c r="F224" s="49">
        <f>'дод 3'!G52</f>
        <v>0</v>
      </c>
      <c r="G224" s="49">
        <f>'дод 3'!H52</f>
        <v>0</v>
      </c>
      <c r="H224" s="49">
        <f>'дод 3'!I52</f>
        <v>0</v>
      </c>
      <c r="I224" s="49">
        <f>'дод 3'!J52</f>
        <v>0</v>
      </c>
      <c r="J224" s="49">
        <f>'дод 3'!K52</f>
        <v>0</v>
      </c>
      <c r="K224" s="49">
        <f>'дод 3'!L52</f>
        <v>0</v>
      </c>
      <c r="L224" s="49">
        <f>'дод 3'!M52</f>
        <v>0</v>
      </c>
      <c r="M224" s="49">
        <f>'дод 3'!N52</f>
        <v>0</v>
      </c>
      <c r="N224" s="49">
        <f>'дод 3'!O52</f>
        <v>0</v>
      </c>
      <c r="O224" s="49">
        <f>'дод 3'!P52</f>
        <v>356337</v>
      </c>
    </row>
    <row r="225" spans="1:15" s="54" customFormat="1" ht="117" customHeight="1" x14ac:dyDescent="0.25">
      <c r="A225" s="37" t="s">
        <v>296</v>
      </c>
      <c r="B225" s="37" t="s">
        <v>82</v>
      </c>
      <c r="C225" s="3" t="s">
        <v>314</v>
      </c>
      <c r="D225" s="49">
        <f>'дод 3'!E53+'дод 3'!E261+'дод 3'!E290+'дод 3'!E298</f>
        <v>0</v>
      </c>
      <c r="E225" s="49">
        <f>'дод 3'!F53+'дод 3'!F261+'дод 3'!F290+'дод 3'!F298</f>
        <v>0</v>
      </c>
      <c r="F225" s="49">
        <f>'дод 3'!G53+'дод 3'!G261+'дод 3'!G290+'дод 3'!G298</f>
        <v>0</v>
      </c>
      <c r="G225" s="49">
        <f>'дод 3'!H53+'дод 3'!H261+'дод 3'!H290+'дод 3'!H298</f>
        <v>0</v>
      </c>
      <c r="H225" s="49">
        <f>'дод 3'!I53+'дод 3'!I261+'дод 3'!I290+'дод 3'!I298</f>
        <v>0</v>
      </c>
      <c r="I225" s="49">
        <f>'дод 3'!J53+'дод 3'!J261+'дод 3'!J290+'дод 3'!J298</f>
        <v>4856037.8699999992</v>
      </c>
      <c r="J225" s="49">
        <f>'дод 3'!K53+'дод 3'!K261+'дод 3'!K290+'дод 3'!K298</f>
        <v>0</v>
      </c>
      <c r="K225" s="49">
        <f>'дод 3'!L53+'дод 3'!L261+'дод 3'!L290+'дод 3'!L298</f>
        <v>2948437.8699999996</v>
      </c>
      <c r="L225" s="49">
        <f>'дод 3'!M53+'дод 3'!M261+'дод 3'!M290+'дод 3'!M298</f>
        <v>0</v>
      </c>
      <c r="M225" s="49">
        <f>'дод 3'!N53+'дод 3'!N261+'дод 3'!N290+'дод 3'!N298</f>
        <v>0</v>
      </c>
      <c r="N225" s="49">
        <f>'дод 3'!O53+'дод 3'!O261+'дод 3'!O290+'дод 3'!O298</f>
        <v>1907600</v>
      </c>
      <c r="O225" s="49">
        <f>'дод 3'!P53+'дод 3'!P261+'дод 3'!P290+'дод 3'!P298</f>
        <v>4856037.8699999992</v>
      </c>
    </row>
    <row r="226" spans="1:15" s="54" customFormat="1" ht="23.25" customHeight="1" x14ac:dyDescent="0.25">
      <c r="A226" s="37" t="s">
        <v>239</v>
      </c>
      <c r="B226" s="37" t="s">
        <v>82</v>
      </c>
      <c r="C226" s="3" t="s">
        <v>17</v>
      </c>
      <c r="D226" s="49">
        <f>'дод 3'!E54+'дод 3'!E309+'дод 3'!E317</f>
        <v>1698976</v>
      </c>
      <c r="E226" s="49">
        <f>'дод 3'!F54+'дод 3'!F309+'дод 3'!F317</f>
        <v>1698976</v>
      </c>
      <c r="F226" s="49">
        <f>'дод 3'!G54+'дод 3'!G309+'дод 3'!G317</f>
        <v>0</v>
      </c>
      <c r="G226" s="49">
        <f>'дод 3'!H54+'дод 3'!H309+'дод 3'!H317</f>
        <v>0</v>
      </c>
      <c r="H226" s="49">
        <f>'дод 3'!I54+'дод 3'!I309+'дод 3'!I317</f>
        <v>0</v>
      </c>
      <c r="I226" s="49">
        <f>'дод 3'!J54+'дод 3'!J309+'дод 3'!J317</f>
        <v>0</v>
      </c>
      <c r="J226" s="49">
        <f>'дод 3'!K54+'дод 3'!K309+'дод 3'!K317</f>
        <v>0</v>
      </c>
      <c r="K226" s="49">
        <f>'дод 3'!L54+'дод 3'!L309+'дод 3'!L317</f>
        <v>0</v>
      </c>
      <c r="L226" s="49">
        <f>'дод 3'!M54+'дод 3'!M309+'дод 3'!M317</f>
        <v>0</v>
      </c>
      <c r="M226" s="49">
        <f>'дод 3'!N54+'дод 3'!N309+'дод 3'!N317</f>
        <v>0</v>
      </c>
      <c r="N226" s="49">
        <f>'дод 3'!O54+'дод 3'!O309+'дод 3'!O317</f>
        <v>0</v>
      </c>
      <c r="O226" s="49">
        <f>'дод 3'!P54+'дод 3'!P309+'дод 3'!P317</f>
        <v>1698976</v>
      </c>
    </row>
    <row r="227" spans="1:15" s="53" customFormat="1" ht="48.75" customHeight="1" x14ac:dyDescent="0.25">
      <c r="A227" s="38">
        <v>7700</v>
      </c>
      <c r="B227" s="38"/>
      <c r="C227" s="90" t="s">
        <v>362</v>
      </c>
      <c r="D227" s="48">
        <f>D228</f>
        <v>0</v>
      </c>
      <c r="E227" s="48">
        <f t="shared" ref="E227:O227" si="49">E228</f>
        <v>0</v>
      </c>
      <c r="F227" s="48">
        <f t="shared" si="49"/>
        <v>0</v>
      </c>
      <c r="G227" s="48">
        <f t="shared" si="49"/>
        <v>0</v>
      </c>
      <c r="H227" s="48">
        <f t="shared" si="49"/>
        <v>0</v>
      </c>
      <c r="I227" s="48">
        <f t="shared" si="49"/>
        <v>630000</v>
      </c>
      <c r="J227" s="48">
        <f t="shared" si="49"/>
        <v>0</v>
      </c>
      <c r="K227" s="48">
        <f t="shared" si="49"/>
        <v>0</v>
      </c>
      <c r="L227" s="48">
        <f t="shared" si="49"/>
        <v>0</v>
      </c>
      <c r="M227" s="48">
        <f t="shared" si="49"/>
        <v>0</v>
      </c>
      <c r="N227" s="48">
        <f t="shared" si="49"/>
        <v>630000</v>
      </c>
      <c r="O227" s="48">
        <f t="shared" si="49"/>
        <v>630000</v>
      </c>
    </row>
    <row r="228" spans="1:15" s="54" customFormat="1" ht="46.5" customHeight="1" x14ac:dyDescent="0.25">
      <c r="A228" s="37">
        <v>7700</v>
      </c>
      <c r="B228" s="58" t="s">
        <v>93</v>
      </c>
      <c r="C228" s="60" t="s">
        <v>362</v>
      </c>
      <c r="D228" s="49">
        <f>'дод 3'!E121</f>
        <v>0</v>
      </c>
      <c r="E228" s="49">
        <f>'дод 3'!F121</f>
        <v>0</v>
      </c>
      <c r="F228" s="49">
        <f>'дод 3'!G121</f>
        <v>0</v>
      </c>
      <c r="G228" s="49">
        <f>'дод 3'!H121</f>
        <v>0</v>
      </c>
      <c r="H228" s="49">
        <f>'дод 3'!I121</f>
        <v>0</v>
      </c>
      <c r="I228" s="49">
        <f>'дод 3'!J121</f>
        <v>630000</v>
      </c>
      <c r="J228" s="49">
        <f>'дод 3'!K121</f>
        <v>0</v>
      </c>
      <c r="K228" s="49">
        <f>'дод 3'!L121</f>
        <v>0</v>
      </c>
      <c r="L228" s="49">
        <f>'дод 3'!M121</f>
        <v>0</v>
      </c>
      <c r="M228" s="49">
        <f>'дод 3'!N121</f>
        <v>0</v>
      </c>
      <c r="N228" s="49">
        <f>'дод 3'!O121</f>
        <v>630000</v>
      </c>
      <c r="O228" s="49">
        <f>'дод 3'!P121</f>
        <v>630000</v>
      </c>
    </row>
    <row r="229" spans="1:15" s="52" customFormat="1" ht="30.75" customHeight="1" x14ac:dyDescent="0.25">
      <c r="A229" s="38" t="s">
        <v>94</v>
      </c>
      <c r="B229" s="39"/>
      <c r="C229" s="2" t="s">
        <v>584</v>
      </c>
      <c r="D229" s="48">
        <f>D231+D236+D238+D241+D243+D244</f>
        <v>22913693.32</v>
      </c>
      <c r="E229" s="48">
        <f t="shared" ref="E229:O229" si="50">E231+E236+E238+E241+E243+E244</f>
        <v>5156871.9800000004</v>
      </c>
      <c r="F229" s="48">
        <f t="shared" si="50"/>
        <v>1906900</v>
      </c>
      <c r="G229" s="48">
        <f t="shared" si="50"/>
        <v>372797</v>
      </c>
      <c r="H229" s="48">
        <f t="shared" si="50"/>
        <v>0</v>
      </c>
      <c r="I229" s="48">
        <f t="shared" si="50"/>
        <v>5730564.6600000001</v>
      </c>
      <c r="J229" s="48">
        <f t="shared" si="50"/>
        <v>1398264.66</v>
      </c>
      <c r="K229" s="48">
        <f t="shared" si="50"/>
        <v>2982400</v>
      </c>
      <c r="L229" s="48">
        <f t="shared" si="50"/>
        <v>0</v>
      </c>
      <c r="M229" s="48">
        <f t="shared" si="50"/>
        <v>1400</v>
      </c>
      <c r="N229" s="48">
        <f t="shared" si="50"/>
        <v>2748164.66</v>
      </c>
      <c r="O229" s="48">
        <f t="shared" si="50"/>
        <v>28644257.98</v>
      </c>
    </row>
    <row r="230" spans="1:15" s="53" customFormat="1" ht="54.75" customHeight="1" x14ac:dyDescent="0.25">
      <c r="A230" s="70"/>
      <c r="B230" s="73"/>
      <c r="C230" s="74" t="s">
        <v>382</v>
      </c>
      <c r="D230" s="75">
        <f>D232</f>
        <v>588815</v>
      </c>
      <c r="E230" s="75">
        <f t="shared" ref="E230:O230" si="51">E232</f>
        <v>588815</v>
      </c>
      <c r="F230" s="75">
        <f t="shared" si="51"/>
        <v>482635</v>
      </c>
      <c r="G230" s="75">
        <f t="shared" si="51"/>
        <v>0</v>
      </c>
      <c r="H230" s="75">
        <f t="shared" si="51"/>
        <v>0</v>
      </c>
      <c r="I230" s="75">
        <f t="shared" si="51"/>
        <v>0</v>
      </c>
      <c r="J230" s="75">
        <f t="shared" si="51"/>
        <v>0</v>
      </c>
      <c r="K230" s="75">
        <f t="shared" si="51"/>
        <v>0</v>
      </c>
      <c r="L230" s="75">
        <f t="shared" si="51"/>
        <v>0</v>
      </c>
      <c r="M230" s="75">
        <f t="shared" si="51"/>
        <v>0</v>
      </c>
      <c r="N230" s="75">
        <f t="shared" si="51"/>
        <v>0</v>
      </c>
      <c r="O230" s="75">
        <f t="shared" si="51"/>
        <v>588815</v>
      </c>
    </row>
    <row r="231" spans="1:15" s="52" customFormat="1" ht="51.75" customHeight="1" x14ac:dyDescent="0.25">
      <c r="A231" s="38" t="s">
        <v>96</v>
      </c>
      <c r="B231" s="39"/>
      <c r="C231" s="2" t="s">
        <v>520</v>
      </c>
      <c r="D231" s="48">
        <f t="shared" ref="D231:O231" si="52">D233+D234</f>
        <v>3454876.98</v>
      </c>
      <c r="E231" s="48">
        <f t="shared" si="52"/>
        <v>3454876.98</v>
      </c>
      <c r="F231" s="48">
        <f t="shared" si="52"/>
        <v>1906900</v>
      </c>
      <c r="G231" s="48">
        <f t="shared" si="52"/>
        <v>80055</v>
      </c>
      <c r="H231" s="48">
        <f t="shared" si="52"/>
        <v>0</v>
      </c>
      <c r="I231" s="48">
        <f t="shared" si="52"/>
        <v>1403964.66</v>
      </c>
      <c r="J231" s="48">
        <f t="shared" si="52"/>
        <v>1398264.66</v>
      </c>
      <c r="K231" s="48">
        <f t="shared" si="52"/>
        <v>5700</v>
      </c>
      <c r="L231" s="48">
        <f t="shared" si="52"/>
        <v>0</v>
      </c>
      <c r="M231" s="48">
        <f t="shared" si="52"/>
        <v>1400</v>
      </c>
      <c r="N231" s="48">
        <f t="shared" si="52"/>
        <v>1398264.66</v>
      </c>
      <c r="O231" s="48">
        <f t="shared" si="52"/>
        <v>4858841.6400000006</v>
      </c>
    </row>
    <row r="232" spans="1:15" s="53" customFormat="1" ht="53.25" customHeight="1" x14ac:dyDescent="0.25">
      <c r="A232" s="70"/>
      <c r="B232" s="73"/>
      <c r="C232" s="76" t="str">
        <f>C235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2" s="75">
        <f>D235</f>
        <v>588815</v>
      </c>
      <c r="E232" s="75">
        <f t="shared" ref="E232:O232" si="53">E235</f>
        <v>588815</v>
      </c>
      <c r="F232" s="75">
        <f t="shared" si="53"/>
        <v>482635</v>
      </c>
      <c r="G232" s="75">
        <f t="shared" si="53"/>
        <v>0</v>
      </c>
      <c r="H232" s="75">
        <f t="shared" si="53"/>
        <v>0</v>
      </c>
      <c r="I232" s="75">
        <f t="shared" si="53"/>
        <v>0</v>
      </c>
      <c r="J232" s="75">
        <f t="shared" si="53"/>
        <v>0</v>
      </c>
      <c r="K232" s="75">
        <f t="shared" si="53"/>
        <v>0</v>
      </c>
      <c r="L232" s="75">
        <f t="shared" si="53"/>
        <v>0</v>
      </c>
      <c r="M232" s="75">
        <f t="shared" si="53"/>
        <v>0</v>
      </c>
      <c r="N232" s="75">
        <f t="shared" si="53"/>
        <v>0</v>
      </c>
      <c r="O232" s="75">
        <f t="shared" si="53"/>
        <v>588815</v>
      </c>
    </row>
    <row r="233" spans="1:15" s="52" customFormat="1" ht="36.75" customHeight="1" x14ac:dyDescent="0.25">
      <c r="A233" s="40" t="s">
        <v>7</v>
      </c>
      <c r="B233" s="40" t="s">
        <v>89</v>
      </c>
      <c r="C233" s="3" t="s">
        <v>297</v>
      </c>
      <c r="D233" s="49">
        <f>'дод 3'!E55+'дод 3'!E262</f>
        <v>1005771.98</v>
      </c>
      <c r="E233" s="49">
        <f>'дод 3'!F55+'дод 3'!F262</f>
        <v>1005771.98</v>
      </c>
      <c r="F233" s="49">
        <f>'дод 3'!G55+'дод 3'!G262</f>
        <v>0</v>
      </c>
      <c r="G233" s="49">
        <f>'дод 3'!H55+'дод 3'!H262</f>
        <v>6350</v>
      </c>
      <c r="H233" s="49">
        <f>'дод 3'!I55+'дод 3'!I262</f>
        <v>0</v>
      </c>
      <c r="I233" s="49">
        <f>'дод 3'!J55+'дод 3'!J262</f>
        <v>1398264.66</v>
      </c>
      <c r="J233" s="49">
        <f>'дод 3'!K55+'дод 3'!K262</f>
        <v>1398264.66</v>
      </c>
      <c r="K233" s="49">
        <f>'дод 3'!L55+'дод 3'!L262</f>
        <v>0</v>
      </c>
      <c r="L233" s="49">
        <f>'дод 3'!M55+'дод 3'!M262</f>
        <v>0</v>
      </c>
      <c r="M233" s="49">
        <f>'дод 3'!N55+'дод 3'!N262</f>
        <v>0</v>
      </c>
      <c r="N233" s="49">
        <f>'дод 3'!O55+'дод 3'!O262</f>
        <v>1398264.66</v>
      </c>
      <c r="O233" s="49">
        <f>'дод 3'!P55+'дод 3'!P262</f>
        <v>2404036.64</v>
      </c>
    </row>
    <row r="234" spans="1:15" ht="27" customHeight="1" x14ac:dyDescent="0.25">
      <c r="A234" s="37" t="s">
        <v>148</v>
      </c>
      <c r="B234" s="42" t="s">
        <v>89</v>
      </c>
      <c r="C234" s="3" t="s">
        <v>518</v>
      </c>
      <c r="D234" s="49">
        <f>'дод 3'!E56</f>
        <v>2449105</v>
      </c>
      <c r="E234" s="49">
        <f>'дод 3'!F56</f>
        <v>2449105</v>
      </c>
      <c r="F234" s="49">
        <f>'дод 3'!G56</f>
        <v>1906900</v>
      </c>
      <c r="G234" s="49">
        <f>'дод 3'!H56</f>
        <v>73705</v>
      </c>
      <c r="H234" s="49">
        <f>'дод 3'!I56</f>
        <v>0</v>
      </c>
      <c r="I234" s="49">
        <f>'дод 3'!J56</f>
        <v>5700</v>
      </c>
      <c r="J234" s="49">
        <f>'дод 3'!K56</f>
        <v>0</v>
      </c>
      <c r="K234" s="49">
        <f>'дод 3'!L56</f>
        <v>5700</v>
      </c>
      <c r="L234" s="49">
        <f>'дод 3'!M56</f>
        <v>0</v>
      </c>
      <c r="M234" s="49">
        <f>'дод 3'!N56</f>
        <v>1400</v>
      </c>
      <c r="N234" s="49">
        <f>'дод 3'!O56</f>
        <v>0</v>
      </c>
      <c r="O234" s="49">
        <f>'дод 3'!P56</f>
        <v>2454805</v>
      </c>
    </row>
    <row r="235" spans="1:15" s="54" customFormat="1" ht="47.25" x14ac:dyDescent="0.25">
      <c r="A235" s="77"/>
      <c r="B235" s="87"/>
      <c r="C235" s="86" t="s">
        <v>382</v>
      </c>
      <c r="D235" s="79">
        <f>'дод 3'!E57</f>
        <v>588815</v>
      </c>
      <c r="E235" s="79">
        <f>'дод 3'!F57</f>
        <v>588815</v>
      </c>
      <c r="F235" s="79">
        <f>'дод 3'!G57</f>
        <v>482635</v>
      </c>
      <c r="G235" s="79">
        <f>'дод 3'!H57</f>
        <v>0</v>
      </c>
      <c r="H235" s="79">
        <f>'дод 3'!I57</f>
        <v>0</v>
      </c>
      <c r="I235" s="79">
        <f>'дод 3'!J57</f>
        <v>0</v>
      </c>
      <c r="J235" s="79">
        <f>'дод 3'!K57</f>
        <v>0</v>
      </c>
      <c r="K235" s="79">
        <f>'дод 3'!L57</f>
        <v>0</v>
      </c>
      <c r="L235" s="79">
        <f>'дод 3'!M57</f>
        <v>0</v>
      </c>
      <c r="M235" s="79">
        <f>'дод 3'!N57</f>
        <v>0</v>
      </c>
      <c r="N235" s="79">
        <f>'дод 3'!O57</f>
        <v>0</v>
      </c>
      <c r="O235" s="79">
        <f>'дод 3'!P57</f>
        <v>588815</v>
      </c>
    </row>
    <row r="236" spans="1:15" s="52" customFormat="1" ht="23.25" customHeight="1" x14ac:dyDescent="0.25">
      <c r="A236" s="38" t="s">
        <v>250</v>
      </c>
      <c r="B236" s="38"/>
      <c r="C236" s="12" t="s">
        <v>251</v>
      </c>
      <c r="D236" s="48">
        <f t="shared" ref="D236:O236" si="54">D237</f>
        <v>462056</v>
      </c>
      <c r="E236" s="48">
        <f t="shared" si="54"/>
        <v>462056</v>
      </c>
      <c r="F236" s="48">
        <f t="shared" si="54"/>
        <v>0</v>
      </c>
      <c r="G236" s="48">
        <f t="shared" si="54"/>
        <v>292742</v>
      </c>
      <c r="H236" s="48">
        <f t="shared" si="54"/>
        <v>0</v>
      </c>
      <c r="I236" s="48">
        <f t="shared" si="54"/>
        <v>0</v>
      </c>
      <c r="J236" s="48">
        <f t="shared" si="54"/>
        <v>0</v>
      </c>
      <c r="K236" s="48">
        <f t="shared" si="54"/>
        <v>0</v>
      </c>
      <c r="L236" s="48">
        <f t="shared" si="54"/>
        <v>0</v>
      </c>
      <c r="M236" s="48">
        <f t="shared" si="54"/>
        <v>0</v>
      </c>
      <c r="N236" s="48">
        <f t="shared" si="54"/>
        <v>0</v>
      </c>
      <c r="O236" s="48">
        <f t="shared" si="54"/>
        <v>462056</v>
      </c>
    </row>
    <row r="237" spans="1:15" ht="22.5" customHeight="1" x14ac:dyDescent="0.25">
      <c r="A237" s="37" t="s">
        <v>244</v>
      </c>
      <c r="B237" s="42" t="s">
        <v>245</v>
      </c>
      <c r="C237" s="3" t="s">
        <v>246</v>
      </c>
      <c r="D237" s="49">
        <f>'дод 3'!E58+'дод 3'!E263</f>
        <v>462056</v>
      </c>
      <c r="E237" s="49">
        <f>'дод 3'!F58+'дод 3'!F263</f>
        <v>462056</v>
      </c>
      <c r="F237" s="49">
        <f>'дод 3'!G58+'дод 3'!G263</f>
        <v>0</v>
      </c>
      <c r="G237" s="49">
        <f>'дод 3'!H58+'дод 3'!H263</f>
        <v>292742</v>
      </c>
      <c r="H237" s="49">
        <f>'дод 3'!I58+'дод 3'!I263</f>
        <v>0</v>
      </c>
      <c r="I237" s="49">
        <f>'дод 3'!J58+'дод 3'!J263</f>
        <v>0</v>
      </c>
      <c r="J237" s="49">
        <f>'дод 3'!K58+'дод 3'!K263</f>
        <v>0</v>
      </c>
      <c r="K237" s="49">
        <f>'дод 3'!L58+'дод 3'!L263</f>
        <v>0</v>
      </c>
      <c r="L237" s="49">
        <f>'дод 3'!M58+'дод 3'!M263</f>
        <v>0</v>
      </c>
      <c r="M237" s="49">
        <f>'дод 3'!N58+'дод 3'!N263</f>
        <v>0</v>
      </c>
      <c r="N237" s="49">
        <f>'дод 3'!O58+'дод 3'!O263</f>
        <v>0</v>
      </c>
      <c r="O237" s="49">
        <f>'дод 3'!P58+'дод 3'!P263</f>
        <v>462056</v>
      </c>
    </row>
    <row r="238" spans="1:15" s="52" customFormat="1" ht="22.5" customHeight="1" x14ac:dyDescent="0.25">
      <c r="A238" s="38" t="s">
        <v>6</v>
      </c>
      <c r="B238" s="39"/>
      <c r="C238" s="2" t="s">
        <v>8</v>
      </c>
      <c r="D238" s="48">
        <f t="shared" ref="D238:O238" si="55">D240+D239</f>
        <v>75000</v>
      </c>
      <c r="E238" s="48">
        <f t="shared" si="55"/>
        <v>75000</v>
      </c>
      <c r="F238" s="48">
        <f t="shared" si="55"/>
        <v>0</v>
      </c>
      <c r="G238" s="48">
        <f t="shared" si="55"/>
        <v>0</v>
      </c>
      <c r="H238" s="48">
        <f t="shared" si="55"/>
        <v>0</v>
      </c>
      <c r="I238" s="48">
        <f t="shared" si="55"/>
        <v>4326600</v>
      </c>
      <c r="J238" s="48">
        <f t="shared" si="55"/>
        <v>0</v>
      </c>
      <c r="K238" s="48">
        <f t="shared" si="55"/>
        <v>2976700</v>
      </c>
      <c r="L238" s="48">
        <f t="shared" si="55"/>
        <v>0</v>
      </c>
      <c r="M238" s="48">
        <f t="shared" si="55"/>
        <v>0</v>
      </c>
      <c r="N238" s="48">
        <f t="shared" si="55"/>
        <v>1349900</v>
      </c>
      <c r="O238" s="48">
        <f t="shared" si="55"/>
        <v>4401600</v>
      </c>
    </row>
    <row r="239" spans="1:15" s="52" customFormat="1" ht="33.75" customHeight="1" x14ac:dyDescent="0.25">
      <c r="A239" s="37">
        <v>8330</v>
      </c>
      <c r="B239" s="58" t="s">
        <v>92</v>
      </c>
      <c r="C239" s="3" t="s">
        <v>348</v>
      </c>
      <c r="D239" s="49">
        <f>'дод 3'!E318</f>
        <v>75000</v>
      </c>
      <c r="E239" s="49">
        <f>'дод 3'!F318</f>
        <v>75000</v>
      </c>
      <c r="F239" s="49">
        <f>'дод 3'!G318</f>
        <v>0</v>
      </c>
      <c r="G239" s="49">
        <f>'дод 3'!H318</f>
        <v>0</v>
      </c>
      <c r="H239" s="49">
        <f>'дод 3'!I318</f>
        <v>0</v>
      </c>
      <c r="I239" s="49">
        <f>'дод 3'!J318</f>
        <v>0</v>
      </c>
      <c r="J239" s="49">
        <f>'дод 3'!K318</f>
        <v>0</v>
      </c>
      <c r="K239" s="49">
        <f>'дод 3'!L318</f>
        <v>0</v>
      </c>
      <c r="L239" s="49">
        <f>'дод 3'!M318</f>
        <v>0</v>
      </c>
      <c r="M239" s="49">
        <f>'дод 3'!N318</f>
        <v>0</v>
      </c>
      <c r="N239" s="49">
        <f>'дод 3'!O318</f>
        <v>0</v>
      </c>
      <c r="O239" s="49">
        <f>'дод 3'!P318</f>
        <v>75000</v>
      </c>
    </row>
    <row r="240" spans="1:15" s="52" customFormat="1" ht="19.5" customHeight="1" x14ac:dyDescent="0.25">
      <c r="A240" s="37" t="s">
        <v>9</v>
      </c>
      <c r="B240" s="37" t="s">
        <v>92</v>
      </c>
      <c r="C240" s="3" t="s">
        <v>10</v>
      </c>
      <c r="D240" s="49">
        <f>'дод 3'!E59+'дод 3'!E122+'дод 3'!E264+'дод 3'!E319</f>
        <v>0</v>
      </c>
      <c r="E240" s="49">
        <f>'дод 3'!F59+'дод 3'!F122+'дод 3'!F264+'дод 3'!F319</f>
        <v>0</v>
      </c>
      <c r="F240" s="49">
        <f>'дод 3'!G59+'дод 3'!G122+'дод 3'!G264+'дод 3'!G319</f>
        <v>0</v>
      </c>
      <c r="G240" s="49">
        <f>'дод 3'!H59+'дод 3'!H122+'дод 3'!H264+'дод 3'!H319</f>
        <v>0</v>
      </c>
      <c r="H240" s="49">
        <f>'дод 3'!I59+'дод 3'!I122+'дод 3'!I264+'дод 3'!I319</f>
        <v>0</v>
      </c>
      <c r="I240" s="49">
        <f>'дод 3'!J59+'дод 3'!J122+'дод 3'!J264+'дод 3'!J319</f>
        <v>4326600</v>
      </c>
      <c r="J240" s="49">
        <f>'дод 3'!K59+'дод 3'!K122+'дод 3'!K264+'дод 3'!K319</f>
        <v>0</v>
      </c>
      <c r="K240" s="49">
        <f>'дод 3'!L59+'дод 3'!L122+'дод 3'!L264+'дод 3'!L319</f>
        <v>2976700</v>
      </c>
      <c r="L240" s="49">
        <f>'дод 3'!M59+'дод 3'!M122+'дод 3'!M264+'дод 3'!M319</f>
        <v>0</v>
      </c>
      <c r="M240" s="49">
        <f>'дод 3'!N59+'дод 3'!N122+'дод 3'!N264+'дод 3'!N319</f>
        <v>0</v>
      </c>
      <c r="N240" s="49">
        <f>'дод 3'!O59+'дод 3'!O122+'дод 3'!O264+'дод 3'!O319</f>
        <v>1349900</v>
      </c>
      <c r="O240" s="49">
        <f>'дод 3'!P59+'дод 3'!P122+'дод 3'!P264+'дод 3'!P319</f>
        <v>4326600</v>
      </c>
    </row>
    <row r="241" spans="1:15" s="52" customFormat="1" ht="20.25" customHeight="1" x14ac:dyDescent="0.25">
      <c r="A241" s="38" t="s">
        <v>133</v>
      </c>
      <c r="B241" s="39"/>
      <c r="C241" s="2" t="s">
        <v>76</v>
      </c>
      <c r="D241" s="48">
        <f t="shared" ref="D241:O241" si="56">D242</f>
        <v>78700</v>
      </c>
      <c r="E241" s="48">
        <f t="shared" si="56"/>
        <v>78700</v>
      </c>
      <c r="F241" s="48">
        <f t="shared" si="56"/>
        <v>0</v>
      </c>
      <c r="G241" s="48">
        <f t="shared" si="56"/>
        <v>0</v>
      </c>
      <c r="H241" s="48">
        <f t="shared" si="56"/>
        <v>0</v>
      </c>
      <c r="I241" s="48">
        <f t="shared" si="56"/>
        <v>0</v>
      </c>
      <c r="J241" s="48">
        <f t="shared" si="56"/>
        <v>0</v>
      </c>
      <c r="K241" s="48">
        <f t="shared" si="56"/>
        <v>0</v>
      </c>
      <c r="L241" s="48">
        <f t="shared" si="56"/>
        <v>0</v>
      </c>
      <c r="M241" s="48">
        <f t="shared" si="56"/>
        <v>0</v>
      </c>
      <c r="N241" s="48">
        <f t="shared" si="56"/>
        <v>0</v>
      </c>
      <c r="O241" s="48">
        <f t="shared" si="56"/>
        <v>78700</v>
      </c>
    </row>
    <row r="242" spans="1:15" s="52" customFormat="1" ht="21" customHeight="1" x14ac:dyDescent="0.25">
      <c r="A242" s="37" t="s">
        <v>255</v>
      </c>
      <c r="B242" s="42" t="s">
        <v>77</v>
      </c>
      <c r="C242" s="3" t="s">
        <v>256</v>
      </c>
      <c r="D242" s="49">
        <f>'дод 3'!E60</f>
        <v>78700</v>
      </c>
      <c r="E242" s="49">
        <f>'дод 3'!F60</f>
        <v>78700</v>
      </c>
      <c r="F242" s="49">
        <f>'дод 3'!G60</f>
        <v>0</v>
      </c>
      <c r="G242" s="49">
        <f>'дод 3'!H60</f>
        <v>0</v>
      </c>
      <c r="H242" s="49">
        <f>'дод 3'!I60</f>
        <v>0</v>
      </c>
      <c r="I242" s="49">
        <f>'дод 3'!J60</f>
        <v>0</v>
      </c>
      <c r="J242" s="49">
        <f>'дод 3'!K60</f>
        <v>0</v>
      </c>
      <c r="K242" s="49">
        <f>'дод 3'!L60</f>
        <v>0</v>
      </c>
      <c r="L242" s="49">
        <f>'дод 3'!M60</f>
        <v>0</v>
      </c>
      <c r="M242" s="49">
        <f>'дод 3'!N60</f>
        <v>0</v>
      </c>
      <c r="N242" s="49">
        <f>'дод 3'!O60</f>
        <v>0</v>
      </c>
      <c r="O242" s="49">
        <f>'дод 3'!P60</f>
        <v>78700</v>
      </c>
    </row>
    <row r="243" spans="1:15" s="52" customFormat="1" ht="21" customHeight="1" x14ac:dyDescent="0.25">
      <c r="A243" s="38" t="s">
        <v>95</v>
      </c>
      <c r="B243" s="38" t="s">
        <v>90</v>
      </c>
      <c r="C243" s="2" t="s">
        <v>11</v>
      </c>
      <c r="D243" s="48">
        <f>'дод 3'!E320</f>
        <v>1086239</v>
      </c>
      <c r="E243" s="48">
        <f>'дод 3'!F320</f>
        <v>1086239</v>
      </c>
      <c r="F243" s="48">
        <f>'дод 3'!G320</f>
        <v>0</v>
      </c>
      <c r="G243" s="48">
        <f>'дод 3'!H320</f>
        <v>0</v>
      </c>
      <c r="H243" s="48">
        <f>'дод 3'!I320</f>
        <v>0</v>
      </c>
      <c r="I243" s="48">
        <f>'дод 3'!J320</f>
        <v>0</v>
      </c>
      <c r="J243" s="48">
        <f>'дод 3'!K320</f>
        <v>0</v>
      </c>
      <c r="K243" s="48">
        <f>'дод 3'!L320</f>
        <v>0</v>
      </c>
      <c r="L243" s="48">
        <f>'дод 3'!M320</f>
        <v>0</v>
      </c>
      <c r="M243" s="48">
        <f>'дод 3'!N320</f>
        <v>0</v>
      </c>
      <c r="N243" s="48">
        <f>'дод 3'!O320</f>
        <v>0</v>
      </c>
      <c r="O243" s="48">
        <f>'дод 3'!P320</f>
        <v>1086239</v>
      </c>
    </row>
    <row r="244" spans="1:15" s="52" customFormat="1" ht="25.5" customHeight="1" x14ac:dyDescent="0.25">
      <c r="A244" s="38">
        <v>8710</v>
      </c>
      <c r="B244" s="38" t="s">
        <v>93</v>
      </c>
      <c r="C244" s="2" t="s">
        <v>517</v>
      </c>
      <c r="D244" s="48">
        <f>'дод 3'!E321</f>
        <v>17756821.34</v>
      </c>
      <c r="E244" s="48">
        <f>'дод 3'!F321</f>
        <v>0</v>
      </c>
      <c r="F244" s="48">
        <f>'дод 3'!G321</f>
        <v>0</v>
      </c>
      <c r="G244" s="48">
        <f>'дод 3'!H321</f>
        <v>0</v>
      </c>
      <c r="H244" s="48">
        <f>'дод 3'!I321</f>
        <v>0</v>
      </c>
      <c r="I244" s="48">
        <f>'дод 3'!J321</f>
        <v>0</v>
      </c>
      <c r="J244" s="48">
        <f>'дод 3'!K321</f>
        <v>0</v>
      </c>
      <c r="K244" s="48">
        <f>'дод 3'!L321</f>
        <v>0</v>
      </c>
      <c r="L244" s="48">
        <f>'дод 3'!M321</f>
        <v>0</v>
      </c>
      <c r="M244" s="48">
        <f>'дод 3'!N321</f>
        <v>0</v>
      </c>
      <c r="N244" s="48">
        <f>'дод 3'!O321</f>
        <v>0</v>
      </c>
      <c r="O244" s="48">
        <f>'дод 3'!P321</f>
        <v>17756821.34</v>
      </c>
    </row>
    <row r="245" spans="1:15" s="52" customFormat="1" ht="24" customHeight="1" x14ac:dyDescent="0.25">
      <c r="A245" s="38" t="s">
        <v>12</v>
      </c>
      <c r="B245" s="38"/>
      <c r="C245" s="2" t="s">
        <v>544</v>
      </c>
      <c r="D245" s="48">
        <f>D247+D249+D253+D257</f>
        <v>190102213</v>
      </c>
      <c r="E245" s="48">
        <f t="shared" ref="E245:O245" si="57">E247+E249+E253+E257</f>
        <v>190102213</v>
      </c>
      <c r="F245" s="48">
        <f t="shared" si="57"/>
        <v>0</v>
      </c>
      <c r="G245" s="48">
        <f t="shared" si="57"/>
        <v>0</v>
      </c>
      <c r="H245" s="48">
        <f t="shared" si="57"/>
        <v>0</v>
      </c>
      <c r="I245" s="48">
        <f t="shared" si="57"/>
        <v>16837739.43</v>
      </c>
      <c r="J245" s="48">
        <f t="shared" si="57"/>
        <v>16837739.43</v>
      </c>
      <c r="K245" s="48">
        <f t="shared" si="57"/>
        <v>0</v>
      </c>
      <c r="L245" s="48">
        <f t="shared" si="57"/>
        <v>0</v>
      </c>
      <c r="M245" s="48">
        <f t="shared" si="57"/>
        <v>0</v>
      </c>
      <c r="N245" s="48">
        <f t="shared" si="57"/>
        <v>16837739.43</v>
      </c>
      <c r="O245" s="48">
        <f t="shared" si="57"/>
        <v>206939952.43000001</v>
      </c>
    </row>
    <row r="246" spans="1:15" s="52" customFormat="1" ht="36.75" customHeight="1" x14ac:dyDescent="0.25">
      <c r="A246" s="38"/>
      <c r="B246" s="38"/>
      <c r="C246" s="76" t="s">
        <v>540</v>
      </c>
      <c r="D246" s="75">
        <f>D250</f>
        <v>693000</v>
      </c>
      <c r="E246" s="75">
        <f t="shared" ref="E246:O246" si="58">E250</f>
        <v>693000</v>
      </c>
      <c r="F246" s="75">
        <f t="shared" si="58"/>
        <v>0</v>
      </c>
      <c r="G246" s="75">
        <f t="shared" si="58"/>
        <v>0</v>
      </c>
      <c r="H246" s="75">
        <f t="shared" si="58"/>
        <v>0</v>
      </c>
      <c r="I246" s="75">
        <f t="shared" si="58"/>
        <v>3307000</v>
      </c>
      <c r="J246" s="75">
        <f t="shared" si="58"/>
        <v>3307000</v>
      </c>
      <c r="K246" s="75">
        <f t="shared" si="58"/>
        <v>0</v>
      </c>
      <c r="L246" s="75">
        <f t="shared" si="58"/>
        <v>0</v>
      </c>
      <c r="M246" s="75">
        <f t="shared" si="58"/>
        <v>0</v>
      </c>
      <c r="N246" s="75">
        <f t="shared" si="58"/>
        <v>3307000</v>
      </c>
      <c r="O246" s="75">
        <f t="shared" si="58"/>
        <v>4000000</v>
      </c>
    </row>
    <row r="247" spans="1:15" s="52" customFormat="1" ht="21.75" customHeight="1" x14ac:dyDescent="0.25">
      <c r="A247" s="38" t="s">
        <v>253</v>
      </c>
      <c r="B247" s="38"/>
      <c r="C247" s="2" t="s">
        <v>298</v>
      </c>
      <c r="D247" s="48">
        <f t="shared" ref="D247:O247" si="59">D248</f>
        <v>100870700</v>
      </c>
      <c r="E247" s="48">
        <f t="shared" si="59"/>
        <v>100870700</v>
      </c>
      <c r="F247" s="48">
        <f t="shared" si="59"/>
        <v>0</v>
      </c>
      <c r="G247" s="48">
        <f t="shared" si="59"/>
        <v>0</v>
      </c>
      <c r="H247" s="48">
        <f t="shared" si="59"/>
        <v>0</v>
      </c>
      <c r="I247" s="48">
        <f t="shared" si="59"/>
        <v>0</v>
      </c>
      <c r="J247" s="48">
        <f t="shared" si="59"/>
        <v>0</v>
      </c>
      <c r="K247" s="48">
        <f t="shared" si="59"/>
        <v>0</v>
      </c>
      <c r="L247" s="48">
        <f t="shared" si="59"/>
        <v>0</v>
      </c>
      <c r="M247" s="48">
        <f t="shared" si="59"/>
        <v>0</v>
      </c>
      <c r="N247" s="48">
        <f t="shared" si="59"/>
        <v>0</v>
      </c>
      <c r="O247" s="48">
        <f t="shared" si="59"/>
        <v>100870700</v>
      </c>
    </row>
    <row r="248" spans="1:15" s="52" customFormat="1" ht="21" customHeight="1" x14ac:dyDescent="0.25">
      <c r="A248" s="37" t="s">
        <v>91</v>
      </c>
      <c r="B248" s="42" t="s">
        <v>45</v>
      </c>
      <c r="C248" s="3" t="s">
        <v>110</v>
      </c>
      <c r="D248" s="49">
        <f>'дод 3'!E322</f>
        <v>100870700</v>
      </c>
      <c r="E248" s="49">
        <f>'дод 3'!F322</f>
        <v>100870700</v>
      </c>
      <c r="F248" s="49">
        <f>'дод 3'!G322</f>
        <v>0</v>
      </c>
      <c r="G248" s="49">
        <f>'дод 3'!H322</f>
        <v>0</v>
      </c>
      <c r="H248" s="49">
        <f>'дод 3'!I322</f>
        <v>0</v>
      </c>
      <c r="I248" s="49">
        <f>'дод 3'!J322</f>
        <v>0</v>
      </c>
      <c r="J248" s="49">
        <f>'дод 3'!K322</f>
        <v>0</v>
      </c>
      <c r="K248" s="49">
        <f>'дод 3'!L322</f>
        <v>0</v>
      </c>
      <c r="L248" s="49">
        <f>'дод 3'!M322</f>
        <v>0</v>
      </c>
      <c r="M248" s="49">
        <f>'дод 3'!N322</f>
        <v>0</v>
      </c>
      <c r="N248" s="49">
        <f>'дод 3'!O322</f>
        <v>0</v>
      </c>
      <c r="O248" s="49">
        <f>'дод 3'!P322</f>
        <v>100870700</v>
      </c>
    </row>
    <row r="249" spans="1:15" s="52" customFormat="1" ht="69" customHeight="1" x14ac:dyDescent="0.25">
      <c r="A249" s="38">
        <v>9300</v>
      </c>
      <c r="B249" s="105"/>
      <c r="C249" s="2" t="s">
        <v>537</v>
      </c>
      <c r="D249" s="48">
        <f>D251</f>
        <v>693000</v>
      </c>
      <c r="E249" s="48">
        <f t="shared" ref="E249:O249" si="60">E251</f>
        <v>693000</v>
      </c>
      <c r="F249" s="48">
        <f t="shared" si="60"/>
        <v>0</v>
      </c>
      <c r="G249" s="48">
        <f t="shared" si="60"/>
        <v>0</v>
      </c>
      <c r="H249" s="48">
        <f t="shared" si="60"/>
        <v>0</v>
      </c>
      <c r="I249" s="48">
        <f t="shared" si="60"/>
        <v>3307000</v>
      </c>
      <c r="J249" s="48">
        <f t="shared" si="60"/>
        <v>3307000</v>
      </c>
      <c r="K249" s="48">
        <f t="shared" si="60"/>
        <v>0</v>
      </c>
      <c r="L249" s="48">
        <f t="shared" si="60"/>
        <v>0</v>
      </c>
      <c r="M249" s="48">
        <f t="shared" si="60"/>
        <v>0</v>
      </c>
      <c r="N249" s="48">
        <f t="shared" si="60"/>
        <v>3307000</v>
      </c>
      <c r="O249" s="48">
        <f t="shared" si="60"/>
        <v>4000000</v>
      </c>
    </row>
    <row r="250" spans="1:15" s="52" customFormat="1" ht="36.75" customHeight="1" x14ac:dyDescent="0.25">
      <c r="A250" s="38"/>
      <c r="B250" s="102"/>
      <c r="C250" s="76" t="s">
        <v>540</v>
      </c>
      <c r="D250" s="75">
        <f>D252</f>
        <v>693000</v>
      </c>
      <c r="E250" s="75">
        <f t="shared" ref="E250:O250" si="61">E252</f>
        <v>693000</v>
      </c>
      <c r="F250" s="75">
        <f t="shared" si="61"/>
        <v>0</v>
      </c>
      <c r="G250" s="75">
        <f t="shared" si="61"/>
        <v>0</v>
      </c>
      <c r="H250" s="75">
        <f t="shared" si="61"/>
        <v>0</v>
      </c>
      <c r="I250" s="75">
        <f t="shared" si="61"/>
        <v>3307000</v>
      </c>
      <c r="J250" s="75">
        <f t="shared" si="61"/>
        <v>3307000</v>
      </c>
      <c r="K250" s="75">
        <f t="shared" si="61"/>
        <v>0</v>
      </c>
      <c r="L250" s="75">
        <f t="shared" si="61"/>
        <v>0</v>
      </c>
      <c r="M250" s="75">
        <f t="shared" si="61"/>
        <v>0</v>
      </c>
      <c r="N250" s="75">
        <f t="shared" si="61"/>
        <v>3307000</v>
      </c>
      <c r="O250" s="75">
        <f t="shared" si="61"/>
        <v>4000000</v>
      </c>
    </row>
    <row r="251" spans="1:15" s="52" customFormat="1" ht="53.25" customHeight="1" x14ac:dyDescent="0.25">
      <c r="A251" s="37">
        <v>9320</v>
      </c>
      <c r="B251" s="102" t="s">
        <v>45</v>
      </c>
      <c r="C251" s="6" t="s">
        <v>538</v>
      </c>
      <c r="D251" s="49">
        <f>'дод 3'!E123</f>
        <v>693000</v>
      </c>
      <c r="E251" s="49">
        <f>'дод 3'!F123</f>
        <v>693000</v>
      </c>
      <c r="F251" s="49">
        <f>'дод 3'!G123</f>
        <v>0</v>
      </c>
      <c r="G251" s="49">
        <f>'дод 3'!H123</f>
        <v>0</v>
      </c>
      <c r="H251" s="49">
        <f>'дод 3'!I123</f>
        <v>0</v>
      </c>
      <c r="I251" s="49">
        <f>'дод 3'!J123</f>
        <v>3307000</v>
      </c>
      <c r="J251" s="49">
        <f>'дод 3'!K123</f>
        <v>3307000</v>
      </c>
      <c r="K251" s="49">
        <f>'дод 3'!L123</f>
        <v>0</v>
      </c>
      <c r="L251" s="49">
        <f>'дод 3'!M123</f>
        <v>0</v>
      </c>
      <c r="M251" s="49">
        <f>'дод 3'!N123</f>
        <v>0</v>
      </c>
      <c r="N251" s="49">
        <f>'дод 3'!O123</f>
        <v>3307000</v>
      </c>
      <c r="O251" s="49">
        <f>'дод 3'!P123</f>
        <v>4000000</v>
      </c>
    </row>
    <row r="252" spans="1:15" s="53" customFormat="1" ht="36.75" customHeight="1" x14ac:dyDescent="0.25">
      <c r="A252" s="77"/>
      <c r="B252" s="104"/>
      <c r="C252" s="86" t="s">
        <v>540</v>
      </c>
      <c r="D252" s="79">
        <f>'дод 3'!E124</f>
        <v>693000</v>
      </c>
      <c r="E252" s="79">
        <f>'дод 3'!F124</f>
        <v>693000</v>
      </c>
      <c r="F252" s="79">
        <f>'дод 3'!G124</f>
        <v>0</v>
      </c>
      <c r="G252" s="79">
        <f>'дод 3'!H124</f>
        <v>0</v>
      </c>
      <c r="H252" s="79">
        <f>'дод 3'!I124</f>
        <v>0</v>
      </c>
      <c r="I252" s="79">
        <f>'дод 3'!J124</f>
        <v>3307000</v>
      </c>
      <c r="J252" s="79">
        <f>'дод 3'!K124</f>
        <v>3307000</v>
      </c>
      <c r="K252" s="79">
        <f>'дод 3'!L124</f>
        <v>0</v>
      </c>
      <c r="L252" s="79">
        <f>'дод 3'!M124</f>
        <v>0</v>
      </c>
      <c r="M252" s="79">
        <f>'дод 3'!N124</f>
        <v>0</v>
      </c>
      <c r="N252" s="79">
        <f>'дод 3'!O124</f>
        <v>3307000</v>
      </c>
      <c r="O252" s="79">
        <f>'дод 3'!P124</f>
        <v>4000000</v>
      </c>
    </row>
    <row r="253" spans="1:15" s="52" customFormat="1" ht="57.75" customHeight="1" x14ac:dyDescent="0.25">
      <c r="A253" s="38" t="s">
        <v>13</v>
      </c>
      <c r="B253" s="105"/>
      <c r="C253" s="2" t="s">
        <v>347</v>
      </c>
      <c r="D253" s="48">
        <f>D254+D255+D256</f>
        <v>86430784</v>
      </c>
      <c r="E253" s="48">
        <f t="shared" ref="E253:O253" si="62">E254+E255+E256</f>
        <v>86430784</v>
      </c>
      <c r="F253" s="48">
        <f t="shared" si="62"/>
        <v>0</v>
      </c>
      <c r="G253" s="48">
        <f t="shared" si="62"/>
        <v>0</v>
      </c>
      <c r="H253" s="48">
        <f t="shared" si="62"/>
        <v>0</v>
      </c>
      <c r="I253" s="48">
        <f t="shared" si="62"/>
        <v>10647739.43</v>
      </c>
      <c r="J253" s="48">
        <f t="shared" si="62"/>
        <v>10647739.43</v>
      </c>
      <c r="K253" s="48">
        <f t="shared" si="62"/>
        <v>0</v>
      </c>
      <c r="L253" s="48">
        <f t="shared" si="62"/>
        <v>0</v>
      </c>
      <c r="M253" s="48">
        <f t="shared" si="62"/>
        <v>0</v>
      </c>
      <c r="N253" s="48">
        <f t="shared" si="62"/>
        <v>10647739.43</v>
      </c>
      <c r="O253" s="48">
        <f t="shared" si="62"/>
        <v>97078523.430000007</v>
      </c>
    </row>
    <row r="254" spans="1:15" s="52" customFormat="1" ht="79.5" customHeight="1" x14ac:dyDescent="0.25">
      <c r="A254" s="92">
        <v>9730</v>
      </c>
      <c r="B254" s="59" t="s">
        <v>45</v>
      </c>
      <c r="C254" s="60" t="s">
        <v>572</v>
      </c>
      <c r="D254" s="49">
        <f>'дод 3'!E265</f>
        <v>0</v>
      </c>
      <c r="E254" s="49">
        <f>'дод 3'!F265</f>
        <v>0</v>
      </c>
      <c r="F254" s="49">
        <f>'дод 3'!G265</f>
        <v>0</v>
      </c>
      <c r="G254" s="49">
        <f>'дод 3'!H265</f>
        <v>0</v>
      </c>
      <c r="H254" s="49">
        <f>'дод 3'!I265</f>
        <v>0</v>
      </c>
      <c r="I254" s="49">
        <f>'дод 3'!J265</f>
        <v>0</v>
      </c>
      <c r="J254" s="49">
        <f>'дод 3'!K265</f>
        <v>0</v>
      </c>
      <c r="K254" s="49">
        <f>'дод 3'!L265</f>
        <v>0</v>
      </c>
      <c r="L254" s="49">
        <f>'дод 3'!M265</f>
        <v>0</v>
      </c>
      <c r="M254" s="49">
        <f>'дод 3'!N265</f>
        <v>0</v>
      </c>
      <c r="N254" s="49">
        <f>'дод 3'!O265</f>
        <v>0</v>
      </c>
      <c r="O254" s="49">
        <f>'дод 3'!P265</f>
        <v>0</v>
      </c>
    </row>
    <row r="255" spans="1:15" ht="33.75" customHeight="1" x14ac:dyDescent="0.25">
      <c r="A255" s="37">
        <v>9750</v>
      </c>
      <c r="B255" s="42" t="s">
        <v>45</v>
      </c>
      <c r="C255" s="60" t="s">
        <v>528</v>
      </c>
      <c r="D255" s="49">
        <f>'дод 3'!E291</f>
        <v>0</v>
      </c>
      <c r="E255" s="49">
        <f>'дод 3'!F291</f>
        <v>0</v>
      </c>
      <c r="F255" s="49">
        <f>'дод 3'!G291</f>
        <v>0</v>
      </c>
      <c r="G255" s="49">
        <f>'дод 3'!H291</f>
        <v>0</v>
      </c>
      <c r="H255" s="49">
        <f>'дод 3'!I291</f>
        <v>0</v>
      </c>
      <c r="I255" s="49">
        <f>'дод 3'!J291</f>
        <v>86000</v>
      </c>
      <c r="J255" s="49">
        <f>'дод 3'!K291</f>
        <v>86000</v>
      </c>
      <c r="K255" s="49">
        <f>'дод 3'!L291</f>
        <v>0</v>
      </c>
      <c r="L255" s="49">
        <f>'дод 3'!M291</f>
        <v>0</v>
      </c>
      <c r="M255" s="49">
        <f>'дод 3'!N291</f>
        <v>0</v>
      </c>
      <c r="N255" s="49">
        <f>'дод 3'!O291</f>
        <v>86000</v>
      </c>
      <c r="O255" s="49">
        <f>'дод 3'!P291</f>
        <v>86000</v>
      </c>
    </row>
    <row r="256" spans="1:15" s="52" customFormat="1" ht="22.5" customHeight="1" x14ac:dyDescent="0.25">
      <c r="A256" s="37" t="s">
        <v>14</v>
      </c>
      <c r="B256" s="42" t="s">
        <v>45</v>
      </c>
      <c r="C256" s="6" t="s">
        <v>356</v>
      </c>
      <c r="D256" s="49">
        <f>'дод 3'!E125+'дод 3'!E162+'дод 3'!E203+'дод 3'!E266+'дод 3'!E61</f>
        <v>86430784</v>
      </c>
      <c r="E256" s="49">
        <f>'дод 3'!F125+'дод 3'!F162+'дод 3'!F203+'дод 3'!F266+'дод 3'!F61</f>
        <v>86430784</v>
      </c>
      <c r="F256" s="49">
        <f>'дод 3'!G125+'дод 3'!G162+'дод 3'!G203+'дод 3'!G266+'дод 3'!G61</f>
        <v>0</v>
      </c>
      <c r="G256" s="49">
        <f>'дод 3'!H125+'дод 3'!H162+'дод 3'!H203+'дод 3'!H266+'дод 3'!H61</f>
        <v>0</v>
      </c>
      <c r="H256" s="49">
        <f>'дод 3'!I125+'дод 3'!I162+'дод 3'!I203+'дод 3'!I266+'дод 3'!I61</f>
        <v>0</v>
      </c>
      <c r="I256" s="49">
        <f>'дод 3'!J125+'дод 3'!J162+'дод 3'!J203+'дод 3'!J266+'дод 3'!J61</f>
        <v>10561739.43</v>
      </c>
      <c r="J256" s="49">
        <f>'дод 3'!K125+'дод 3'!K162+'дод 3'!K203+'дод 3'!K266+'дод 3'!K61</f>
        <v>10561739.43</v>
      </c>
      <c r="K256" s="49">
        <f>'дод 3'!L125+'дод 3'!L162+'дод 3'!L203+'дод 3'!L266+'дод 3'!L61</f>
        <v>0</v>
      </c>
      <c r="L256" s="49">
        <f>'дод 3'!M125+'дод 3'!M162+'дод 3'!M203+'дод 3'!M266+'дод 3'!M61</f>
        <v>0</v>
      </c>
      <c r="M256" s="49">
        <f>'дод 3'!N125+'дод 3'!N162+'дод 3'!N203+'дод 3'!N266+'дод 3'!N61</f>
        <v>0</v>
      </c>
      <c r="N256" s="49">
        <f>'дод 3'!O125+'дод 3'!O162+'дод 3'!O203+'дод 3'!O266+'дод 3'!O61</f>
        <v>10561739.43</v>
      </c>
      <c r="O256" s="49">
        <f>'дод 3'!P125+'дод 3'!P162+'дод 3'!P203+'дод 3'!P266+'дод 3'!P61</f>
        <v>96992523.430000007</v>
      </c>
    </row>
    <row r="257" spans="1:513" s="52" customFormat="1" ht="51" customHeight="1" x14ac:dyDescent="0.25">
      <c r="A257" s="38">
        <v>9800</v>
      </c>
      <c r="B257" s="39" t="s">
        <v>45</v>
      </c>
      <c r="C257" s="9" t="s">
        <v>367</v>
      </c>
      <c r="D257" s="48">
        <f>'дод 3'!E126+'дод 3'!E62</f>
        <v>2107729</v>
      </c>
      <c r="E257" s="48">
        <f>'дод 3'!F126+'дод 3'!F62</f>
        <v>2107729</v>
      </c>
      <c r="F257" s="48">
        <f>'дод 3'!G126+'дод 3'!G62</f>
        <v>0</v>
      </c>
      <c r="G257" s="48">
        <f>'дод 3'!H126+'дод 3'!H62</f>
        <v>0</v>
      </c>
      <c r="H257" s="48">
        <f>'дод 3'!I126+'дод 3'!I62</f>
        <v>0</v>
      </c>
      <c r="I257" s="48">
        <f>'дод 3'!J126+'дод 3'!J62</f>
        <v>2883000</v>
      </c>
      <c r="J257" s="48">
        <f>'дод 3'!K126+'дод 3'!K62</f>
        <v>2883000</v>
      </c>
      <c r="K257" s="48">
        <f>'дод 3'!L126+'дод 3'!L62</f>
        <v>0</v>
      </c>
      <c r="L257" s="48">
        <f>'дод 3'!M126+'дод 3'!M62</f>
        <v>0</v>
      </c>
      <c r="M257" s="48">
        <f>'дод 3'!N126+'дод 3'!N62</f>
        <v>0</v>
      </c>
      <c r="N257" s="48">
        <f>'дод 3'!O126+'дод 3'!O62</f>
        <v>2883000</v>
      </c>
      <c r="O257" s="48">
        <f>'дод 3'!P126+'дод 3'!P62</f>
        <v>4990729</v>
      </c>
    </row>
    <row r="258" spans="1:513" s="52" customFormat="1" ht="18.75" customHeight="1" x14ac:dyDescent="0.25">
      <c r="A258" s="7"/>
      <c r="B258" s="7"/>
      <c r="C258" s="2" t="s">
        <v>408</v>
      </c>
      <c r="D258" s="48">
        <f t="shared" ref="D258:O258" si="63">D17+D24+D79+D100+D141+D146+D155+D167+D229+D245</f>
        <v>2343104951.4900002</v>
      </c>
      <c r="E258" s="48">
        <f t="shared" si="63"/>
        <v>2229828610.8400002</v>
      </c>
      <c r="F258" s="48">
        <f t="shared" si="63"/>
        <v>1078601075</v>
      </c>
      <c r="G258" s="48">
        <f t="shared" si="63"/>
        <v>137315124</v>
      </c>
      <c r="H258" s="48">
        <f t="shared" si="63"/>
        <v>95519519.310000002</v>
      </c>
      <c r="I258" s="48">
        <f t="shared" si="63"/>
        <v>811710587.37999988</v>
      </c>
      <c r="J258" s="48">
        <f t="shared" si="63"/>
        <v>731022742.8599999</v>
      </c>
      <c r="K258" s="48">
        <f t="shared" si="63"/>
        <v>61672501.869999997</v>
      </c>
      <c r="L258" s="48">
        <f t="shared" si="63"/>
        <v>6033355</v>
      </c>
      <c r="M258" s="48">
        <f t="shared" si="63"/>
        <v>266522</v>
      </c>
      <c r="N258" s="48">
        <f t="shared" si="63"/>
        <v>750038085.50999987</v>
      </c>
      <c r="O258" s="48">
        <f t="shared" si="63"/>
        <v>3154815538.8699999</v>
      </c>
    </row>
    <row r="259" spans="1:513" s="53" customFormat="1" ht="18" customHeight="1" x14ac:dyDescent="0.25">
      <c r="A259" s="85"/>
      <c r="B259" s="85"/>
      <c r="C259" s="74" t="s">
        <v>401</v>
      </c>
      <c r="D259" s="75">
        <f t="shared" ref="D259:O259" si="64">D25+D32+D199+D246+D176+D33</f>
        <v>485697135.60000002</v>
      </c>
      <c r="E259" s="75">
        <f t="shared" si="64"/>
        <v>485697135.60000002</v>
      </c>
      <c r="F259" s="75">
        <f t="shared" si="64"/>
        <v>395816000</v>
      </c>
      <c r="G259" s="75">
        <f t="shared" si="64"/>
        <v>0</v>
      </c>
      <c r="H259" s="75">
        <f t="shared" si="64"/>
        <v>0</v>
      </c>
      <c r="I259" s="75">
        <f t="shared" si="64"/>
        <v>41444460.18</v>
      </c>
      <c r="J259" s="75">
        <f t="shared" si="64"/>
        <v>37951510.18</v>
      </c>
      <c r="K259" s="75">
        <f t="shared" si="64"/>
        <v>0</v>
      </c>
      <c r="L259" s="75">
        <f t="shared" si="64"/>
        <v>0</v>
      </c>
      <c r="M259" s="75">
        <f t="shared" si="64"/>
        <v>0</v>
      </c>
      <c r="N259" s="75">
        <f t="shared" si="64"/>
        <v>41444460.18</v>
      </c>
      <c r="O259" s="75">
        <f t="shared" si="64"/>
        <v>527141595.77999997</v>
      </c>
    </row>
    <row r="260" spans="1:513" s="53" customFormat="1" ht="31.5" x14ac:dyDescent="0.25">
      <c r="A260" s="85"/>
      <c r="B260" s="85"/>
      <c r="C260" s="74" t="s">
        <v>402</v>
      </c>
      <c r="D260" s="75">
        <f>D26+D27+D29+D103+D104+D105+D235+D31+D35+D82+D83+D147+D34+D171+D164+D169+D170</f>
        <v>33940606.130000003</v>
      </c>
      <c r="E260" s="75">
        <f t="shared" ref="E260:N260" si="65">E26+E27+E29+E103+E104+E105+E235+E31+E35+E82+E83+E147+E34+E171+E164+E169+E170</f>
        <v>33940606.130000003</v>
      </c>
      <c r="F260" s="75">
        <f t="shared" si="65"/>
        <v>4103499</v>
      </c>
      <c r="G260" s="75">
        <f t="shared" si="65"/>
        <v>0</v>
      </c>
      <c r="H260" s="75">
        <f t="shared" si="65"/>
        <v>0</v>
      </c>
      <c r="I260" s="75">
        <f>I26+I27+I29+I103+I104+I105+I235+I31+I35+I82+I83+I147+I34+I171+I164+I169+I170</f>
        <v>31113850.450000003</v>
      </c>
      <c r="J260" s="75">
        <f t="shared" si="65"/>
        <v>19013850.450000003</v>
      </c>
      <c r="K260" s="75">
        <f t="shared" si="65"/>
        <v>12100000</v>
      </c>
      <c r="L260" s="75">
        <f t="shared" si="65"/>
        <v>0</v>
      </c>
      <c r="M260" s="75">
        <f t="shared" si="65"/>
        <v>0</v>
      </c>
      <c r="N260" s="75">
        <f t="shared" si="65"/>
        <v>19013850.450000003</v>
      </c>
      <c r="O260" s="75">
        <f>O26+O27+O29+O103+O104+O105+O235+O31+O35+O82+O83+O147+O34+O171+O164+O169+O170</f>
        <v>65054456.579999998</v>
      </c>
    </row>
    <row r="261" spans="1:513" s="53" customFormat="1" ht="23.25" customHeight="1" x14ac:dyDescent="0.25">
      <c r="A261" s="70"/>
      <c r="B261" s="70"/>
      <c r="C261" s="82" t="s">
        <v>419</v>
      </c>
      <c r="D261" s="75">
        <f>D172</f>
        <v>0</v>
      </c>
      <c r="E261" s="75">
        <f t="shared" ref="E261:O261" si="66">E172</f>
        <v>0</v>
      </c>
      <c r="F261" s="75">
        <f t="shared" si="66"/>
        <v>0</v>
      </c>
      <c r="G261" s="75">
        <f t="shared" si="66"/>
        <v>0</v>
      </c>
      <c r="H261" s="75">
        <f t="shared" si="66"/>
        <v>0</v>
      </c>
      <c r="I261" s="75">
        <f t="shared" si="66"/>
        <v>127771665.12</v>
      </c>
      <c r="J261" s="75">
        <f t="shared" si="66"/>
        <v>127771665.12</v>
      </c>
      <c r="K261" s="75">
        <f t="shared" si="66"/>
        <v>0</v>
      </c>
      <c r="L261" s="75">
        <f t="shared" si="66"/>
        <v>0</v>
      </c>
      <c r="M261" s="75">
        <f t="shared" si="66"/>
        <v>0</v>
      </c>
      <c r="N261" s="75">
        <f t="shared" si="66"/>
        <v>127771665.12</v>
      </c>
      <c r="O261" s="75">
        <f t="shared" si="66"/>
        <v>127771665.12</v>
      </c>
    </row>
    <row r="262" spans="1:513" s="52" customFormat="1" ht="19.5" customHeight="1" x14ac:dyDescent="0.25">
      <c r="A262" s="63"/>
      <c r="B262" s="63"/>
      <c r="C262" s="64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</row>
    <row r="263" spans="1:513" s="52" customFormat="1" ht="30" customHeight="1" x14ac:dyDescent="0.55000000000000004">
      <c r="A263" s="63"/>
      <c r="B263" s="63"/>
      <c r="C263" s="64"/>
      <c r="D263" s="65"/>
      <c r="E263" s="65"/>
      <c r="F263" s="65"/>
      <c r="G263" s="65"/>
      <c r="H263" s="65"/>
      <c r="I263" s="65"/>
      <c r="J263" s="129"/>
      <c r="K263" s="65"/>
      <c r="L263" s="65"/>
      <c r="M263" s="65"/>
      <c r="N263" s="65"/>
      <c r="O263" s="65"/>
    </row>
    <row r="264" spans="1:513" s="140" customFormat="1" ht="47.25" customHeight="1" x14ac:dyDescent="0.55000000000000004">
      <c r="A264" s="137" t="s">
        <v>614</v>
      </c>
      <c r="B264" s="138"/>
      <c r="C264" s="139"/>
      <c r="D264" s="129"/>
      <c r="E264" s="129"/>
      <c r="F264" s="129"/>
      <c r="G264" s="129"/>
      <c r="H264" s="129"/>
      <c r="I264" s="129"/>
      <c r="J264" s="47"/>
      <c r="K264" s="129"/>
      <c r="L264" s="129" t="s">
        <v>616</v>
      </c>
      <c r="M264" s="130"/>
      <c r="N264" s="130"/>
      <c r="O264" s="130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141"/>
      <c r="AO264" s="141"/>
      <c r="AP264" s="141"/>
      <c r="AQ264" s="141"/>
      <c r="AR264" s="141"/>
      <c r="AS264" s="141"/>
      <c r="AT264" s="141"/>
      <c r="AU264" s="141"/>
      <c r="AV264" s="141"/>
      <c r="AW264" s="141"/>
      <c r="AX264" s="141"/>
      <c r="AY264" s="141"/>
      <c r="AZ264" s="141"/>
      <c r="BA264" s="141"/>
      <c r="BB264" s="141"/>
      <c r="BC264" s="141"/>
      <c r="BD264" s="141"/>
      <c r="BE264" s="141"/>
      <c r="BF264" s="141"/>
      <c r="BG264" s="141"/>
      <c r="BH264" s="141"/>
      <c r="BI264" s="141"/>
      <c r="BJ264" s="141"/>
      <c r="BK264" s="141"/>
      <c r="BL264" s="141"/>
      <c r="BM264" s="141"/>
      <c r="BN264" s="141"/>
      <c r="BO264" s="141"/>
      <c r="BP264" s="141"/>
      <c r="BQ264" s="141"/>
      <c r="BR264" s="141"/>
      <c r="BS264" s="141"/>
      <c r="BT264" s="141"/>
      <c r="BU264" s="141"/>
      <c r="BV264" s="141"/>
      <c r="BW264" s="141"/>
      <c r="BX264" s="141"/>
      <c r="BY264" s="141"/>
      <c r="BZ264" s="141"/>
      <c r="CA264" s="141"/>
      <c r="CB264" s="141"/>
      <c r="CC264" s="141"/>
      <c r="CD264" s="141"/>
      <c r="CE264" s="141"/>
      <c r="CF264" s="141"/>
      <c r="CG264" s="141"/>
      <c r="CH264" s="141"/>
      <c r="CI264" s="141"/>
      <c r="CJ264" s="141"/>
      <c r="CK264" s="141"/>
      <c r="CL264" s="141"/>
      <c r="CM264" s="141"/>
      <c r="CN264" s="141"/>
      <c r="CO264" s="141"/>
      <c r="CP264" s="141"/>
      <c r="CQ264" s="141"/>
      <c r="CR264" s="141"/>
      <c r="CS264" s="141"/>
      <c r="CT264" s="141"/>
      <c r="CU264" s="141"/>
      <c r="CV264" s="141"/>
      <c r="CW264" s="141"/>
      <c r="CX264" s="141"/>
      <c r="CY264" s="141"/>
      <c r="CZ264" s="141"/>
      <c r="DA264" s="141"/>
      <c r="DB264" s="141"/>
      <c r="DC264" s="141"/>
      <c r="DD264" s="141"/>
      <c r="DE264" s="141"/>
      <c r="DF264" s="141"/>
      <c r="DG264" s="141"/>
      <c r="DH264" s="141"/>
      <c r="DI264" s="141"/>
      <c r="DJ264" s="141"/>
      <c r="DK264" s="141"/>
      <c r="DL264" s="141"/>
      <c r="DM264" s="141"/>
      <c r="DN264" s="141"/>
      <c r="DO264" s="141"/>
      <c r="DP264" s="141"/>
      <c r="DQ264" s="141"/>
      <c r="DR264" s="141"/>
      <c r="DS264" s="141"/>
      <c r="DT264" s="141"/>
      <c r="DU264" s="141"/>
      <c r="DV264" s="141"/>
      <c r="DW264" s="141"/>
      <c r="DX264" s="141"/>
      <c r="DY264" s="141"/>
      <c r="DZ264" s="141"/>
      <c r="EA264" s="141"/>
      <c r="EB264" s="141"/>
      <c r="EC264" s="141"/>
      <c r="ED264" s="141"/>
      <c r="EE264" s="141"/>
      <c r="EF264" s="141"/>
      <c r="EG264" s="141"/>
      <c r="EH264" s="141"/>
      <c r="EI264" s="141"/>
      <c r="EJ264" s="141"/>
      <c r="EK264" s="141"/>
      <c r="EL264" s="141"/>
      <c r="EM264" s="141"/>
      <c r="EN264" s="141"/>
      <c r="EO264" s="141"/>
      <c r="EP264" s="141"/>
      <c r="EQ264" s="141"/>
      <c r="ER264" s="141"/>
      <c r="ES264" s="141"/>
      <c r="ET264" s="141"/>
      <c r="EU264" s="141"/>
      <c r="EV264" s="141"/>
      <c r="EW264" s="141"/>
      <c r="EX264" s="141"/>
      <c r="EY264" s="141"/>
      <c r="EZ264" s="141"/>
      <c r="FA264" s="141"/>
      <c r="FB264" s="141"/>
      <c r="FC264" s="141"/>
      <c r="FD264" s="141"/>
      <c r="FE264" s="141"/>
      <c r="FF264" s="141"/>
      <c r="FG264" s="141"/>
      <c r="FH264" s="141"/>
      <c r="FI264" s="141"/>
      <c r="FJ264" s="141"/>
      <c r="FK264" s="141"/>
      <c r="FL264" s="141"/>
      <c r="FM264" s="141"/>
      <c r="FN264" s="141"/>
      <c r="FO264" s="141"/>
      <c r="FP264" s="141"/>
      <c r="FQ264" s="141"/>
      <c r="FR264" s="141"/>
      <c r="FS264" s="141"/>
      <c r="FT264" s="141"/>
      <c r="FU264" s="141"/>
      <c r="FV264" s="141"/>
      <c r="FW264" s="141"/>
      <c r="FX264" s="141"/>
      <c r="FY264" s="141"/>
      <c r="FZ264" s="141"/>
      <c r="GA264" s="141"/>
      <c r="GB264" s="141"/>
      <c r="GC264" s="141"/>
      <c r="GD264" s="141"/>
      <c r="GE264" s="141"/>
      <c r="GF264" s="141"/>
      <c r="GG264" s="141"/>
      <c r="GH264" s="141"/>
      <c r="GI264" s="141"/>
      <c r="GJ264" s="141"/>
      <c r="GK264" s="141"/>
      <c r="GL264" s="141"/>
      <c r="GM264" s="141"/>
      <c r="GN264" s="141"/>
      <c r="GO264" s="141"/>
      <c r="GP264" s="141"/>
      <c r="GQ264" s="141"/>
      <c r="GR264" s="141"/>
      <c r="GS264" s="141"/>
      <c r="GT264" s="141"/>
      <c r="GU264" s="141"/>
      <c r="GV264" s="141"/>
      <c r="GW264" s="141"/>
      <c r="GX264" s="141"/>
      <c r="GY264" s="141"/>
      <c r="GZ264" s="141"/>
      <c r="HA264" s="141"/>
      <c r="HB264" s="141"/>
      <c r="HC264" s="141"/>
      <c r="HD264" s="141"/>
      <c r="HE264" s="141"/>
      <c r="HF264" s="141"/>
      <c r="HG264" s="141"/>
      <c r="HH264" s="141"/>
      <c r="HI264" s="141"/>
      <c r="HJ264" s="141"/>
      <c r="HK264" s="141"/>
      <c r="HL264" s="141"/>
      <c r="HM264" s="141"/>
      <c r="HN264" s="141"/>
      <c r="HO264" s="141"/>
      <c r="HP264" s="141"/>
      <c r="HQ264" s="141"/>
      <c r="HR264" s="141"/>
      <c r="HS264" s="141"/>
      <c r="HT264" s="141"/>
      <c r="HU264" s="141"/>
      <c r="HV264" s="141"/>
      <c r="HW264" s="141"/>
      <c r="HX264" s="141"/>
      <c r="HY264" s="141"/>
      <c r="HZ264" s="141"/>
      <c r="IA264" s="141"/>
      <c r="IB264" s="141"/>
      <c r="IC264" s="141"/>
      <c r="ID264" s="141"/>
      <c r="IE264" s="141"/>
      <c r="IF264" s="141"/>
      <c r="IG264" s="141"/>
      <c r="IH264" s="141"/>
      <c r="II264" s="141"/>
      <c r="IJ264" s="141"/>
      <c r="IK264" s="141"/>
      <c r="IL264" s="141"/>
      <c r="IM264" s="141"/>
      <c r="IN264" s="141"/>
      <c r="IO264" s="141"/>
      <c r="IP264" s="141"/>
      <c r="IQ264" s="141"/>
      <c r="IR264" s="141"/>
      <c r="IS264" s="141"/>
      <c r="IT264" s="141"/>
      <c r="IU264" s="141"/>
      <c r="IV264" s="141"/>
      <c r="IW264" s="141"/>
      <c r="IX264" s="141"/>
      <c r="IY264" s="141"/>
      <c r="IZ264" s="141"/>
      <c r="JA264" s="141"/>
      <c r="JB264" s="141"/>
      <c r="JC264" s="141"/>
      <c r="JD264" s="141"/>
      <c r="JE264" s="141"/>
      <c r="JF264" s="141"/>
      <c r="JG264" s="141"/>
      <c r="JH264" s="141"/>
      <c r="JI264" s="141"/>
      <c r="JJ264" s="141"/>
      <c r="JK264" s="141"/>
      <c r="JL264" s="141"/>
      <c r="JM264" s="141"/>
      <c r="JN264" s="141"/>
      <c r="JO264" s="141"/>
      <c r="JP264" s="141"/>
      <c r="JQ264" s="141"/>
      <c r="JR264" s="141"/>
      <c r="JS264" s="141"/>
      <c r="JT264" s="141"/>
      <c r="JU264" s="141"/>
      <c r="JV264" s="141"/>
      <c r="JW264" s="141"/>
      <c r="JX264" s="141"/>
      <c r="JY264" s="141"/>
      <c r="JZ264" s="141"/>
      <c r="KA264" s="141"/>
      <c r="KB264" s="141"/>
      <c r="KC264" s="141"/>
      <c r="KD264" s="141"/>
      <c r="KE264" s="141"/>
      <c r="KF264" s="141"/>
      <c r="KG264" s="141"/>
      <c r="KH264" s="141"/>
      <c r="KI264" s="141"/>
      <c r="KJ264" s="141"/>
      <c r="KK264" s="141"/>
      <c r="KL264" s="141"/>
      <c r="KM264" s="141"/>
      <c r="KN264" s="141"/>
      <c r="KO264" s="141"/>
      <c r="KP264" s="141"/>
      <c r="KQ264" s="141"/>
      <c r="KR264" s="141"/>
      <c r="KS264" s="141"/>
      <c r="KT264" s="141"/>
      <c r="KU264" s="141"/>
      <c r="KV264" s="141"/>
      <c r="KW264" s="141"/>
      <c r="KX264" s="141"/>
      <c r="KY264" s="141"/>
      <c r="KZ264" s="141"/>
      <c r="LA264" s="141"/>
      <c r="LB264" s="141"/>
      <c r="LC264" s="141"/>
      <c r="LD264" s="141"/>
      <c r="LE264" s="141"/>
      <c r="LF264" s="141"/>
      <c r="LG264" s="141"/>
      <c r="LH264" s="141"/>
      <c r="LI264" s="141"/>
      <c r="LJ264" s="141"/>
      <c r="LK264" s="141"/>
      <c r="LL264" s="141"/>
      <c r="LM264" s="141"/>
      <c r="LN264" s="141"/>
      <c r="LO264" s="141"/>
      <c r="LP264" s="141"/>
      <c r="LQ264" s="141"/>
      <c r="LR264" s="141"/>
      <c r="LS264" s="141"/>
      <c r="LT264" s="141"/>
      <c r="LU264" s="141"/>
      <c r="LV264" s="141"/>
      <c r="LW264" s="141"/>
      <c r="LX264" s="141"/>
      <c r="LY264" s="141"/>
      <c r="LZ264" s="141"/>
      <c r="MA264" s="141"/>
      <c r="MB264" s="141"/>
      <c r="MC264" s="141"/>
      <c r="MD264" s="141"/>
      <c r="ME264" s="141"/>
      <c r="MF264" s="141"/>
      <c r="MG264" s="141"/>
      <c r="MH264" s="141"/>
      <c r="MI264" s="141"/>
      <c r="MJ264" s="141"/>
      <c r="MK264" s="141"/>
      <c r="ML264" s="141"/>
      <c r="MM264" s="141"/>
      <c r="MN264" s="141"/>
      <c r="MO264" s="141"/>
      <c r="MP264" s="141"/>
      <c r="MQ264" s="141"/>
      <c r="MR264" s="141"/>
      <c r="MS264" s="141"/>
      <c r="MT264" s="141"/>
      <c r="MU264" s="141"/>
      <c r="MV264" s="141"/>
      <c r="MW264" s="141"/>
      <c r="MX264" s="141"/>
      <c r="MY264" s="141"/>
      <c r="MZ264" s="141"/>
      <c r="NA264" s="141"/>
      <c r="NB264" s="141"/>
      <c r="NC264" s="141"/>
      <c r="ND264" s="141"/>
      <c r="NE264" s="141"/>
      <c r="NF264" s="141"/>
      <c r="NG264" s="141"/>
      <c r="NH264" s="141"/>
      <c r="NI264" s="141"/>
      <c r="NJ264" s="141"/>
      <c r="NK264" s="141"/>
      <c r="NL264" s="141"/>
      <c r="NM264" s="141"/>
      <c r="NN264" s="141"/>
      <c r="NO264" s="141"/>
      <c r="NP264" s="141"/>
      <c r="NQ264" s="141"/>
      <c r="NR264" s="141"/>
      <c r="NS264" s="141"/>
      <c r="NT264" s="141"/>
      <c r="NU264" s="141"/>
      <c r="NV264" s="141"/>
      <c r="NW264" s="141"/>
      <c r="NX264" s="141"/>
      <c r="NY264" s="141"/>
      <c r="NZ264" s="141"/>
      <c r="OA264" s="141"/>
      <c r="OB264" s="141"/>
      <c r="OC264" s="141"/>
      <c r="OD264" s="141"/>
      <c r="OE264" s="141"/>
      <c r="OF264" s="141"/>
      <c r="OG264" s="141"/>
      <c r="OH264" s="141"/>
      <c r="OI264" s="141"/>
      <c r="OJ264" s="141"/>
      <c r="OK264" s="141"/>
      <c r="OL264" s="141"/>
      <c r="OM264" s="141"/>
      <c r="ON264" s="141"/>
      <c r="OO264" s="141"/>
      <c r="OP264" s="141"/>
      <c r="OQ264" s="141"/>
      <c r="OR264" s="141"/>
      <c r="OS264" s="141"/>
      <c r="OT264" s="141"/>
      <c r="OU264" s="141"/>
      <c r="OV264" s="141"/>
      <c r="OW264" s="141"/>
      <c r="OX264" s="141"/>
      <c r="OY264" s="141"/>
      <c r="OZ264" s="141"/>
      <c r="PA264" s="141"/>
      <c r="PB264" s="141"/>
      <c r="PC264" s="141"/>
      <c r="PD264" s="141"/>
      <c r="PE264" s="141"/>
      <c r="PF264" s="141"/>
      <c r="PG264" s="141"/>
      <c r="PH264" s="141"/>
      <c r="PI264" s="141"/>
      <c r="PJ264" s="141"/>
      <c r="PK264" s="141"/>
      <c r="PL264" s="141"/>
      <c r="PM264" s="141"/>
      <c r="PN264" s="141"/>
      <c r="PO264" s="141"/>
      <c r="PP264" s="141"/>
      <c r="PQ264" s="141"/>
      <c r="PR264" s="141"/>
      <c r="PS264" s="141"/>
      <c r="PT264" s="141"/>
      <c r="PU264" s="141"/>
      <c r="PV264" s="141"/>
      <c r="PW264" s="141"/>
      <c r="PX264" s="141"/>
      <c r="PY264" s="141"/>
      <c r="PZ264" s="141"/>
      <c r="QA264" s="141"/>
      <c r="QB264" s="141"/>
      <c r="QC264" s="141"/>
      <c r="QD264" s="141"/>
      <c r="QE264" s="141"/>
      <c r="QF264" s="141"/>
      <c r="QG264" s="141"/>
      <c r="QH264" s="141"/>
      <c r="QI264" s="141"/>
      <c r="QJ264" s="141"/>
      <c r="QK264" s="141"/>
      <c r="QL264" s="141"/>
      <c r="QM264" s="141"/>
      <c r="QN264" s="141"/>
      <c r="QO264" s="141"/>
      <c r="QP264" s="141"/>
      <c r="QQ264" s="141"/>
      <c r="QR264" s="141"/>
      <c r="QS264" s="141"/>
      <c r="QT264" s="141"/>
      <c r="QU264" s="141"/>
      <c r="QV264" s="141"/>
      <c r="QW264" s="141"/>
      <c r="QX264" s="141"/>
      <c r="QY264" s="141"/>
      <c r="QZ264" s="141"/>
      <c r="RA264" s="141"/>
      <c r="RB264" s="141"/>
      <c r="RC264" s="141"/>
      <c r="RD264" s="141"/>
      <c r="RE264" s="141"/>
      <c r="RF264" s="141"/>
      <c r="RG264" s="141"/>
      <c r="RH264" s="141"/>
      <c r="RI264" s="141"/>
      <c r="RJ264" s="141"/>
      <c r="RK264" s="141"/>
      <c r="RL264" s="141"/>
      <c r="RM264" s="141"/>
      <c r="RN264" s="141"/>
      <c r="RO264" s="141"/>
      <c r="RP264" s="141"/>
      <c r="RQ264" s="141"/>
      <c r="RR264" s="141"/>
      <c r="RS264" s="141"/>
      <c r="RT264" s="141"/>
      <c r="RU264" s="141"/>
      <c r="RV264" s="141"/>
      <c r="RW264" s="141"/>
      <c r="RX264" s="141"/>
      <c r="RY264" s="141"/>
      <c r="RZ264" s="141"/>
      <c r="SA264" s="141"/>
      <c r="SB264" s="141"/>
      <c r="SC264" s="141"/>
      <c r="SD264" s="141"/>
      <c r="SE264" s="141"/>
      <c r="SF264" s="141"/>
      <c r="SG264" s="141"/>
      <c r="SH264" s="141"/>
      <c r="SI264" s="141"/>
      <c r="SJ264" s="141"/>
      <c r="SK264" s="141"/>
      <c r="SL264" s="141"/>
      <c r="SM264" s="141"/>
      <c r="SN264" s="141"/>
      <c r="SO264" s="141"/>
      <c r="SP264" s="141"/>
      <c r="SQ264" s="141"/>
      <c r="SR264" s="141"/>
      <c r="SS264" s="141"/>
    </row>
    <row r="265" spans="1:513" s="28" customFormat="1" ht="22.5" customHeight="1" x14ac:dyDescent="0.45">
      <c r="A265" s="56"/>
      <c r="B265" s="61"/>
      <c r="C265" s="61"/>
      <c r="D265" s="35"/>
      <c r="E265" s="47"/>
      <c r="F265" s="47"/>
      <c r="G265" s="47"/>
      <c r="H265" s="47"/>
      <c r="I265" s="47"/>
      <c r="J265" s="132"/>
      <c r="K265" s="47"/>
      <c r="L265" s="47"/>
      <c r="M265" s="47"/>
      <c r="N265" s="47"/>
      <c r="O265" s="47"/>
    </row>
    <row r="266" spans="1:513" s="133" customFormat="1" ht="31.5" x14ac:dyDescent="0.45">
      <c r="A266" s="131" t="s">
        <v>627</v>
      </c>
      <c r="B266" s="131"/>
      <c r="C266" s="131"/>
      <c r="D266" s="131"/>
      <c r="E266" s="132"/>
      <c r="F266" s="132"/>
      <c r="G266" s="132"/>
      <c r="H266" s="132"/>
      <c r="I266" s="132"/>
      <c r="J266" s="124"/>
      <c r="K266" s="132"/>
      <c r="L266" s="132"/>
      <c r="M266" s="132"/>
      <c r="N266" s="132"/>
      <c r="O266" s="132"/>
    </row>
    <row r="267" spans="1:513" s="125" customFormat="1" ht="25.5" customHeight="1" x14ac:dyDescent="0.4">
      <c r="A267" s="159"/>
      <c r="B267" s="159"/>
      <c r="C267" s="126"/>
      <c r="D267" s="151"/>
      <c r="E267" s="124"/>
      <c r="F267" s="124"/>
      <c r="G267" s="124"/>
      <c r="H267" s="124"/>
      <c r="I267" s="124"/>
      <c r="J267" s="127"/>
      <c r="K267" s="124"/>
      <c r="L267" s="124"/>
      <c r="M267" s="124"/>
      <c r="N267" s="124"/>
      <c r="O267" s="124"/>
    </row>
  </sheetData>
  <mergeCells count="25"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  <mergeCell ref="A267:B267"/>
    <mergeCell ref="O14:O16"/>
    <mergeCell ref="J4:O4"/>
    <mergeCell ref="J5:O5"/>
    <mergeCell ref="J6:O6"/>
    <mergeCell ref="J8:O8"/>
    <mergeCell ref="I14:N14"/>
    <mergeCell ref="A11:O11"/>
    <mergeCell ref="A12:O12"/>
  </mergeCells>
  <phoneticPr fontId="3" type="noConversion"/>
  <printOptions horizontalCentered="1"/>
  <pageMargins left="0" right="0" top="0.86614173228346458" bottom="0.59055118110236227" header="0" footer="0.31496062992125984"/>
  <pageSetup paperSize="9" scale="44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196" max="14" man="1"/>
    <brk id="22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7</vt:lpstr>
      <vt:lpstr>'дод 3'!Заголовки_для_печати</vt:lpstr>
      <vt:lpstr>'дод 7'!Заголовки_для_печати</vt:lpstr>
      <vt:lpstr>'дод 3'!Область_печати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2021-12-16T06:21:42Z</cp:lastPrinted>
  <dcterms:created xsi:type="dcterms:W3CDTF">2014-01-17T10:52:16Z</dcterms:created>
  <dcterms:modified xsi:type="dcterms:W3CDTF">2021-12-16T06:24:46Z</dcterms:modified>
</cp:coreProperties>
</file>