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ВНЕСЕННЯ ЗМІН ДО БЮДЖЕТУ\грудень\позачергова СМР\Доопрацьоване\"/>
    </mc:Choice>
  </mc:AlternateContent>
  <bookViews>
    <workbookView xWindow="0" yWindow="0" windowWidth="28800" windowHeight="11835" tabRatio="495"/>
  </bookViews>
  <sheets>
    <sheet name="дод 3" sheetId="1" r:id="rId1"/>
    <sheet name="дод 7" sheetId="3" r:id="rId2"/>
  </sheets>
  <definedNames>
    <definedName name="_xlnm.Print_Titles" localSheetId="0">'дод 3'!$14:$16</definedName>
    <definedName name="_xlnm.Print_Titles" localSheetId="1">'дод 7'!$14:$16</definedName>
    <definedName name="_xlnm.Print_Area" localSheetId="0">'дод 3'!$A$1:$P$334</definedName>
    <definedName name="_xlnm.Print_Area" localSheetId="1">'дод 7'!$A$1:$O$267</definedName>
  </definedNames>
  <calcPr calcId="162913"/>
</workbook>
</file>

<file path=xl/calcChain.xml><?xml version="1.0" encoding="utf-8"?>
<calcChain xmlns="http://schemas.openxmlformats.org/spreadsheetml/2006/main">
  <c r="F242" i="1" l="1"/>
  <c r="I242" i="1"/>
  <c r="G109" i="1" l="1"/>
  <c r="F109" i="1"/>
  <c r="N183" i="3"/>
  <c r="N177" i="3" s="1"/>
  <c r="N170" i="3" s="1"/>
  <c r="M183" i="3"/>
  <c r="M177" i="3" s="1"/>
  <c r="M170" i="3" s="1"/>
  <c r="L183" i="3"/>
  <c r="L177" i="3" s="1"/>
  <c r="L170" i="3" s="1"/>
  <c r="K183" i="3"/>
  <c r="K177" i="3" s="1"/>
  <c r="K170" i="3" s="1"/>
  <c r="J183" i="3"/>
  <c r="J177" i="3" s="1"/>
  <c r="J170" i="3" s="1"/>
  <c r="H183" i="3"/>
  <c r="H177" i="3" s="1"/>
  <c r="H170" i="3" s="1"/>
  <c r="G183" i="3"/>
  <c r="G177" i="3" s="1"/>
  <c r="G170" i="3" s="1"/>
  <c r="F183" i="3"/>
  <c r="F177" i="3" s="1"/>
  <c r="F170" i="3" s="1"/>
  <c r="E183" i="3"/>
  <c r="E177" i="3" s="1"/>
  <c r="E170" i="3" s="1"/>
  <c r="O118" i="1"/>
  <c r="K118" i="1"/>
  <c r="O116" i="1"/>
  <c r="K116" i="1"/>
  <c r="F239" i="1"/>
  <c r="O234" i="1"/>
  <c r="K234" i="1"/>
  <c r="F79" i="1"/>
  <c r="F138" i="1" l="1"/>
  <c r="H31" i="1"/>
  <c r="F31" i="1"/>
  <c r="H28" i="1"/>
  <c r="F28" i="1"/>
  <c r="O159" i="1"/>
  <c r="K159" i="1"/>
  <c r="F159" i="1"/>
  <c r="O283" i="1"/>
  <c r="K283" i="1"/>
  <c r="O282" i="1"/>
  <c r="K282" i="1"/>
  <c r="O280" i="1"/>
  <c r="K280" i="1"/>
  <c r="E321" i="1"/>
  <c r="O304" i="1"/>
  <c r="K304" i="1"/>
  <c r="O275" i="1"/>
  <c r="K275" i="1"/>
  <c r="O244" i="1"/>
  <c r="K244" i="1"/>
  <c r="O210" i="1"/>
  <c r="K210" i="1"/>
  <c r="H152" i="1"/>
  <c r="F152" i="1"/>
  <c r="O278" i="1"/>
  <c r="K278" i="1"/>
  <c r="O279" i="1"/>
  <c r="K279" i="1"/>
  <c r="H294" i="1"/>
  <c r="H269" i="1"/>
  <c r="I238" i="1"/>
  <c r="F235" i="1"/>
  <c r="G217" i="1"/>
  <c r="H182" i="1"/>
  <c r="F182" i="1"/>
  <c r="O202" i="1"/>
  <c r="K202" i="1"/>
  <c r="F200" i="1"/>
  <c r="F174" i="1"/>
  <c r="F147" i="1"/>
  <c r="F113" i="1"/>
  <c r="F114" i="1"/>
  <c r="H55" i="1"/>
  <c r="G38" i="1"/>
  <c r="G40" i="1"/>
  <c r="F125" i="1"/>
  <c r="F141" i="1"/>
  <c r="O211" i="1"/>
  <c r="K211" i="1"/>
  <c r="O241" i="1"/>
  <c r="O240" i="1"/>
  <c r="K241" i="1"/>
  <c r="K240" i="1"/>
  <c r="L253" i="1"/>
  <c r="L252" i="1"/>
  <c r="O134" i="1"/>
  <c r="N134" i="1"/>
  <c r="M134" i="1"/>
  <c r="L134" i="1"/>
  <c r="K134" i="1"/>
  <c r="I134" i="1"/>
  <c r="H134" i="1"/>
  <c r="G134" i="1"/>
  <c r="F134" i="1"/>
  <c r="J155" i="1"/>
  <c r="I183" i="3" s="1"/>
  <c r="I177" i="3" s="1"/>
  <c r="I170" i="3" s="1"/>
  <c r="O154" i="1"/>
  <c r="K154" i="1"/>
  <c r="G108" i="1"/>
  <c r="F108" i="1"/>
  <c r="O158" i="1"/>
  <c r="K158" i="1"/>
  <c r="O249" i="1"/>
  <c r="K249" i="1"/>
  <c r="O248" i="1"/>
  <c r="K248" i="1"/>
  <c r="K157" i="1"/>
  <c r="O157" i="1"/>
  <c r="O119" i="1"/>
  <c r="K119" i="1"/>
  <c r="E155" i="1"/>
  <c r="D183" i="3" s="1"/>
  <c r="D177" i="3" s="1"/>
  <c r="D170" i="3" s="1"/>
  <c r="J134" i="1" l="1"/>
  <c r="P155" i="1"/>
  <c r="E134" i="1"/>
  <c r="F76" i="1"/>
  <c r="O183" i="3" l="1"/>
  <c r="O177" i="3" s="1"/>
  <c r="O170" i="3" s="1"/>
  <c r="P134" i="1"/>
  <c r="K236" i="1"/>
  <c r="F132" i="1" l="1"/>
  <c r="F135" i="1"/>
  <c r="O239" i="1" l="1"/>
  <c r="K239" i="1"/>
  <c r="O39" i="1" l="1"/>
  <c r="K39" i="1"/>
  <c r="F55" i="1" l="1"/>
  <c r="F38" i="1" l="1"/>
  <c r="F49" i="1" l="1"/>
  <c r="O236" i="1"/>
  <c r="F29" i="1"/>
  <c r="O138" i="1" l="1"/>
  <c r="K138" i="1"/>
  <c r="O162" i="1"/>
  <c r="K162" i="1"/>
  <c r="I258" i="1" l="1"/>
  <c r="O42" i="1"/>
  <c r="K42" i="1"/>
  <c r="O120" i="1"/>
  <c r="K120" i="1"/>
  <c r="F41" i="1" l="1"/>
  <c r="H38" i="1"/>
  <c r="F317" i="1"/>
  <c r="F48" i="1"/>
  <c r="H301" i="1"/>
  <c r="O284" i="1"/>
  <c r="K284" i="1"/>
  <c r="O243" i="1"/>
  <c r="K243" i="1"/>
  <c r="O259" i="1"/>
  <c r="K259" i="1"/>
  <c r="F233" i="1"/>
  <c r="G294" i="1"/>
  <c r="H218" i="1"/>
  <c r="F218" i="1"/>
  <c r="H215" i="1"/>
  <c r="F215" i="1"/>
  <c r="H214" i="1"/>
  <c r="F214" i="1"/>
  <c r="H216" i="1"/>
  <c r="G216" i="1"/>
  <c r="F216" i="1"/>
  <c r="F217" i="1"/>
  <c r="G218" i="1"/>
  <c r="G207" i="1"/>
  <c r="F188" i="1"/>
  <c r="F183" i="1"/>
  <c r="F189" i="1"/>
  <c r="H114" i="1"/>
  <c r="H95" i="1"/>
  <c r="F95" i="1"/>
  <c r="H94" i="1"/>
  <c r="F94" i="1"/>
  <c r="H81" i="1"/>
  <c r="F81" i="1"/>
  <c r="H80" i="1"/>
  <c r="F80" i="1"/>
  <c r="H79" i="1"/>
  <c r="H78" i="1"/>
  <c r="G78" i="1"/>
  <c r="F78" i="1"/>
  <c r="O78" i="1"/>
  <c r="K78" i="1"/>
  <c r="O104" i="1"/>
  <c r="K104" i="1"/>
  <c r="F104" i="1"/>
  <c r="O49" i="1"/>
  <c r="K49" i="1"/>
  <c r="F39" i="1"/>
  <c r="G33" i="1"/>
  <c r="F33" i="1"/>
  <c r="G31" i="1"/>
  <c r="H21" i="1"/>
  <c r="G21" i="1"/>
  <c r="M193" i="3" l="1"/>
  <c r="L193" i="3"/>
  <c r="K193" i="3"/>
  <c r="H193" i="3"/>
  <c r="G193" i="3"/>
  <c r="F193" i="3"/>
  <c r="E193" i="3"/>
  <c r="M192" i="3"/>
  <c r="L192" i="3"/>
  <c r="K192" i="3"/>
  <c r="H192" i="3"/>
  <c r="G192" i="3"/>
  <c r="F192" i="3"/>
  <c r="E192" i="3"/>
  <c r="O272" i="1"/>
  <c r="N272" i="1"/>
  <c r="M272" i="1"/>
  <c r="L272" i="1"/>
  <c r="K272" i="1"/>
  <c r="I272" i="1"/>
  <c r="H272" i="1"/>
  <c r="G272" i="1"/>
  <c r="F272" i="1"/>
  <c r="E286" i="1"/>
  <c r="E272" i="1" s="1"/>
  <c r="J286" i="1"/>
  <c r="N192" i="3"/>
  <c r="J192" i="3"/>
  <c r="N193" i="3"/>
  <c r="O90" i="1"/>
  <c r="K90" i="1"/>
  <c r="O89" i="1"/>
  <c r="K89" i="1"/>
  <c r="F175" i="1"/>
  <c r="F90" i="1"/>
  <c r="F89" i="1"/>
  <c r="F107" i="1"/>
  <c r="F106" i="1"/>
  <c r="O107" i="1"/>
  <c r="K107" i="1"/>
  <c r="O106" i="1"/>
  <c r="K106" i="1"/>
  <c r="J193" i="3" l="1"/>
  <c r="P286" i="1"/>
  <c r="P272" i="1" s="1"/>
  <c r="J272" i="1"/>
  <c r="F256" i="3" l="1"/>
  <c r="G256" i="3"/>
  <c r="H256" i="3"/>
  <c r="K256" i="3"/>
  <c r="L256" i="3"/>
  <c r="M256" i="3"/>
  <c r="L18" i="1"/>
  <c r="M18" i="1"/>
  <c r="N18" i="1"/>
  <c r="J60" i="1"/>
  <c r="J61" i="1"/>
  <c r="E61" i="1"/>
  <c r="O156" i="1"/>
  <c r="K156" i="1"/>
  <c r="J242" i="1"/>
  <c r="P61" i="1" l="1"/>
  <c r="O281" i="1"/>
  <c r="K281" i="1"/>
  <c r="H315" i="1" l="1"/>
  <c r="F315" i="1"/>
  <c r="H304" i="1"/>
  <c r="F304" i="1"/>
  <c r="F294" i="1"/>
  <c r="F269" i="1"/>
  <c r="H231" i="1"/>
  <c r="F231" i="1"/>
  <c r="H207" i="1"/>
  <c r="F207" i="1"/>
  <c r="H199" i="1"/>
  <c r="F199" i="1"/>
  <c r="H170" i="1"/>
  <c r="F170" i="1"/>
  <c r="H137" i="1"/>
  <c r="H100" i="1"/>
  <c r="F100" i="1"/>
  <c r="H97" i="1"/>
  <c r="F97" i="1"/>
  <c r="H58" i="1"/>
  <c r="F58" i="1"/>
  <c r="H40" i="1"/>
  <c r="F40" i="1"/>
  <c r="H34" i="1"/>
  <c r="F34" i="1"/>
  <c r="H33" i="1"/>
  <c r="F21" i="1"/>
  <c r="O62" i="1"/>
  <c r="K62" i="1"/>
  <c r="O288" i="1"/>
  <c r="K288" i="1"/>
  <c r="G274" i="1"/>
  <c r="F274" i="1"/>
  <c r="F203" i="1"/>
  <c r="F176" i="1"/>
  <c r="F172" i="1"/>
  <c r="O153" i="1"/>
  <c r="K153" i="1"/>
  <c r="F126" i="1"/>
  <c r="F320" i="1"/>
  <c r="F316" i="1"/>
  <c r="F288" i="1"/>
  <c r="F265" i="1"/>
  <c r="F22" i="1"/>
  <c r="H18" i="1" l="1"/>
  <c r="F177" i="1" l="1"/>
  <c r="I46" i="1"/>
  <c r="I18" i="1" s="1"/>
  <c r="F27" i="1"/>
  <c r="F26" i="1"/>
  <c r="G170" i="1"/>
  <c r="F258" i="1"/>
  <c r="F232" i="1"/>
  <c r="F309" i="1"/>
  <c r="F306" i="1"/>
  <c r="G304" i="1"/>
  <c r="G315" i="1"/>
  <c r="F173" i="1"/>
  <c r="G182" i="1"/>
  <c r="O199" i="1"/>
  <c r="K199" i="1"/>
  <c r="G199" i="1"/>
  <c r="F120" i="1"/>
  <c r="O101" i="1" l="1"/>
  <c r="K101" i="1"/>
  <c r="O100" i="1"/>
  <c r="K100" i="1"/>
  <c r="F88" i="1"/>
  <c r="G88" i="1"/>
  <c r="G87" i="1"/>
  <c r="F87" i="1"/>
  <c r="G86" i="1"/>
  <c r="F86" i="1"/>
  <c r="G85" i="1"/>
  <c r="F85" i="1"/>
  <c r="G83" i="1"/>
  <c r="F83" i="1"/>
  <c r="G82" i="1"/>
  <c r="F82" i="1"/>
  <c r="G100" i="1"/>
  <c r="G77" i="1"/>
  <c r="G97" i="1"/>
  <c r="G94" i="1"/>
  <c r="G79" i="1"/>
  <c r="F60" i="1"/>
  <c r="F54" i="1"/>
  <c r="F35" i="1"/>
  <c r="F18" i="1" s="1"/>
  <c r="O18" i="1"/>
  <c r="K18" i="1"/>
  <c r="G34" i="1"/>
  <c r="G18" i="1" s="1"/>
  <c r="G110" i="1" l="1"/>
  <c r="G111" i="1"/>
  <c r="F110" i="1"/>
  <c r="F111" i="1"/>
  <c r="E163" i="3" l="1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M224" i="1"/>
  <c r="N224" i="1"/>
  <c r="F228" i="1"/>
  <c r="G228" i="1"/>
  <c r="H228" i="1"/>
  <c r="I228" i="1"/>
  <c r="K228" i="1"/>
  <c r="L228" i="1"/>
  <c r="M228" i="1"/>
  <c r="N228" i="1"/>
  <c r="O228" i="1"/>
  <c r="J241" i="1" l="1"/>
  <c r="E241" i="1"/>
  <c r="J240" i="1"/>
  <c r="E240" i="1"/>
  <c r="P241" i="1" l="1"/>
  <c r="P240" i="1"/>
  <c r="E228" i="1"/>
  <c r="P228" i="1"/>
  <c r="J228" i="1"/>
  <c r="G269" i="1"/>
  <c r="F219" i="1" l="1"/>
  <c r="L264" i="1" l="1"/>
  <c r="I306" i="1" l="1"/>
  <c r="G231" i="1"/>
  <c r="G224" i="1" s="1"/>
  <c r="F287" i="1"/>
  <c r="O238" i="1"/>
  <c r="K238" i="1"/>
  <c r="O200" i="1"/>
  <c r="K200" i="1"/>
  <c r="O170" i="1"/>
  <c r="K170" i="1"/>
  <c r="N54" i="3" l="1"/>
  <c r="M54" i="3"/>
  <c r="L54" i="3"/>
  <c r="K54" i="3"/>
  <c r="J54" i="3"/>
  <c r="H54" i="3"/>
  <c r="G54" i="3"/>
  <c r="F54" i="3"/>
  <c r="E54" i="3"/>
  <c r="N53" i="3"/>
  <c r="M53" i="3"/>
  <c r="L53" i="3"/>
  <c r="K53" i="3"/>
  <c r="J53" i="3"/>
  <c r="H53" i="3"/>
  <c r="G53" i="3"/>
  <c r="F53" i="3"/>
  <c r="E53" i="3"/>
  <c r="N47" i="3"/>
  <c r="M47" i="3"/>
  <c r="L47" i="3"/>
  <c r="K47" i="3"/>
  <c r="J47" i="3"/>
  <c r="H47" i="3"/>
  <c r="G47" i="3"/>
  <c r="F47" i="3"/>
  <c r="E47" i="3"/>
  <c r="O65" i="1"/>
  <c r="N65" i="1"/>
  <c r="M65" i="1"/>
  <c r="L65" i="1"/>
  <c r="K65" i="1"/>
  <c r="I65" i="1"/>
  <c r="H65" i="1"/>
  <c r="G65" i="1"/>
  <c r="F65" i="1"/>
  <c r="O64" i="1"/>
  <c r="N64" i="1"/>
  <c r="M64" i="1"/>
  <c r="L64" i="1"/>
  <c r="K64" i="1"/>
  <c r="I64" i="1"/>
  <c r="H64" i="1"/>
  <c r="G64" i="1"/>
  <c r="F64" i="1"/>
  <c r="J88" i="1"/>
  <c r="I54" i="3" s="1"/>
  <c r="J87" i="1"/>
  <c r="I53" i="3" s="1"/>
  <c r="E88" i="1"/>
  <c r="E87" i="1"/>
  <c r="J81" i="1"/>
  <c r="I47" i="3" s="1"/>
  <c r="E81" i="1"/>
  <c r="P81" i="1" l="1"/>
  <c r="O47" i="3" s="1"/>
  <c r="P88" i="1"/>
  <c r="O54" i="3" s="1"/>
  <c r="P87" i="1"/>
  <c r="O53" i="3" s="1"/>
  <c r="D47" i="3"/>
  <c r="D53" i="3"/>
  <c r="D54" i="3"/>
  <c r="N212" i="3"/>
  <c r="N200" i="3" s="1"/>
  <c r="M212" i="3"/>
  <c r="M200" i="3" s="1"/>
  <c r="L212" i="3"/>
  <c r="L200" i="3" s="1"/>
  <c r="K212" i="3"/>
  <c r="K200" i="3" s="1"/>
  <c r="J212" i="3"/>
  <c r="J200" i="3" s="1"/>
  <c r="H212" i="3"/>
  <c r="H200" i="3" s="1"/>
  <c r="G212" i="3"/>
  <c r="G200" i="3" s="1"/>
  <c r="F212" i="3"/>
  <c r="F200" i="3" s="1"/>
  <c r="E212" i="3"/>
  <c r="E200" i="3" s="1"/>
  <c r="N211" i="3"/>
  <c r="M211" i="3"/>
  <c r="L211" i="3"/>
  <c r="K211" i="3"/>
  <c r="J211" i="3"/>
  <c r="H211" i="3"/>
  <c r="G211" i="3"/>
  <c r="F211" i="3"/>
  <c r="E211" i="3"/>
  <c r="N195" i="3"/>
  <c r="M195" i="3"/>
  <c r="L195" i="3"/>
  <c r="K195" i="3"/>
  <c r="J195" i="3"/>
  <c r="H195" i="3"/>
  <c r="G195" i="3"/>
  <c r="F195" i="3"/>
  <c r="E195" i="3"/>
  <c r="N194" i="3"/>
  <c r="M194" i="3"/>
  <c r="L194" i="3"/>
  <c r="K194" i="3"/>
  <c r="J194" i="3"/>
  <c r="H194" i="3"/>
  <c r="G194" i="3"/>
  <c r="F194" i="3"/>
  <c r="E194" i="3"/>
  <c r="O135" i="1" l="1"/>
  <c r="N135" i="1"/>
  <c r="M135" i="1"/>
  <c r="L135" i="1"/>
  <c r="K135" i="1"/>
  <c r="I135" i="1"/>
  <c r="H135" i="1"/>
  <c r="G135" i="1"/>
  <c r="N87" i="3"/>
  <c r="M87" i="3"/>
  <c r="L87" i="3"/>
  <c r="K87" i="3"/>
  <c r="J87" i="3"/>
  <c r="H87" i="3"/>
  <c r="G87" i="3"/>
  <c r="F87" i="3"/>
  <c r="E87" i="3"/>
  <c r="N181" i="3"/>
  <c r="M181" i="3"/>
  <c r="L181" i="3"/>
  <c r="K181" i="3"/>
  <c r="J181" i="3"/>
  <c r="J178" i="3" s="1"/>
  <c r="H181" i="3"/>
  <c r="G181" i="3"/>
  <c r="F181" i="3"/>
  <c r="E181" i="3"/>
  <c r="N72" i="3"/>
  <c r="N35" i="3" s="1"/>
  <c r="M72" i="3"/>
  <c r="M35" i="3" s="1"/>
  <c r="L72" i="3"/>
  <c r="L35" i="3" s="1"/>
  <c r="K72" i="3"/>
  <c r="K35" i="3" s="1"/>
  <c r="J72" i="3"/>
  <c r="J35" i="3" s="1"/>
  <c r="H72" i="3"/>
  <c r="H35" i="3" s="1"/>
  <c r="G72" i="3"/>
  <c r="G35" i="3" s="1"/>
  <c r="F72" i="3"/>
  <c r="F35" i="3" s="1"/>
  <c r="E72" i="3"/>
  <c r="E35" i="3" s="1"/>
  <c r="O229" i="1"/>
  <c r="N229" i="1"/>
  <c r="M229" i="1"/>
  <c r="L229" i="1"/>
  <c r="K229" i="1"/>
  <c r="I229" i="1"/>
  <c r="H229" i="1"/>
  <c r="G229" i="1"/>
  <c r="F229" i="1"/>
  <c r="J251" i="1"/>
  <c r="I195" i="3" s="1"/>
  <c r="J250" i="1"/>
  <c r="I194" i="3" s="1"/>
  <c r="E251" i="1"/>
  <c r="E250" i="1"/>
  <c r="D194" i="3" s="1"/>
  <c r="J256" i="1"/>
  <c r="I212" i="3" s="1"/>
  <c r="I200" i="3" s="1"/>
  <c r="E256" i="1"/>
  <c r="D212" i="3" s="1"/>
  <c r="D200" i="3" s="1"/>
  <c r="J255" i="1"/>
  <c r="I211" i="3" s="1"/>
  <c r="E255" i="1"/>
  <c r="D211" i="3" s="1"/>
  <c r="O76" i="1"/>
  <c r="N76" i="1"/>
  <c r="M76" i="1"/>
  <c r="L76" i="1"/>
  <c r="K76" i="1"/>
  <c r="I76" i="1"/>
  <c r="H76" i="1"/>
  <c r="G76" i="1"/>
  <c r="E117" i="1"/>
  <c r="D181" i="3" s="1"/>
  <c r="J117" i="1"/>
  <c r="I181" i="3" s="1"/>
  <c r="J105" i="1"/>
  <c r="I72" i="3" s="1"/>
  <c r="I35" i="3" s="1"/>
  <c r="E105" i="1"/>
  <c r="D72" i="3" s="1"/>
  <c r="D35" i="3" s="1"/>
  <c r="E229" i="1" l="1"/>
  <c r="D195" i="3"/>
  <c r="D178" i="3" s="1"/>
  <c r="D171" i="3" s="1"/>
  <c r="F178" i="3"/>
  <c r="F171" i="3" s="1"/>
  <c r="H178" i="3"/>
  <c r="H171" i="3" s="1"/>
  <c r="K178" i="3"/>
  <c r="K171" i="3" s="1"/>
  <c r="M178" i="3"/>
  <c r="M171" i="3" s="1"/>
  <c r="I178" i="3"/>
  <c r="I171" i="3" s="1"/>
  <c r="E178" i="3"/>
  <c r="E171" i="3" s="1"/>
  <c r="G178" i="3"/>
  <c r="G171" i="3" s="1"/>
  <c r="J171" i="3"/>
  <c r="L178" i="3"/>
  <c r="L171" i="3" s="1"/>
  <c r="N178" i="3"/>
  <c r="N171" i="3" s="1"/>
  <c r="P251" i="1"/>
  <c r="O195" i="3" s="1"/>
  <c r="J229" i="1"/>
  <c r="P255" i="1"/>
  <c r="O211" i="3" s="1"/>
  <c r="P256" i="1"/>
  <c r="O212" i="3" s="1"/>
  <c r="O200" i="3" s="1"/>
  <c r="P250" i="1"/>
  <c r="O194" i="3" s="1"/>
  <c r="P117" i="1"/>
  <c r="O181" i="3" s="1"/>
  <c r="P105" i="1"/>
  <c r="O72" i="3" s="1"/>
  <c r="O35" i="3" s="1"/>
  <c r="O178" i="3" l="1"/>
  <c r="O171" i="3" s="1"/>
  <c r="P229" i="1"/>
  <c r="F209" i="1"/>
  <c r="O169" i="1" l="1"/>
  <c r="N169" i="1"/>
  <c r="M169" i="1"/>
  <c r="L169" i="1"/>
  <c r="K169" i="1"/>
  <c r="I169" i="1"/>
  <c r="H169" i="1"/>
  <c r="G169" i="1"/>
  <c r="F169" i="1"/>
  <c r="O168" i="1"/>
  <c r="N168" i="1"/>
  <c r="M168" i="1"/>
  <c r="L168" i="1"/>
  <c r="K168" i="1"/>
  <c r="I168" i="1"/>
  <c r="H168" i="1"/>
  <c r="G168" i="1"/>
  <c r="F168" i="1"/>
  <c r="O167" i="1"/>
  <c r="N167" i="1"/>
  <c r="M167" i="1"/>
  <c r="L167" i="1"/>
  <c r="K167" i="1"/>
  <c r="I167" i="1"/>
  <c r="H167" i="1"/>
  <c r="G167" i="1"/>
  <c r="J125" i="1" l="1"/>
  <c r="E125" i="1"/>
  <c r="P125" i="1" l="1"/>
  <c r="N203" i="3" l="1"/>
  <c r="M203" i="3"/>
  <c r="L203" i="3"/>
  <c r="K203" i="3"/>
  <c r="J203" i="3"/>
  <c r="H203" i="3"/>
  <c r="G203" i="3"/>
  <c r="F203" i="3"/>
  <c r="E203" i="3"/>
  <c r="N254" i="3"/>
  <c r="M254" i="3"/>
  <c r="L254" i="3"/>
  <c r="K254" i="3"/>
  <c r="J254" i="3"/>
  <c r="H254" i="3"/>
  <c r="G254" i="3"/>
  <c r="F254" i="3"/>
  <c r="E254" i="3"/>
  <c r="M185" i="3"/>
  <c r="L185" i="3"/>
  <c r="K185" i="3"/>
  <c r="H185" i="3"/>
  <c r="G185" i="3"/>
  <c r="F185" i="3"/>
  <c r="E185" i="3"/>
  <c r="N164" i="1"/>
  <c r="M164" i="1"/>
  <c r="L164" i="1"/>
  <c r="I164" i="1"/>
  <c r="G164" i="1"/>
  <c r="F301" i="1" l="1"/>
  <c r="H224" i="1"/>
  <c r="H217" i="1"/>
  <c r="H164" i="1"/>
  <c r="O266" i="1"/>
  <c r="N256" i="3" s="1"/>
  <c r="K266" i="1"/>
  <c r="J256" i="3" s="1"/>
  <c r="F266" i="1"/>
  <c r="E256" i="3" s="1"/>
  <c r="J265" i="1"/>
  <c r="I254" i="3" s="1"/>
  <c r="E265" i="1"/>
  <c r="D254" i="3" s="1"/>
  <c r="N71" i="3"/>
  <c r="M71" i="3"/>
  <c r="L71" i="3"/>
  <c r="K71" i="3"/>
  <c r="J71" i="3"/>
  <c r="H71" i="3"/>
  <c r="G71" i="3"/>
  <c r="F71" i="3"/>
  <c r="E71" i="3"/>
  <c r="N68" i="3"/>
  <c r="M68" i="3"/>
  <c r="L68" i="3"/>
  <c r="K68" i="3"/>
  <c r="J68" i="3"/>
  <c r="H68" i="3"/>
  <c r="G68" i="3"/>
  <c r="F68" i="3"/>
  <c r="E68" i="3"/>
  <c r="J104" i="1"/>
  <c r="E104" i="1"/>
  <c r="D71" i="3" s="1"/>
  <c r="J101" i="1"/>
  <c r="I68" i="3" s="1"/>
  <c r="E101" i="1"/>
  <c r="D68" i="3" s="1"/>
  <c r="J46" i="1"/>
  <c r="I203" i="3" s="1"/>
  <c r="E46" i="1"/>
  <c r="D203" i="3" s="1"/>
  <c r="O74" i="1"/>
  <c r="N74" i="1"/>
  <c r="M74" i="1"/>
  <c r="L74" i="1"/>
  <c r="K74" i="1"/>
  <c r="I74" i="1"/>
  <c r="H74" i="1"/>
  <c r="G74" i="1"/>
  <c r="F74" i="1"/>
  <c r="O73" i="1"/>
  <c r="N73" i="1"/>
  <c r="M73" i="1"/>
  <c r="L73" i="1"/>
  <c r="K73" i="1"/>
  <c r="I73" i="1"/>
  <c r="H73" i="1"/>
  <c r="G73" i="1"/>
  <c r="F73" i="1"/>
  <c r="N151" i="3"/>
  <c r="N147" i="3" s="1"/>
  <c r="M151" i="3"/>
  <c r="M147" i="3" s="1"/>
  <c r="L151" i="3"/>
  <c r="L147" i="3" s="1"/>
  <c r="K151" i="3"/>
  <c r="K147" i="3" s="1"/>
  <c r="J151" i="3"/>
  <c r="J147" i="3" s="1"/>
  <c r="H151" i="3"/>
  <c r="H147" i="3" s="1"/>
  <c r="G151" i="3"/>
  <c r="G147" i="3" s="1"/>
  <c r="F151" i="3"/>
  <c r="F147" i="3" s="1"/>
  <c r="E151" i="3"/>
  <c r="E147" i="3" s="1"/>
  <c r="N135" i="3"/>
  <c r="N105" i="3" s="1"/>
  <c r="M135" i="3"/>
  <c r="M105" i="3" s="1"/>
  <c r="L135" i="3"/>
  <c r="L105" i="3" s="1"/>
  <c r="K135" i="3"/>
  <c r="K105" i="3" s="1"/>
  <c r="J135" i="3"/>
  <c r="J105" i="3" s="1"/>
  <c r="H135" i="3"/>
  <c r="H105" i="3" s="1"/>
  <c r="G135" i="3"/>
  <c r="G105" i="3" s="1"/>
  <c r="F135" i="3"/>
  <c r="F105" i="3" s="1"/>
  <c r="E135" i="3"/>
  <c r="E105" i="3" s="1"/>
  <c r="N134" i="3"/>
  <c r="M134" i="3"/>
  <c r="L134" i="3"/>
  <c r="K134" i="3"/>
  <c r="J134" i="3"/>
  <c r="H134" i="3"/>
  <c r="G134" i="3"/>
  <c r="F134" i="3"/>
  <c r="E134" i="3"/>
  <c r="N271" i="1"/>
  <c r="M271" i="1"/>
  <c r="L271" i="1"/>
  <c r="I271" i="1"/>
  <c r="H271" i="1"/>
  <c r="G271" i="1"/>
  <c r="J280" i="1"/>
  <c r="E280" i="1"/>
  <c r="O220" i="1"/>
  <c r="N185" i="3" s="1"/>
  <c r="K220" i="1"/>
  <c r="J185" i="3" s="1"/>
  <c r="P104" i="1" l="1"/>
  <c r="O71" i="3" s="1"/>
  <c r="P265" i="1"/>
  <c r="O254" i="3" s="1"/>
  <c r="P280" i="1"/>
  <c r="P46" i="1"/>
  <c r="O203" i="3" s="1"/>
  <c r="I71" i="3"/>
  <c r="P101" i="1"/>
  <c r="O68" i="3" s="1"/>
  <c r="F271" i="1"/>
  <c r="J196" i="1"/>
  <c r="E196" i="1"/>
  <c r="J195" i="1"/>
  <c r="I134" i="3" s="1"/>
  <c r="E195" i="1"/>
  <c r="J115" i="1"/>
  <c r="J76" i="1" s="1"/>
  <c r="E115" i="1"/>
  <c r="E76" i="1" s="1"/>
  <c r="N74" i="3"/>
  <c r="N34" i="3" s="1"/>
  <c r="M74" i="3"/>
  <c r="M34" i="3" s="1"/>
  <c r="L74" i="3"/>
  <c r="L34" i="3" s="1"/>
  <c r="K74" i="3"/>
  <c r="K34" i="3" s="1"/>
  <c r="J74" i="3"/>
  <c r="J34" i="3" s="1"/>
  <c r="H74" i="3"/>
  <c r="H34" i="3" s="1"/>
  <c r="G74" i="3"/>
  <c r="G34" i="3" s="1"/>
  <c r="F74" i="3"/>
  <c r="F34" i="3" s="1"/>
  <c r="E74" i="3"/>
  <c r="E34" i="3" s="1"/>
  <c r="N73" i="3"/>
  <c r="M73" i="3"/>
  <c r="L73" i="3"/>
  <c r="K73" i="3"/>
  <c r="J73" i="3"/>
  <c r="H73" i="3"/>
  <c r="G73" i="3"/>
  <c r="F73" i="3"/>
  <c r="E73" i="3"/>
  <c r="N70" i="3"/>
  <c r="N33" i="3" s="1"/>
  <c r="M70" i="3"/>
  <c r="M33" i="3" s="1"/>
  <c r="L70" i="3"/>
  <c r="L33" i="3" s="1"/>
  <c r="K70" i="3"/>
  <c r="K33" i="3" s="1"/>
  <c r="J70" i="3"/>
  <c r="J33" i="3" s="1"/>
  <c r="H70" i="3"/>
  <c r="H33" i="3" s="1"/>
  <c r="G70" i="3"/>
  <c r="G33" i="3" s="1"/>
  <c r="F70" i="3"/>
  <c r="F33" i="3" s="1"/>
  <c r="E70" i="3"/>
  <c r="E33" i="3" s="1"/>
  <c r="N69" i="3"/>
  <c r="M69" i="3"/>
  <c r="L69" i="3"/>
  <c r="K69" i="3"/>
  <c r="J69" i="3"/>
  <c r="H69" i="3"/>
  <c r="G69" i="3"/>
  <c r="F69" i="3"/>
  <c r="E69" i="3"/>
  <c r="E107" i="1"/>
  <c r="E106" i="1"/>
  <c r="D73" i="3" s="1"/>
  <c r="E103" i="1"/>
  <c r="E102" i="1"/>
  <c r="D69" i="3" s="1"/>
  <c r="J107" i="1"/>
  <c r="J106" i="1"/>
  <c r="P106" i="1" s="1"/>
  <c r="O73" i="3" s="1"/>
  <c r="J103" i="1"/>
  <c r="J102" i="1"/>
  <c r="P102" i="1" s="1"/>
  <c r="O69" i="3" s="1"/>
  <c r="D135" i="3" l="1"/>
  <c r="D105" i="3" s="1"/>
  <c r="E169" i="1"/>
  <c r="I135" i="3"/>
  <c r="I105" i="3" s="1"/>
  <c r="J169" i="1"/>
  <c r="I151" i="3"/>
  <c r="I147" i="3" s="1"/>
  <c r="P103" i="1"/>
  <c r="J74" i="1"/>
  <c r="P107" i="1"/>
  <c r="J73" i="1"/>
  <c r="D70" i="3"/>
  <c r="D33" i="3" s="1"/>
  <c r="E74" i="1"/>
  <c r="D74" i="3"/>
  <c r="D34" i="3" s="1"/>
  <c r="E73" i="1"/>
  <c r="P115" i="1"/>
  <c r="P76" i="1" s="1"/>
  <c r="D151" i="3"/>
  <c r="D147" i="3" s="1"/>
  <c r="P195" i="1"/>
  <c r="O134" i="3" s="1"/>
  <c r="D134" i="3"/>
  <c r="P196" i="1"/>
  <c r="I69" i="3"/>
  <c r="I73" i="3"/>
  <c r="I70" i="3"/>
  <c r="I33" i="3" s="1"/>
  <c r="I74" i="3"/>
  <c r="I34" i="3" s="1"/>
  <c r="O135" i="3" l="1"/>
  <c r="O105" i="3" s="1"/>
  <c r="P169" i="1"/>
  <c r="O151" i="3"/>
  <c r="O147" i="3" s="1"/>
  <c r="O74" i="3"/>
  <c r="O34" i="3" s="1"/>
  <c r="P73" i="1"/>
  <c r="O70" i="3"/>
  <c r="O33" i="3" s="1"/>
  <c r="P74" i="1"/>
  <c r="E248" i="3"/>
  <c r="E247" i="3" s="1"/>
  <c r="F248" i="3"/>
  <c r="F247" i="3" s="1"/>
  <c r="G248" i="3"/>
  <c r="G247" i="3" s="1"/>
  <c r="H248" i="3"/>
  <c r="H247" i="3" s="1"/>
  <c r="J248" i="3"/>
  <c r="J247" i="3" s="1"/>
  <c r="K248" i="3"/>
  <c r="K247" i="3" s="1"/>
  <c r="L248" i="3"/>
  <c r="L247" i="3" s="1"/>
  <c r="M248" i="3"/>
  <c r="M247" i="3" s="1"/>
  <c r="N248" i="3"/>
  <c r="N247" i="3" s="1"/>
  <c r="E251" i="3"/>
  <c r="E249" i="3" s="1"/>
  <c r="F251" i="3"/>
  <c r="F249" i="3" s="1"/>
  <c r="G251" i="3"/>
  <c r="G249" i="3" s="1"/>
  <c r="H251" i="3"/>
  <c r="H249" i="3" s="1"/>
  <c r="J251" i="3"/>
  <c r="J249" i="3" s="1"/>
  <c r="K251" i="3"/>
  <c r="K249" i="3" s="1"/>
  <c r="L251" i="3"/>
  <c r="L249" i="3" s="1"/>
  <c r="M251" i="3"/>
  <c r="M249" i="3" s="1"/>
  <c r="N251" i="3"/>
  <c r="N249" i="3" s="1"/>
  <c r="E252" i="3"/>
  <c r="E250" i="3" s="1"/>
  <c r="E246" i="3" s="1"/>
  <c r="F252" i="3"/>
  <c r="F250" i="3" s="1"/>
  <c r="F246" i="3" s="1"/>
  <c r="G252" i="3"/>
  <c r="G250" i="3" s="1"/>
  <c r="G246" i="3" s="1"/>
  <c r="H252" i="3"/>
  <c r="H250" i="3" s="1"/>
  <c r="H246" i="3" s="1"/>
  <c r="J252" i="3"/>
  <c r="J250" i="3" s="1"/>
  <c r="J246" i="3" s="1"/>
  <c r="K252" i="3"/>
  <c r="K250" i="3" s="1"/>
  <c r="K246" i="3" s="1"/>
  <c r="L252" i="3"/>
  <c r="L250" i="3" s="1"/>
  <c r="L246" i="3" s="1"/>
  <c r="M252" i="3"/>
  <c r="M250" i="3" s="1"/>
  <c r="M246" i="3" s="1"/>
  <c r="N252" i="3"/>
  <c r="N250" i="3" s="1"/>
  <c r="N246" i="3" s="1"/>
  <c r="E255" i="3"/>
  <c r="F255" i="3"/>
  <c r="G255" i="3"/>
  <c r="H255" i="3"/>
  <c r="J255" i="3"/>
  <c r="K255" i="3"/>
  <c r="L255" i="3"/>
  <c r="M255" i="3"/>
  <c r="N255" i="3"/>
  <c r="F257" i="3"/>
  <c r="G257" i="3"/>
  <c r="H257" i="3"/>
  <c r="J257" i="3"/>
  <c r="K257" i="3"/>
  <c r="L257" i="3"/>
  <c r="M257" i="3"/>
  <c r="N257" i="3"/>
  <c r="L253" i="3" l="1"/>
  <c r="G253" i="3"/>
  <c r="G245" i="3" s="1"/>
  <c r="M253" i="3"/>
  <c r="K253" i="3"/>
  <c r="K245" i="3" s="1"/>
  <c r="H253" i="3"/>
  <c r="H245" i="3" s="1"/>
  <c r="F253" i="3"/>
  <c r="F245" i="3" s="1"/>
  <c r="L245" i="3"/>
  <c r="M245" i="3"/>
  <c r="F224" i="1" l="1"/>
  <c r="L319" i="1" l="1"/>
  <c r="E257" i="3"/>
  <c r="F208" i="1"/>
  <c r="N196" i="3" l="1"/>
  <c r="M196" i="3"/>
  <c r="L196" i="3"/>
  <c r="K196" i="3"/>
  <c r="J196" i="3"/>
  <c r="H196" i="3"/>
  <c r="G196" i="3"/>
  <c r="F196" i="3"/>
  <c r="O227" i="1"/>
  <c r="N227" i="1"/>
  <c r="M227" i="1"/>
  <c r="L227" i="1"/>
  <c r="K227" i="1"/>
  <c r="I227" i="1"/>
  <c r="H227" i="1"/>
  <c r="G227" i="1"/>
  <c r="F227" i="1"/>
  <c r="F297" i="1"/>
  <c r="E196" i="3" s="1"/>
  <c r="O296" i="1"/>
  <c r="O293" i="1" s="1"/>
  <c r="K296" i="1"/>
  <c r="K293" i="1" s="1"/>
  <c r="N293" i="1"/>
  <c r="M293" i="1"/>
  <c r="I293" i="1"/>
  <c r="H293" i="1"/>
  <c r="G293" i="1"/>
  <c r="J297" i="1"/>
  <c r="O133" i="1"/>
  <c r="N133" i="1"/>
  <c r="M133" i="1"/>
  <c r="L133" i="1"/>
  <c r="K133" i="1"/>
  <c r="I133" i="1"/>
  <c r="H133" i="1"/>
  <c r="G133" i="1"/>
  <c r="F133" i="1"/>
  <c r="O75" i="1"/>
  <c r="N75" i="1"/>
  <c r="M75" i="1"/>
  <c r="L75" i="1"/>
  <c r="K75" i="1"/>
  <c r="I75" i="1"/>
  <c r="H75" i="1"/>
  <c r="G75" i="1"/>
  <c r="F75" i="1"/>
  <c r="E119" i="1"/>
  <c r="E118" i="1"/>
  <c r="J119" i="1"/>
  <c r="J118" i="1"/>
  <c r="O216" i="1"/>
  <c r="K216" i="1"/>
  <c r="O235" i="1"/>
  <c r="K235" i="1"/>
  <c r="O164" i="1"/>
  <c r="K164" i="1"/>
  <c r="O269" i="1"/>
  <c r="K269" i="1"/>
  <c r="O217" i="1"/>
  <c r="K217" i="1"/>
  <c r="E75" i="1" l="1"/>
  <c r="P119" i="1"/>
  <c r="E297" i="1"/>
  <c r="P297" i="1" s="1"/>
  <c r="P118" i="1"/>
  <c r="F293" i="1"/>
  <c r="J75" i="1"/>
  <c r="P75" i="1" l="1"/>
  <c r="N253" i="3"/>
  <c r="N245" i="3" s="1"/>
  <c r="J253" i="3"/>
  <c r="J245" i="3" s="1"/>
  <c r="F72" i="1"/>
  <c r="M19" i="3"/>
  <c r="L19" i="3"/>
  <c r="K19" i="3"/>
  <c r="H19" i="3"/>
  <c r="F19" i="3"/>
  <c r="N56" i="3" l="1"/>
  <c r="N26" i="3" s="1"/>
  <c r="M56" i="3"/>
  <c r="M26" i="3" s="1"/>
  <c r="L56" i="3"/>
  <c r="L26" i="3" s="1"/>
  <c r="K56" i="3"/>
  <c r="K26" i="3" s="1"/>
  <c r="J56" i="3"/>
  <c r="J26" i="3" s="1"/>
  <c r="H56" i="3"/>
  <c r="H26" i="3" s="1"/>
  <c r="G56" i="3"/>
  <c r="G26" i="3" s="1"/>
  <c r="F56" i="3"/>
  <c r="F26" i="3" s="1"/>
  <c r="E56" i="3"/>
  <c r="E26" i="3" s="1"/>
  <c r="O67" i="1"/>
  <c r="N67" i="1"/>
  <c r="M67" i="1"/>
  <c r="L67" i="1"/>
  <c r="K67" i="1"/>
  <c r="I67" i="1"/>
  <c r="H67" i="1"/>
  <c r="G67" i="1"/>
  <c r="F67" i="1"/>
  <c r="J90" i="1"/>
  <c r="I56" i="3" s="1"/>
  <c r="I26" i="3" s="1"/>
  <c r="E90" i="1"/>
  <c r="D56" i="3" s="1"/>
  <c r="D26" i="3" s="1"/>
  <c r="N21" i="3"/>
  <c r="M21" i="3"/>
  <c r="L21" i="3"/>
  <c r="K21" i="3"/>
  <c r="J21" i="3"/>
  <c r="H21" i="3"/>
  <c r="G21" i="3"/>
  <c r="F21" i="3"/>
  <c r="E21" i="3"/>
  <c r="J232" i="1"/>
  <c r="E232" i="1"/>
  <c r="G19" i="3"/>
  <c r="O208" i="1"/>
  <c r="K208" i="1"/>
  <c r="O207" i="1"/>
  <c r="K207" i="1"/>
  <c r="F164" i="1"/>
  <c r="O276" i="1"/>
  <c r="K205" i="1" l="1"/>
  <c r="O271" i="1"/>
  <c r="N19" i="3"/>
  <c r="J19" i="3"/>
  <c r="K271" i="1"/>
  <c r="P232" i="1"/>
  <c r="P90" i="1"/>
  <c r="E67" i="1"/>
  <c r="J67" i="1"/>
  <c r="L298" i="1"/>
  <c r="L293" i="1" s="1"/>
  <c r="O261" i="1"/>
  <c r="L261" i="1"/>
  <c r="L224" i="1" s="1"/>
  <c r="N209" i="3"/>
  <c r="M209" i="3"/>
  <c r="L209" i="3"/>
  <c r="K209" i="3"/>
  <c r="J209" i="3"/>
  <c r="H209" i="3"/>
  <c r="G209" i="3"/>
  <c r="F209" i="3"/>
  <c r="E209" i="3"/>
  <c r="N210" i="3"/>
  <c r="N199" i="3" s="1"/>
  <c r="M210" i="3"/>
  <c r="M199" i="3" s="1"/>
  <c r="L210" i="3"/>
  <c r="L199" i="3" s="1"/>
  <c r="K210" i="3"/>
  <c r="K199" i="3" s="1"/>
  <c r="J210" i="3"/>
  <c r="J199" i="3" s="1"/>
  <c r="H210" i="3"/>
  <c r="H199" i="3" s="1"/>
  <c r="G210" i="3"/>
  <c r="G199" i="3" s="1"/>
  <c r="F210" i="3"/>
  <c r="F199" i="3" s="1"/>
  <c r="E210" i="3"/>
  <c r="E199" i="3" s="1"/>
  <c r="N58" i="3"/>
  <c r="M58" i="3"/>
  <c r="L58" i="3"/>
  <c r="K58" i="3"/>
  <c r="J58" i="3"/>
  <c r="H58" i="3"/>
  <c r="G58" i="3"/>
  <c r="F58" i="3"/>
  <c r="E58" i="3"/>
  <c r="N59" i="3"/>
  <c r="M59" i="3"/>
  <c r="L59" i="3"/>
  <c r="K59" i="3"/>
  <c r="J59" i="3"/>
  <c r="H59" i="3"/>
  <c r="G59" i="3"/>
  <c r="F59" i="3"/>
  <c r="E59" i="3"/>
  <c r="N72" i="1"/>
  <c r="M72" i="1"/>
  <c r="L72" i="1"/>
  <c r="I72" i="1"/>
  <c r="H72" i="1"/>
  <c r="G72" i="1"/>
  <c r="J124" i="1"/>
  <c r="I252" i="3" s="1"/>
  <c r="I250" i="3" s="1"/>
  <c r="I246" i="3" s="1"/>
  <c r="J123" i="1"/>
  <c r="I251" i="3" s="1"/>
  <c r="I249" i="3" s="1"/>
  <c r="E124" i="1"/>
  <c r="E123" i="1"/>
  <c r="J93" i="1"/>
  <c r="I59" i="3" s="1"/>
  <c r="J92" i="1"/>
  <c r="I58" i="3" s="1"/>
  <c r="E93" i="1"/>
  <c r="P93" i="1" s="1"/>
  <c r="O59" i="3" s="1"/>
  <c r="E92" i="1"/>
  <c r="P92" i="1" s="1"/>
  <c r="O58" i="3" s="1"/>
  <c r="O72" i="1"/>
  <c r="K72" i="1"/>
  <c r="P123" i="1" l="1"/>
  <c r="O251" i="3" s="1"/>
  <c r="O249" i="3" s="1"/>
  <c r="P124" i="1"/>
  <c r="O252" i="3" s="1"/>
  <c r="O250" i="3" s="1"/>
  <c r="O246" i="3" s="1"/>
  <c r="D252" i="3"/>
  <c r="D250" i="3" s="1"/>
  <c r="D246" i="3" s="1"/>
  <c r="D59" i="3"/>
  <c r="O56" i="3"/>
  <c r="O26" i="3" s="1"/>
  <c r="P67" i="1"/>
  <c r="D58" i="3"/>
  <c r="D251" i="3"/>
  <c r="D249" i="3" s="1"/>
  <c r="J171" i="1" l="1"/>
  <c r="E171" i="1" l="1"/>
  <c r="P171" i="1" s="1"/>
  <c r="E19" i="3" l="1"/>
  <c r="K128" i="1"/>
  <c r="N57" i="3"/>
  <c r="N32" i="3" s="1"/>
  <c r="M57" i="3"/>
  <c r="M32" i="3" s="1"/>
  <c r="L57" i="3"/>
  <c r="L32" i="3" s="1"/>
  <c r="K57" i="3"/>
  <c r="K32" i="3" s="1"/>
  <c r="J57" i="3"/>
  <c r="J32" i="3" s="1"/>
  <c r="H57" i="3"/>
  <c r="H32" i="3" s="1"/>
  <c r="G57" i="3"/>
  <c r="G32" i="3" s="1"/>
  <c r="F57" i="3"/>
  <c r="F32" i="3" s="1"/>
  <c r="E57" i="3"/>
  <c r="E32" i="3" s="1"/>
  <c r="J91" i="1"/>
  <c r="J72" i="1" s="1"/>
  <c r="E91" i="1"/>
  <c r="E72" i="1" s="1"/>
  <c r="E253" i="3" l="1"/>
  <c r="E245" i="3" s="1"/>
  <c r="P91" i="1"/>
  <c r="P72" i="1" s="1"/>
  <c r="D57" i="3"/>
  <c r="D32" i="3" s="1"/>
  <c r="I57" i="3"/>
  <c r="I32" i="3" s="1"/>
  <c r="O245" i="1"/>
  <c r="O224" i="1" s="1"/>
  <c r="K245" i="1"/>
  <c r="K224" i="1" s="1"/>
  <c r="O57" i="3" l="1"/>
  <c r="O32" i="3" s="1"/>
  <c r="F201" i="1"/>
  <c r="F167" i="1" s="1"/>
  <c r="I224" i="1" l="1"/>
  <c r="F305" i="1"/>
  <c r="N180" i="3" l="1"/>
  <c r="M180" i="3"/>
  <c r="L180" i="3"/>
  <c r="K180" i="3"/>
  <c r="J180" i="3"/>
  <c r="H180" i="3"/>
  <c r="G180" i="3"/>
  <c r="F180" i="3"/>
  <c r="E180" i="3"/>
  <c r="K132" i="1" l="1"/>
  <c r="N55" i="3" l="1"/>
  <c r="M55" i="3"/>
  <c r="L55" i="3"/>
  <c r="K55" i="3"/>
  <c r="J55" i="3"/>
  <c r="H55" i="3"/>
  <c r="G55" i="3"/>
  <c r="F55" i="3"/>
  <c r="E55" i="3"/>
  <c r="J89" i="1"/>
  <c r="I55" i="3" s="1"/>
  <c r="E89" i="1"/>
  <c r="J291" i="1"/>
  <c r="I255" i="3" s="1"/>
  <c r="E291" i="1"/>
  <c r="D255" i="3" s="1"/>
  <c r="D55" i="3" l="1"/>
  <c r="P291" i="1"/>
  <c r="O255" i="3" s="1"/>
  <c r="P89" i="1"/>
  <c r="O55" i="3" s="1"/>
  <c r="J126" i="1"/>
  <c r="E126" i="1" l="1"/>
  <c r="N78" i="3"/>
  <c r="N31" i="3" s="1"/>
  <c r="M78" i="3"/>
  <c r="M31" i="3" s="1"/>
  <c r="L78" i="3"/>
  <c r="L31" i="3" s="1"/>
  <c r="K78" i="3"/>
  <c r="K31" i="3" s="1"/>
  <c r="J78" i="3"/>
  <c r="J31" i="3" s="1"/>
  <c r="H78" i="3"/>
  <c r="H31" i="3" s="1"/>
  <c r="G78" i="3"/>
  <c r="G31" i="3" s="1"/>
  <c r="F78" i="3"/>
  <c r="F31" i="3" s="1"/>
  <c r="E78" i="3"/>
  <c r="E31" i="3" s="1"/>
  <c r="N77" i="3"/>
  <c r="M77" i="3"/>
  <c r="L77" i="3"/>
  <c r="K77" i="3"/>
  <c r="J77" i="3"/>
  <c r="H77" i="3"/>
  <c r="G77" i="3"/>
  <c r="F77" i="3"/>
  <c r="E77" i="3"/>
  <c r="O71" i="1"/>
  <c r="N71" i="1"/>
  <c r="M71" i="1"/>
  <c r="L71" i="1"/>
  <c r="K71" i="1"/>
  <c r="I71" i="1"/>
  <c r="H71" i="1"/>
  <c r="G71" i="1"/>
  <c r="F71" i="1"/>
  <c r="J111" i="1"/>
  <c r="I78" i="3" s="1"/>
  <c r="I31" i="3" s="1"/>
  <c r="J110" i="1"/>
  <c r="I77" i="3" s="1"/>
  <c r="E111" i="1"/>
  <c r="P111" i="1" s="1"/>
  <c r="O78" i="3" s="1"/>
  <c r="O31" i="3" s="1"/>
  <c r="E110" i="1"/>
  <c r="P110" i="1" s="1"/>
  <c r="O77" i="3" s="1"/>
  <c r="D78" i="3" l="1"/>
  <c r="D31" i="3" s="1"/>
  <c r="E71" i="1"/>
  <c r="P126" i="1"/>
  <c r="D77" i="3"/>
  <c r="J71" i="1"/>
  <c r="P71" i="1"/>
  <c r="N240" i="3" l="1"/>
  <c r="M240" i="3"/>
  <c r="L240" i="3"/>
  <c r="K240" i="3"/>
  <c r="J240" i="3"/>
  <c r="H240" i="3"/>
  <c r="G240" i="3"/>
  <c r="F240" i="3"/>
  <c r="E240" i="3"/>
  <c r="M218" i="3"/>
  <c r="L218" i="3"/>
  <c r="K218" i="3"/>
  <c r="H218" i="3"/>
  <c r="G218" i="3"/>
  <c r="F218" i="3"/>
  <c r="N61" i="3"/>
  <c r="M61" i="3"/>
  <c r="L61" i="3"/>
  <c r="K61" i="3"/>
  <c r="J61" i="3"/>
  <c r="H61" i="3"/>
  <c r="G61" i="3"/>
  <c r="F61" i="3"/>
  <c r="E61" i="3"/>
  <c r="E215" i="1"/>
  <c r="J215" i="1"/>
  <c r="I61" i="3" s="1"/>
  <c r="D61" i="3" l="1"/>
  <c r="P215" i="1"/>
  <c r="O61" i="3" s="1"/>
  <c r="N228" i="3" l="1"/>
  <c r="M228" i="3"/>
  <c r="L228" i="3"/>
  <c r="K228" i="3"/>
  <c r="J228" i="3"/>
  <c r="H228" i="3"/>
  <c r="G228" i="3"/>
  <c r="F228" i="3"/>
  <c r="E228" i="3"/>
  <c r="E121" i="1"/>
  <c r="D228" i="3" s="1"/>
  <c r="J121" i="1"/>
  <c r="I228" i="3" s="1"/>
  <c r="N150" i="3"/>
  <c r="M150" i="3"/>
  <c r="L150" i="3"/>
  <c r="K150" i="3"/>
  <c r="J150" i="3"/>
  <c r="H150" i="3"/>
  <c r="G150" i="3"/>
  <c r="F150" i="3"/>
  <c r="E150" i="3"/>
  <c r="N139" i="3"/>
  <c r="M139" i="3"/>
  <c r="L139" i="3"/>
  <c r="K139" i="3"/>
  <c r="J139" i="3"/>
  <c r="H139" i="3"/>
  <c r="G139" i="3"/>
  <c r="F139" i="3"/>
  <c r="N121" i="3"/>
  <c r="M121" i="3"/>
  <c r="L121" i="3"/>
  <c r="K121" i="3"/>
  <c r="J121" i="3"/>
  <c r="H121" i="3"/>
  <c r="G121" i="3"/>
  <c r="F121" i="3"/>
  <c r="E121" i="3"/>
  <c r="N76" i="3"/>
  <c r="N29" i="3" s="1"/>
  <c r="M76" i="3"/>
  <c r="M29" i="3" s="1"/>
  <c r="L76" i="3"/>
  <c r="L29" i="3" s="1"/>
  <c r="K76" i="3"/>
  <c r="K29" i="3" s="1"/>
  <c r="J76" i="3"/>
  <c r="J29" i="3" s="1"/>
  <c r="H76" i="3"/>
  <c r="H29" i="3" s="1"/>
  <c r="G76" i="3"/>
  <c r="G29" i="3" s="1"/>
  <c r="F76" i="3"/>
  <c r="F29" i="3" s="1"/>
  <c r="E76" i="3"/>
  <c r="E29" i="3" s="1"/>
  <c r="N75" i="3"/>
  <c r="M75" i="3"/>
  <c r="L75" i="3"/>
  <c r="K75" i="3"/>
  <c r="J75" i="3"/>
  <c r="H75" i="3"/>
  <c r="G75" i="3"/>
  <c r="F75" i="3"/>
  <c r="E75" i="3"/>
  <c r="N67" i="3"/>
  <c r="M67" i="3"/>
  <c r="L67" i="3"/>
  <c r="K67" i="3"/>
  <c r="J67" i="3"/>
  <c r="H67" i="3"/>
  <c r="G67" i="3"/>
  <c r="F67" i="3"/>
  <c r="E67" i="3"/>
  <c r="B67" i="3"/>
  <c r="N66" i="3"/>
  <c r="M66" i="3"/>
  <c r="L66" i="3"/>
  <c r="K66" i="3"/>
  <c r="J66" i="3"/>
  <c r="H66" i="3"/>
  <c r="G66" i="3"/>
  <c r="F66" i="3"/>
  <c r="E66" i="3"/>
  <c r="N65" i="3"/>
  <c r="M65" i="3"/>
  <c r="L65" i="3"/>
  <c r="K65" i="3"/>
  <c r="J65" i="3"/>
  <c r="H65" i="3"/>
  <c r="G65" i="3"/>
  <c r="F65" i="3"/>
  <c r="E65" i="3"/>
  <c r="N64" i="3"/>
  <c r="M64" i="3"/>
  <c r="L64" i="3"/>
  <c r="K64" i="3"/>
  <c r="J64" i="3"/>
  <c r="H64" i="3"/>
  <c r="G64" i="3"/>
  <c r="F64" i="3"/>
  <c r="E64" i="3"/>
  <c r="N63" i="3"/>
  <c r="M63" i="3"/>
  <c r="L63" i="3"/>
  <c r="K63" i="3"/>
  <c r="J63" i="3"/>
  <c r="H63" i="3"/>
  <c r="G63" i="3"/>
  <c r="F63" i="3"/>
  <c r="E63" i="3"/>
  <c r="N62" i="3"/>
  <c r="M62" i="3"/>
  <c r="L62" i="3"/>
  <c r="K62" i="3"/>
  <c r="J62" i="3"/>
  <c r="H62" i="3"/>
  <c r="G62" i="3"/>
  <c r="F62" i="3"/>
  <c r="E62" i="3"/>
  <c r="N60" i="3"/>
  <c r="M60" i="3"/>
  <c r="L60" i="3"/>
  <c r="K60" i="3"/>
  <c r="J60" i="3"/>
  <c r="H60" i="3"/>
  <c r="G60" i="3"/>
  <c r="F60" i="3"/>
  <c r="E60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N27" i="3" s="1"/>
  <c r="M50" i="3"/>
  <c r="M27" i="3" s="1"/>
  <c r="L50" i="3"/>
  <c r="L27" i="3" s="1"/>
  <c r="K50" i="3"/>
  <c r="K27" i="3" s="1"/>
  <c r="J50" i="3"/>
  <c r="J27" i="3" s="1"/>
  <c r="H50" i="3"/>
  <c r="H27" i="3" s="1"/>
  <c r="G50" i="3"/>
  <c r="G27" i="3" s="1"/>
  <c r="F50" i="3"/>
  <c r="F27" i="3" s="1"/>
  <c r="E50" i="3"/>
  <c r="E27" i="3" s="1"/>
  <c r="N49" i="3"/>
  <c r="M49" i="3"/>
  <c r="L49" i="3"/>
  <c r="K49" i="3"/>
  <c r="J49" i="3"/>
  <c r="H49" i="3"/>
  <c r="G49" i="3"/>
  <c r="F49" i="3"/>
  <c r="E49" i="3"/>
  <c r="N48" i="3"/>
  <c r="M48" i="3"/>
  <c r="L48" i="3"/>
  <c r="K48" i="3"/>
  <c r="J48" i="3"/>
  <c r="H48" i="3"/>
  <c r="G48" i="3"/>
  <c r="F48" i="3"/>
  <c r="E48" i="3"/>
  <c r="N45" i="3"/>
  <c r="M45" i="3"/>
  <c r="L45" i="3"/>
  <c r="K45" i="3"/>
  <c r="J45" i="3"/>
  <c r="H45" i="3"/>
  <c r="G45" i="3"/>
  <c r="F45" i="3"/>
  <c r="E45" i="3"/>
  <c r="N38" i="3"/>
  <c r="M38" i="3"/>
  <c r="L38" i="3"/>
  <c r="K38" i="3"/>
  <c r="J38" i="3"/>
  <c r="H38" i="3"/>
  <c r="G38" i="3"/>
  <c r="F38" i="3"/>
  <c r="E38" i="3"/>
  <c r="N36" i="3"/>
  <c r="M36" i="3"/>
  <c r="L36" i="3"/>
  <c r="K36" i="3"/>
  <c r="J36" i="3"/>
  <c r="H36" i="3"/>
  <c r="G36" i="3"/>
  <c r="F36" i="3"/>
  <c r="E36" i="3"/>
  <c r="N25" i="3" l="1"/>
  <c r="E25" i="3"/>
  <c r="J25" i="3"/>
  <c r="G24" i="3"/>
  <c r="L24" i="3"/>
  <c r="G25" i="3"/>
  <c r="L25" i="3"/>
  <c r="F24" i="3"/>
  <c r="H24" i="3"/>
  <c r="K24" i="3"/>
  <c r="M24" i="3"/>
  <c r="F25" i="3"/>
  <c r="H25" i="3"/>
  <c r="K25" i="3"/>
  <c r="M25" i="3"/>
  <c r="J24" i="3"/>
  <c r="E24" i="3"/>
  <c r="N24" i="3"/>
  <c r="N218" i="3"/>
  <c r="P121" i="1"/>
  <c r="O228" i="3" s="1"/>
  <c r="J122" i="1"/>
  <c r="J120" i="1"/>
  <c r="J116" i="1"/>
  <c r="J114" i="1"/>
  <c r="J113" i="1"/>
  <c r="J112" i="1"/>
  <c r="E122" i="1"/>
  <c r="E120" i="1"/>
  <c r="E116" i="1"/>
  <c r="E114" i="1"/>
  <c r="E113" i="1"/>
  <c r="E112" i="1"/>
  <c r="P112" i="1" l="1"/>
  <c r="P114" i="1"/>
  <c r="P120" i="1"/>
  <c r="P116" i="1"/>
  <c r="P122" i="1"/>
  <c r="P113" i="1"/>
  <c r="O70" i="1"/>
  <c r="N70" i="1"/>
  <c r="M70" i="1"/>
  <c r="L70" i="1"/>
  <c r="K70" i="1"/>
  <c r="I70" i="1"/>
  <c r="H70" i="1"/>
  <c r="G70" i="1"/>
  <c r="F70" i="1"/>
  <c r="O68" i="1"/>
  <c r="N68" i="1"/>
  <c r="M68" i="1"/>
  <c r="L68" i="1"/>
  <c r="K68" i="1"/>
  <c r="I68" i="1"/>
  <c r="H68" i="1"/>
  <c r="G68" i="1"/>
  <c r="F68" i="1"/>
  <c r="J99" i="1"/>
  <c r="I66" i="3" s="1"/>
  <c r="E99" i="1"/>
  <c r="D66" i="3" s="1"/>
  <c r="J86" i="1"/>
  <c r="I52" i="3" s="1"/>
  <c r="E86" i="1"/>
  <c r="D52" i="3" s="1"/>
  <c r="P99" i="1" l="1"/>
  <c r="O66" i="3" s="1"/>
  <c r="P86" i="1"/>
  <c r="O52" i="3" s="1"/>
  <c r="J218" i="3" l="1"/>
  <c r="E139" i="3" l="1"/>
  <c r="D217" i="1" l="1"/>
  <c r="E218" i="3" l="1"/>
  <c r="D56" i="1" l="1"/>
  <c r="N225" i="3" l="1"/>
  <c r="M225" i="3"/>
  <c r="L225" i="3"/>
  <c r="K225" i="3"/>
  <c r="J225" i="3"/>
  <c r="H225" i="3"/>
  <c r="G225" i="3"/>
  <c r="F225" i="3"/>
  <c r="E225" i="3"/>
  <c r="N186" i="3"/>
  <c r="N189" i="3"/>
  <c r="M189" i="3"/>
  <c r="L189" i="3"/>
  <c r="K189" i="3"/>
  <c r="J189" i="3"/>
  <c r="H189" i="3"/>
  <c r="G189" i="3"/>
  <c r="F189" i="3"/>
  <c r="E189" i="3"/>
  <c r="O213" i="1"/>
  <c r="N213" i="1"/>
  <c r="M213" i="1"/>
  <c r="L213" i="1"/>
  <c r="K213" i="1"/>
  <c r="I213" i="1"/>
  <c r="H213" i="1"/>
  <c r="G213" i="1"/>
  <c r="F213" i="1"/>
  <c r="N223" i="3"/>
  <c r="M223" i="3"/>
  <c r="L223" i="3"/>
  <c r="K223" i="3"/>
  <c r="J223" i="3"/>
  <c r="H223" i="3"/>
  <c r="G223" i="3"/>
  <c r="F223" i="3"/>
  <c r="E223" i="3"/>
  <c r="O230" i="1"/>
  <c r="N230" i="1"/>
  <c r="M230" i="1"/>
  <c r="L230" i="1"/>
  <c r="K230" i="1"/>
  <c r="I230" i="1"/>
  <c r="H230" i="1"/>
  <c r="G230" i="1"/>
  <c r="F230" i="1"/>
  <c r="J296" i="1"/>
  <c r="E296" i="1"/>
  <c r="E260" i="1"/>
  <c r="D223" i="3" s="1"/>
  <c r="J260" i="1"/>
  <c r="I223" i="3" s="1"/>
  <c r="E220" i="1"/>
  <c r="D185" i="3" s="1"/>
  <c r="J220" i="1"/>
  <c r="I185" i="3" s="1"/>
  <c r="D189" i="3" l="1"/>
  <c r="I189" i="3"/>
  <c r="P220" i="1"/>
  <c r="O185" i="3" s="1"/>
  <c r="P260" i="1"/>
  <c r="E230" i="1"/>
  <c r="P296" i="1"/>
  <c r="J230" i="1"/>
  <c r="E20" i="3"/>
  <c r="F20" i="3"/>
  <c r="G20" i="3"/>
  <c r="H20" i="3"/>
  <c r="J20" i="3"/>
  <c r="K20" i="3"/>
  <c r="L20" i="3"/>
  <c r="M20" i="3"/>
  <c r="N20" i="3"/>
  <c r="O189" i="3" l="1"/>
  <c r="O223" i="3"/>
  <c r="P230" i="1"/>
  <c r="N208" i="3"/>
  <c r="M208" i="3"/>
  <c r="L208" i="3"/>
  <c r="K208" i="3"/>
  <c r="J208" i="3"/>
  <c r="H208" i="3"/>
  <c r="G208" i="3"/>
  <c r="F208" i="3"/>
  <c r="E208" i="3"/>
  <c r="J48" i="1" l="1"/>
  <c r="I208" i="3" s="1"/>
  <c r="E48" i="1"/>
  <c r="J22" i="1"/>
  <c r="I20" i="3" s="1"/>
  <c r="E22" i="1"/>
  <c r="D208" i="3" l="1"/>
  <c r="P48" i="1"/>
  <c r="O208" i="3" s="1"/>
  <c r="P22" i="1"/>
  <c r="O20" i="3" s="1"/>
  <c r="D20" i="3"/>
  <c r="F206" i="1" l="1"/>
  <c r="G206" i="1"/>
  <c r="H206" i="1"/>
  <c r="I206" i="1"/>
  <c r="K206" i="1"/>
  <c r="L206" i="1"/>
  <c r="M206" i="1"/>
  <c r="N206" i="1"/>
  <c r="O206" i="1"/>
  <c r="E88" i="3" l="1"/>
  <c r="F88" i="3"/>
  <c r="G88" i="3"/>
  <c r="H88" i="3"/>
  <c r="J88" i="3"/>
  <c r="K88" i="3"/>
  <c r="L88" i="3"/>
  <c r="M88" i="3"/>
  <c r="N88" i="3"/>
  <c r="F128" i="1" l="1"/>
  <c r="G128" i="1"/>
  <c r="H128" i="1"/>
  <c r="I128" i="1"/>
  <c r="L128" i="1"/>
  <c r="M128" i="1"/>
  <c r="N128" i="1"/>
  <c r="O128" i="1"/>
  <c r="E142" i="1"/>
  <c r="J142" i="1"/>
  <c r="I88" i="3" s="1"/>
  <c r="D142" i="1"/>
  <c r="P142" i="1" l="1"/>
  <c r="O88" i="3" s="1"/>
  <c r="D88" i="3"/>
  <c r="E207" i="3"/>
  <c r="F207" i="3"/>
  <c r="G207" i="3"/>
  <c r="H207" i="3"/>
  <c r="J207" i="3"/>
  <c r="K207" i="3"/>
  <c r="L207" i="3"/>
  <c r="M207" i="3"/>
  <c r="N207" i="3"/>
  <c r="E254" i="1"/>
  <c r="J254" i="1"/>
  <c r="F226" i="1"/>
  <c r="F324" i="1" s="1"/>
  <c r="G226" i="1"/>
  <c r="G324" i="1" s="1"/>
  <c r="H226" i="1"/>
  <c r="H324" i="1" s="1"/>
  <c r="I226" i="1"/>
  <c r="I324" i="1" s="1"/>
  <c r="K226" i="1"/>
  <c r="K324" i="1" s="1"/>
  <c r="L226" i="1"/>
  <c r="L324" i="1" s="1"/>
  <c r="M226" i="1"/>
  <c r="M324" i="1" s="1"/>
  <c r="N226" i="1"/>
  <c r="N324" i="1" s="1"/>
  <c r="O226" i="1"/>
  <c r="O324" i="1" s="1"/>
  <c r="D207" i="3" l="1"/>
  <c r="D210" i="3"/>
  <c r="D199" i="3" s="1"/>
  <c r="J226" i="1"/>
  <c r="I210" i="3"/>
  <c r="I199" i="3" s="1"/>
  <c r="E226" i="1"/>
  <c r="P254" i="1"/>
  <c r="O210" i="3" s="1"/>
  <c r="O199" i="3" s="1"/>
  <c r="I207" i="3"/>
  <c r="E211" i="1"/>
  <c r="J211" i="1"/>
  <c r="I164" i="3" s="1"/>
  <c r="L165" i="1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6" i="3"/>
  <c r="F136" i="3"/>
  <c r="G136" i="3"/>
  <c r="H136" i="3"/>
  <c r="J136" i="3"/>
  <c r="K136" i="3"/>
  <c r="L136" i="3"/>
  <c r="M136" i="3"/>
  <c r="N136" i="3"/>
  <c r="E137" i="3"/>
  <c r="E102" i="3" s="1"/>
  <c r="F137" i="3"/>
  <c r="F102" i="3" s="1"/>
  <c r="G137" i="3"/>
  <c r="G102" i="3" s="1"/>
  <c r="H137" i="3"/>
  <c r="H102" i="3" s="1"/>
  <c r="J137" i="3"/>
  <c r="J102" i="3" s="1"/>
  <c r="K137" i="3"/>
  <c r="K102" i="3" s="1"/>
  <c r="L137" i="3"/>
  <c r="L102" i="3" s="1"/>
  <c r="M137" i="3"/>
  <c r="M102" i="3" s="1"/>
  <c r="N137" i="3"/>
  <c r="N102" i="3" s="1"/>
  <c r="E194" i="1"/>
  <c r="E193" i="1"/>
  <c r="D132" i="3" s="1"/>
  <c r="J194" i="1"/>
  <c r="J168" i="1" s="1"/>
  <c r="J193" i="1"/>
  <c r="I132" i="3" s="1"/>
  <c r="E156" i="3"/>
  <c r="F156" i="3"/>
  <c r="G156" i="3"/>
  <c r="H156" i="3"/>
  <c r="J156" i="3"/>
  <c r="K156" i="3"/>
  <c r="L156" i="3"/>
  <c r="M156" i="3"/>
  <c r="N156" i="3"/>
  <c r="J197" i="1"/>
  <c r="I136" i="3" s="1"/>
  <c r="J198" i="1"/>
  <c r="J166" i="1" s="1"/>
  <c r="E197" i="1"/>
  <c r="D136" i="3" s="1"/>
  <c r="E198" i="1"/>
  <c r="F166" i="1"/>
  <c r="G166" i="1"/>
  <c r="H166" i="1"/>
  <c r="I166" i="1"/>
  <c r="K166" i="1"/>
  <c r="L166" i="1"/>
  <c r="M166" i="1"/>
  <c r="N166" i="1"/>
  <c r="O166" i="1"/>
  <c r="F165" i="1"/>
  <c r="G165" i="1"/>
  <c r="H165" i="1"/>
  <c r="I165" i="1"/>
  <c r="K165" i="1"/>
  <c r="M165" i="1"/>
  <c r="N165" i="1"/>
  <c r="O165" i="1"/>
  <c r="D165" i="1"/>
  <c r="D198" i="1"/>
  <c r="D166" i="1"/>
  <c r="D197" i="1"/>
  <c r="J23" i="1"/>
  <c r="J24" i="1"/>
  <c r="J25" i="1"/>
  <c r="J20" i="1" s="1"/>
  <c r="E25" i="1"/>
  <c r="D23" i="3" s="1"/>
  <c r="D18" i="3" s="1"/>
  <c r="D20" i="1"/>
  <c r="D25" i="1"/>
  <c r="E23" i="3"/>
  <c r="E18" i="3" s="1"/>
  <c r="F23" i="3"/>
  <c r="F18" i="3" s="1"/>
  <c r="G23" i="3"/>
  <c r="G18" i="3" s="1"/>
  <c r="H23" i="3"/>
  <c r="H18" i="3" s="1"/>
  <c r="I23" i="3"/>
  <c r="I18" i="3" s="1"/>
  <c r="J23" i="3"/>
  <c r="J18" i="3" s="1"/>
  <c r="K23" i="3"/>
  <c r="K18" i="3" s="1"/>
  <c r="L23" i="3"/>
  <c r="L18" i="3" s="1"/>
  <c r="M23" i="3"/>
  <c r="M18" i="3" s="1"/>
  <c r="N23" i="3"/>
  <c r="N18" i="3" s="1"/>
  <c r="F20" i="1"/>
  <c r="G20" i="1"/>
  <c r="H20" i="1"/>
  <c r="I20" i="1"/>
  <c r="K20" i="1"/>
  <c r="L20" i="1"/>
  <c r="M20" i="1"/>
  <c r="N20" i="1"/>
  <c r="O20" i="1"/>
  <c r="I21" i="3" l="1"/>
  <c r="E206" i="1"/>
  <c r="D164" i="3"/>
  <c r="D156" i="3" s="1"/>
  <c r="D133" i="3"/>
  <c r="D104" i="3" s="1"/>
  <c r="E168" i="1"/>
  <c r="N101" i="3"/>
  <c r="N104" i="3"/>
  <c r="L101" i="3"/>
  <c r="L104" i="3"/>
  <c r="J101" i="3"/>
  <c r="J104" i="3"/>
  <c r="G101" i="3"/>
  <c r="G104" i="3"/>
  <c r="E101" i="3"/>
  <c r="E104" i="3"/>
  <c r="M101" i="3"/>
  <c r="M104" i="3"/>
  <c r="K101" i="3"/>
  <c r="K104" i="3"/>
  <c r="H101" i="3"/>
  <c r="H104" i="3"/>
  <c r="F101" i="3"/>
  <c r="F104" i="3"/>
  <c r="P226" i="1"/>
  <c r="O207" i="3"/>
  <c r="P211" i="1"/>
  <c r="J206" i="1"/>
  <c r="P194" i="1"/>
  <c r="I156" i="3"/>
  <c r="D137" i="3"/>
  <c r="D102" i="3" s="1"/>
  <c r="I133" i="3"/>
  <c r="J165" i="1"/>
  <c r="I137" i="3"/>
  <c r="I102" i="3" s="1"/>
  <c r="P193" i="1"/>
  <c r="P197" i="1"/>
  <c r="O136" i="3" s="1"/>
  <c r="E165" i="1"/>
  <c r="P198" i="1"/>
  <c r="E166" i="1"/>
  <c r="P25" i="1"/>
  <c r="P20" i="1" s="1"/>
  <c r="E20" i="1"/>
  <c r="P206" i="1" l="1"/>
  <c r="O164" i="3"/>
  <c r="D101" i="3"/>
  <c r="O133" i="3"/>
  <c r="O104" i="3" s="1"/>
  <c r="P168" i="1"/>
  <c r="I101" i="3"/>
  <c r="I104" i="3"/>
  <c r="O101" i="3"/>
  <c r="P165" i="1"/>
  <c r="O132" i="3"/>
  <c r="P166" i="1"/>
  <c r="O137" i="3"/>
  <c r="O102" i="3" s="1"/>
  <c r="O23" i="3"/>
  <c r="O18" i="3" s="1"/>
  <c r="O156" i="3" l="1"/>
  <c r="O205" i="1"/>
  <c r="N205" i="1"/>
  <c r="M205" i="1"/>
  <c r="L205" i="1"/>
  <c r="I205" i="1"/>
  <c r="H205" i="1"/>
  <c r="J210" i="1"/>
  <c r="I163" i="3" s="1"/>
  <c r="E210" i="1"/>
  <c r="D163" i="3" s="1"/>
  <c r="E289" i="1"/>
  <c r="E287" i="1"/>
  <c r="D196" i="3" s="1"/>
  <c r="N22" i="3"/>
  <c r="M22" i="3"/>
  <c r="L22" i="3"/>
  <c r="K22" i="3"/>
  <c r="J22" i="3"/>
  <c r="H22" i="3"/>
  <c r="G22" i="3"/>
  <c r="F22" i="3"/>
  <c r="E22" i="3"/>
  <c r="I22" i="3"/>
  <c r="E24" i="1"/>
  <c r="P210" i="1" l="1"/>
  <c r="O163" i="3" s="1"/>
  <c r="P24" i="1"/>
  <c r="D22" i="3"/>
  <c r="J162" i="1"/>
  <c r="E162" i="1"/>
  <c r="O22" i="3" l="1"/>
  <c r="P162" i="1"/>
  <c r="J287" i="1" l="1"/>
  <c r="I196" i="3" s="1"/>
  <c r="P287" i="1" l="1"/>
  <c r="O196" i="3" s="1"/>
  <c r="N69" i="1" l="1"/>
  <c r="M69" i="1"/>
  <c r="L69" i="1"/>
  <c r="I69" i="1"/>
  <c r="H69" i="1"/>
  <c r="G69" i="1"/>
  <c r="J96" i="1"/>
  <c r="I63" i="3" s="1"/>
  <c r="E96" i="1"/>
  <c r="D63" i="3" s="1"/>
  <c r="P96" i="1" l="1"/>
  <c r="O63" i="3" s="1"/>
  <c r="J312" i="1"/>
  <c r="M214" i="3" l="1"/>
  <c r="M213" i="3" s="1"/>
  <c r="L214" i="3"/>
  <c r="L213" i="3" s="1"/>
  <c r="K214" i="3"/>
  <c r="K213" i="3" s="1"/>
  <c r="H214" i="3"/>
  <c r="H213" i="3" s="1"/>
  <c r="G214" i="3"/>
  <c r="G213" i="3" s="1"/>
  <c r="F214" i="3"/>
  <c r="F213" i="3" s="1"/>
  <c r="J257" i="1" l="1"/>
  <c r="E257" i="1"/>
  <c r="P257" i="1" l="1"/>
  <c r="N188" i="3" l="1"/>
  <c r="M188" i="3"/>
  <c r="L188" i="3"/>
  <c r="K188" i="3"/>
  <c r="J188" i="3"/>
  <c r="H188" i="3"/>
  <c r="G188" i="3"/>
  <c r="F188" i="3"/>
  <c r="E188" i="3"/>
  <c r="J283" i="1"/>
  <c r="E283" i="1"/>
  <c r="E281" i="1"/>
  <c r="O311" i="1"/>
  <c r="O310" i="1" s="1"/>
  <c r="N311" i="1"/>
  <c r="N310" i="1" s="1"/>
  <c r="M311" i="1"/>
  <c r="M310" i="1" s="1"/>
  <c r="L311" i="1"/>
  <c r="L310" i="1" s="1"/>
  <c r="K311" i="1"/>
  <c r="K310" i="1" s="1"/>
  <c r="J311" i="1"/>
  <c r="J310" i="1" s="1"/>
  <c r="I311" i="1"/>
  <c r="I310" i="1" s="1"/>
  <c r="H311" i="1"/>
  <c r="H310" i="1" s="1"/>
  <c r="G311" i="1"/>
  <c r="G310" i="1" s="1"/>
  <c r="F311" i="1"/>
  <c r="F310" i="1" s="1"/>
  <c r="E312" i="1"/>
  <c r="P312" i="1" s="1"/>
  <c r="P311" i="1" s="1"/>
  <c r="P310" i="1" s="1"/>
  <c r="N214" i="3"/>
  <c r="N213" i="3" s="1"/>
  <c r="J214" i="3"/>
  <c r="J213" i="3" s="1"/>
  <c r="E311" i="1" l="1"/>
  <c r="E310" i="1" s="1"/>
  <c r="P283" i="1"/>
  <c r="O69" i="1"/>
  <c r="K69" i="1"/>
  <c r="F69" i="1"/>
  <c r="O130" i="1" l="1"/>
  <c r="N130" i="1"/>
  <c r="M130" i="1"/>
  <c r="L130" i="1"/>
  <c r="K130" i="1"/>
  <c r="I130" i="1"/>
  <c r="H130" i="1"/>
  <c r="G130" i="1"/>
  <c r="F130" i="1"/>
  <c r="J157" i="1"/>
  <c r="J158" i="1"/>
  <c r="E157" i="1"/>
  <c r="E158" i="1"/>
  <c r="J133" i="1" l="1"/>
  <c r="E130" i="1"/>
  <c r="E133" i="1"/>
  <c r="P158" i="1"/>
  <c r="P157" i="1"/>
  <c r="J130" i="1"/>
  <c r="P130" i="1" l="1"/>
  <c r="P133" i="1"/>
  <c r="D245" i="1"/>
  <c r="N219" i="3" l="1"/>
  <c r="M219" i="3"/>
  <c r="L219" i="3"/>
  <c r="K219" i="3"/>
  <c r="J219" i="3"/>
  <c r="H219" i="3"/>
  <c r="G219" i="3"/>
  <c r="F219" i="3"/>
  <c r="E219" i="3"/>
  <c r="F216" i="3" l="1"/>
  <c r="F172" i="3" s="1"/>
  <c r="F261" i="3" s="1"/>
  <c r="H216" i="3"/>
  <c r="H172" i="3" s="1"/>
  <c r="H261" i="3" s="1"/>
  <c r="K216" i="3"/>
  <c r="K172" i="3" s="1"/>
  <c r="K261" i="3" s="1"/>
  <c r="M216" i="3"/>
  <c r="M172" i="3" s="1"/>
  <c r="M261" i="3" s="1"/>
  <c r="E216" i="3"/>
  <c r="E172" i="3" s="1"/>
  <c r="E261" i="3" s="1"/>
  <c r="G216" i="3"/>
  <c r="G172" i="3" s="1"/>
  <c r="G261" i="3" s="1"/>
  <c r="L216" i="3"/>
  <c r="L172" i="3" s="1"/>
  <c r="L261" i="3" s="1"/>
  <c r="N216" i="3"/>
  <c r="N172" i="3" s="1"/>
  <c r="N261" i="3" s="1"/>
  <c r="J216" i="3"/>
  <c r="J172" i="3" s="1"/>
  <c r="J261" i="3" s="1"/>
  <c r="O136" i="1"/>
  <c r="N136" i="1"/>
  <c r="M136" i="1"/>
  <c r="L136" i="1"/>
  <c r="K136" i="1"/>
  <c r="I136" i="1"/>
  <c r="H136" i="1"/>
  <c r="G136" i="1"/>
  <c r="F136" i="1"/>
  <c r="O273" i="1"/>
  <c r="N273" i="1"/>
  <c r="M273" i="1"/>
  <c r="L273" i="1"/>
  <c r="K273" i="1"/>
  <c r="I273" i="1"/>
  <c r="H273" i="1"/>
  <c r="G273" i="1"/>
  <c r="F273" i="1"/>
  <c r="E273" i="1"/>
  <c r="F326" i="1" l="1"/>
  <c r="H326" i="1"/>
  <c r="K326" i="1"/>
  <c r="M326" i="1"/>
  <c r="O326" i="1"/>
  <c r="G326" i="1"/>
  <c r="I326" i="1"/>
  <c r="L326" i="1"/>
  <c r="N326" i="1"/>
  <c r="E214" i="3" l="1"/>
  <c r="E213" i="3" s="1"/>
  <c r="M186" i="3" l="1"/>
  <c r="L186" i="3"/>
  <c r="K186" i="3"/>
  <c r="H186" i="3"/>
  <c r="G186" i="3"/>
  <c r="F186" i="3"/>
  <c r="E186" i="3"/>
  <c r="N184" i="3" l="1"/>
  <c r="M184" i="3"/>
  <c r="L184" i="3"/>
  <c r="K184" i="3"/>
  <c r="J184" i="3"/>
  <c r="H184" i="3"/>
  <c r="G184" i="3"/>
  <c r="F184" i="3"/>
  <c r="E184" i="3"/>
  <c r="M182" i="3"/>
  <c r="L182" i="3"/>
  <c r="K182" i="3"/>
  <c r="H182" i="3"/>
  <c r="G182" i="3"/>
  <c r="F182" i="3"/>
  <c r="E182" i="3"/>
  <c r="M187" i="3"/>
  <c r="L187" i="3"/>
  <c r="K187" i="3"/>
  <c r="H187" i="3"/>
  <c r="G187" i="3"/>
  <c r="F187" i="3"/>
  <c r="E187" i="3"/>
  <c r="J202" i="1" l="1"/>
  <c r="E202" i="1"/>
  <c r="D184" i="3" s="1"/>
  <c r="J154" i="1"/>
  <c r="E154" i="1"/>
  <c r="E43" i="1"/>
  <c r="E42" i="1"/>
  <c r="D186" i="3" s="1"/>
  <c r="J43" i="1"/>
  <c r="P43" i="1" s="1"/>
  <c r="J42" i="1"/>
  <c r="P42" i="1" l="1"/>
  <c r="P154" i="1"/>
  <c r="P202" i="1"/>
  <c r="O184" i="3" s="1"/>
  <c r="I184" i="3"/>
  <c r="N187" i="3"/>
  <c r="J187" i="3"/>
  <c r="E160" i="1" l="1"/>
  <c r="J160" i="1"/>
  <c r="J136" i="1" l="1"/>
  <c r="D219" i="3"/>
  <c r="E136" i="1"/>
  <c r="E326" i="1" s="1"/>
  <c r="P160" i="1"/>
  <c r="J289" i="1"/>
  <c r="J273" i="1" s="1"/>
  <c r="J326" i="1" l="1"/>
  <c r="D216" i="3"/>
  <c r="I219" i="3"/>
  <c r="P136" i="1"/>
  <c r="P289" i="1"/>
  <c r="P273" i="1" s="1"/>
  <c r="N206" i="3"/>
  <c r="M206" i="3"/>
  <c r="L206" i="3"/>
  <c r="K206" i="3"/>
  <c r="J206" i="3"/>
  <c r="H206" i="3"/>
  <c r="G206" i="3"/>
  <c r="F206" i="3"/>
  <c r="E206" i="3"/>
  <c r="N140" i="3"/>
  <c r="M140" i="3"/>
  <c r="L140" i="3"/>
  <c r="K140" i="3"/>
  <c r="J140" i="3"/>
  <c r="H140" i="3"/>
  <c r="G140" i="3"/>
  <c r="F140" i="3"/>
  <c r="N126" i="3"/>
  <c r="M126" i="3"/>
  <c r="L126" i="3"/>
  <c r="K126" i="3"/>
  <c r="J126" i="3"/>
  <c r="H126" i="3"/>
  <c r="G126" i="3"/>
  <c r="F126" i="3"/>
  <c r="E126" i="3"/>
  <c r="N124" i="3"/>
  <c r="M124" i="3"/>
  <c r="L124" i="3"/>
  <c r="K124" i="3"/>
  <c r="J124" i="3"/>
  <c r="H124" i="3"/>
  <c r="G124" i="3"/>
  <c r="F124" i="3"/>
  <c r="E124" i="3"/>
  <c r="N115" i="3"/>
  <c r="M115" i="3"/>
  <c r="L115" i="3"/>
  <c r="K115" i="3"/>
  <c r="J115" i="3"/>
  <c r="H115" i="3"/>
  <c r="G115" i="3"/>
  <c r="F115" i="3"/>
  <c r="E115" i="3"/>
  <c r="N113" i="3"/>
  <c r="M113" i="3"/>
  <c r="L113" i="3"/>
  <c r="K113" i="3"/>
  <c r="J113" i="3"/>
  <c r="H113" i="3"/>
  <c r="G113" i="3"/>
  <c r="F113" i="3"/>
  <c r="E113" i="3"/>
  <c r="N109" i="3"/>
  <c r="M109" i="3"/>
  <c r="L109" i="3"/>
  <c r="K109" i="3"/>
  <c r="J109" i="3"/>
  <c r="H109" i="3"/>
  <c r="G109" i="3"/>
  <c r="F109" i="3"/>
  <c r="N97" i="3"/>
  <c r="M97" i="3"/>
  <c r="L97" i="3"/>
  <c r="K97" i="3"/>
  <c r="J97" i="3"/>
  <c r="H97" i="3"/>
  <c r="G97" i="3"/>
  <c r="F97" i="3"/>
  <c r="E97" i="3"/>
  <c r="N96" i="3"/>
  <c r="M96" i="3"/>
  <c r="L96" i="3"/>
  <c r="K96" i="3"/>
  <c r="J96" i="3"/>
  <c r="H96" i="3"/>
  <c r="G96" i="3"/>
  <c r="F96" i="3"/>
  <c r="E96" i="3"/>
  <c r="N94" i="3"/>
  <c r="M94" i="3"/>
  <c r="L94" i="3"/>
  <c r="K94" i="3"/>
  <c r="J94" i="3"/>
  <c r="H94" i="3"/>
  <c r="G94" i="3"/>
  <c r="F94" i="3"/>
  <c r="E94" i="3"/>
  <c r="N92" i="3"/>
  <c r="M92" i="3"/>
  <c r="L92" i="3"/>
  <c r="K92" i="3"/>
  <c r="J92" i="3"/>
  <c r="H92" i="3"/>
  <c r="G92" i="3"/>
  <c r="F92" i="3"/>
  <c r="E92" i="3"/>
  <c r="N90" i="3"/>
  <c r="M90" i="3"/>
  <c r="L90" i="3"/>
  <c r="K90" i="3"/>
  <c r="J90" i="3"/>
  <c r="I90" i="3"/>
  <c r="H90" i="3"/>
  <c r="G90" i="3"/>
  <c r="F90" i="3"/>
  <c r="E90" i="3"/>
  <c r="N86" i="3"/>
  <c r="M86" i="3"/>
  <c r="L86" i="3"/>
  <c r="K86" i="3"/>
  <c r="J86" i="3"/>
  <c r="H86" i="3"/>
  <c r="G86" i="3"/>
  <c r="F86" i="3"/>
  <c r="N85" i="3"/>
  <c r="M85" i="3"/>
  <c r="L85" i="3"/>
  <c r="K85" i="3"/>
  <c r="J85" i="3"/>
  <c r="H85" i="3"/>
  <c r="G85" i="3"/>
  <c r="F85" i="3"/>
  <c r="E85" i="3"/>
  <c r="J69" i="1"/>
  <c r="E69" i="1"/>
  <c r="O129" i="1"/>
  <c r="N129" i="1"/>
  <c r="M129" i="1"/>
  <c r="L129" i="1"/>
  <c r="K129" i="1"/>
  <c r="I129" i="1"/>
  <c r="H129" i="1"/>
  <c r="G129" i="1"/>
  <c r="F129" i="1"/>
  <c r="F103" i="3" l="1"/>
  <c r="H103" i="3"/>
  <c r="K103" i="3"/>
  <c r="M103" i="3"/>
  <c r="G103" i="3"/>
  <c r="J103" i="3"/>
  <c r="L103" i="3"/>
  <c r="N103" i="3"/>
  <c r="D172" i="3"/>
  <c r="D261" i="3" s="1"/>
  <c r="P326" i="1"/>
  <c r="I216" i="3"/>
  <c r="I172" i="3" s="1"/>
  <c r="I261" i="3" s="1"/>
  <c r="O219" i="3"/>
  <c r="P69" i="1"/>
  <c r="O216" i="3" l="1"/>
  <c r="O172" i="3" s="1"/>
  <c r="O261" i="3" s="1"/>
  <c r="O225" i="1"/>
  <c r="N225" i="1"/>
  <c r="M225" i="1"/>
  <c r="L225" i="1"/>
  <c r="K225" i="1"/>
  <c r="I225" i="1"/>
  <c r="H225" i="1"/>
  <c r="G225" i="1"/>
  <c r="F225" i="1"/>
  <c r="O131" i="1" l="1"/>
  <c r="N131" i="1"/>
  <c r="M131" i="1"/>
  <c r="L131" i="1"/>
  <c r="K131" i="1"/>
  <c r="I131" i="1"/>
  <c r="H131" i="1"/>
  <c r="G131" i="1"/>
  <c r="O132" i="1" l="1"/>
  <c r="N132" i="1"/>
  <c r="M132" i="1"/>
  <c r="L132" i="1"/>
  <c r="I132" i="1"/>
  <c r="H132" i="1"/>
  <c r="G132" i="1"/>
  <c r="J141" i="1"/>
  <c r="E141" i="1"/>
  <c r="J140" i="1"/>
  <c r="I86" i="3" s="1"/>
  <c r="J139" i="1"/>
  <c r="I85" i="3" s="1"/>
  <c r="E139" i="1"/>
  <c r="D85" i="3" s="1"/>
  <c r="J146" i="1"/>
  <c r="I92" i="3" s="1"/>
  <c r="E146" i="1"/>
  <c r="D92" i="3" s="1"/>
  <c r="E144" i="1"/>
  <c r="E135" i="1" l="1"/>
  <c r="D87" i="3"/>
  <c r="D83" i="3" s="1"/>
  <c r="J135" i="1"/>
  <c r="I87" i="3"/>
  <c r="F131" i="1"/>
  <c r="E86" i="3"/>
  <c r="P144" i="1"/>
  <c r="O90" i="3" s="1"/>
  <c r="D90" i="3"/>
  <c r="E129" i="1"/>
  <c r="J129" i="1"/>
  <c r="E140" i="1"/>
  <c r="P146" i="1"/>
  <c r="O92" i="3" s="1"/>
  <c r="P139" i="1"/>
  <c r="O85" i="3" s="1"/>
  <c r="P141" i="1"/>
  <c r="P135" i="1" l="1"/>
  <c r="O87" i="3"/>
  <c r="P140" i="1"/>
  <c r="O86" i="3" s="1"/>
  <c r="D86" i="3"/>
  <c r="P129" i="1"/>
  <c r="N198" i="3"/>
  <c r="N169" i="3" s="1"/>
  <c r="M198" i="3"/>
  <c r="M169" i="3" s="1"/>
  <c r="L198" i="3"/>
  <c r="L169" i="3" s="1"/>
  <c r="K198" i="3"/>
  <c r="K169" i="3" s="1"/>
  <c r="J198" i="3"/>
  <c r="J169" i="3" s="1"/>
  <c r="H198" i="3"/>
  <c r="H169" i="3" s="1"/>
  <c r="G198" i="3"/>
  <c r="G169" i="3" s="1"/>
  <c r="F198" i="3"/>
  <c r="F169" i="3" s="1"/>
  <c r="E198" i="3"/>
  <c r="E169" i="3" s="1"/>
  <c r="N176" i="3"/>
  <c r="N259" i="3" s="1"/>
  <c r="M176" i="3"/>
  <c r="M259" i="3" s="1"/>
  <c r="L176" i="3"/>
  <c r="L259" i="3" s="1"/>
  <c r="K176" i="3"/>
  <c r="K259" i="3" s="1"/>
  <c r="J176" i="3"/>
  <c r="J259" i="3" s="1"/>
  <c r="H176" i="3"/>
  <c r="H259" i="3" s="1"/>
  <c r="G176" i="3"/>
  <c r="G259" i="3" s="1"/>
  <c r="F176" i="3"/>
  <c r="F259" i="3" s="1"/>
  <c r="E176" i="3"/>
  <c r="E259" i="3" s="1"/>
  <c r="N82" i="3"/>
  <c r="M82" i="3"/>
  <c r="L82" i="3"/>
  <c r="K82" i="3"/>
  <c r="J82" i="3"/>
  <c r="H82" i="3"/>
  <c r="G82" i="3"/>
  <c r="F82" i="3"/>
  <c r="E82" i="3"/>
  <c r="N83" i="3"/>
  <c r="M83" i="3"/>
  <c r="L83" i="3"/>
  <c r="K83" i="3"/>
  <c r="J83" i="3"/>
  <c r="H83" i="3"/>
  <c r="G83" i="3"/>
  <c r="F83" i="3"/>
  <c r="E83" i="3"/>
  <c r="N81" i="3"/>
  <c r="M81" i="3"/>
  <c r="L81" i="3"/>
  <c r="K81" i="3"/>
  <c r="J81" i="3"/>
  <c r="H81" i="3"/>
  <c r="G81" i="3"/>
  <c r="F81" i="3"/>
  <c r="H80" i="3"/>
  <c r="G80" i="3"/>
  <c r="F80" i="3"/>
  <c r="E80" i="3"/>
  <c r="F168" i="3" l="1"/>
  <c r="H168" i="3"/>
  <c r="K168" i="3"/>
  <c r="M168" i="3"/>
  <c r="E168" i="3"/>
  <c r="G168" i="3"/>
  <c r="J168" i="3"/>
  <c r="L168" i="3"/>
  <c r="N168" i="3"/>
  <c r="K80" i="3"/>
  <c r="M80" i="3"/>
  <c r="J80" i="3"/>
  <c r="L80" i="3"/>
  <c r="N80" i="3"/>
  <c r="J253" i="1"/>
  <c r="E253" i="1"/>
  <c r="D206" i="3" s="1"/>
  <c r="J249" i="1"/>
  <c r="I193" i="3" s="1"/>
  <c r="E249" i="1"/>
  <c r="D193" i="3" s="1"/>
  <c r="J201" i="1"/>
  <c r="I140" i="3" s="1"/>
  <c r="J187" i="1"/>
  <c r="I126" i="3" s="1"/>
  <c r="E187" i="1"/>
  <c r="D126" i="3" s="1"/>
  <c r="J185" i="1"/>
  <c r="I124" i="3" s="1"/>
  <c r="E185" i="1"/>
  <c r="D124" i="3" s="1"/>
  <c r="J181" i="1"/>
  <c r="I115" i="3" s="1"/>
  <c r="E181" i="1"/>
  <c r="D115" i="3" s="1"/>
  <c r="J179" i="1"/>
  <c r="I113" i="3" s="1"/>
  <c r="E179" i="1"/>
  <c r="D113" i="3" s="1"/>
  <c r="J175" i="1"/>
  <c r="J151" i="1"/>
  <c r="I97" i="3" s="1"/>
  <c r="E151" i="1"/>
  <c r="J150" i="1"/>
  <c r="E150" i="1"/>
  <c r="J148" i="1"/>
  <c r="I94" i="3" s="1"/>
  <c r="E148" i="1"/>
  <c r="J109" i="1"/>
  <c r="E109" i="1"/>
  <c r="J95" i="1"/>
  <c r="I62" i="3" s="1"/>
  <c r="E95" i="1"/>
  <c r="D62" i="3" s="1"/>
  <c r="J84" i="1"/>
  <c r="I50" i="3" s="1"/>
  <c r="I27" i="3" s="1"/>
  <c r="E84" i="1"/>
  <c r="D50" i="3" s="1"/>
  <c r="D27" i="3" s="1"/>
  <c r="J83" i="1"/>
  <c r="E83" i="1"/>
  <c r="J80" i="1"/>
  <c r="I45" i="3" s="1"/>
  <c r="I49" i="3" l="1"/>
  <c r="I25" i="3" s="1"/>
  <c r="J65" i="1"/>
  <c r="D49" i="3"/>
  <c r="D25" i="3" s="1"/>
  <c r="E65" i="1"/>
  <c r="J167" i="1"/>
  <c r="J227" i="1"/>
  <c r="E227" i="1"/>
  <c r="D176" i="3"/>
  <c r="D97" i="3"/>
  <c r="E132" i="1"/>
  <c r="D94" i="3"/>
  <c r="J70" i="1"/>
  <c r="I76" i="3"/>
  <c r="I29" i="3" s="1"/>
  <c r="E70" i="1"/>
  <c r="D76" i="3"/>
  <c r="D29" i="3" s="1"/>
  <c r="J68" i="1"/>
  <c r="E68" i="1"/>
  <c r="E175" i="1"/>
  <c r="E109" i="3"/>
  <c r="E201" i="1"/>
  <c r="E140" i="3"/>
  <c r="I109" i="3"/>
  <c r="I103" i="3" s="1"/>
  <c r="J225" i="1"/>
  <c r="I206" i="3"/>
  <c r="E131" i="1"/>
  <c r="D96" i="3"/>
  <c r="J131" i="1"/>
  <c r="I96" i="3"/>
  <c r="P253" i="1"/>
  <c r="E225" i="1"/>
  <c r="P249" i="1"/>
  <c r="O193" i="3" s="1"/>
  <c r="J132" i="1"/>
  <c r="E80" i="1"/>
  <c r="P179" i="1"/>
  <c r="O113" i="3" s="1"/>
  <c r="P181" i="1"/>
  <c r="O115" i="3" s="1"/>
  <c r="P185" i="1"/>
  <c r="O124" i="3" s="1"/>
  <c r="P187" i="1"/>
  <c r="O126" i="3" s="1"/>
  <c r="P148" i="1"/>
  <c r="O94" i="3" s="1"/>
  <c r="P150" i="1"/>
  <c r="P151" i="1"/>
  <c r="O97" i="3" s="1"/>
  <c r="P83" i="1"/>
  <c r="P84" i="1"/>
  <c r="O50" i="3" s="1"/>
  <c r="O27" i="3" s="1"/>
  <c r="P95" i="1"/>
  <c r="O62" i="3" s="1"/>
  <c r="P109" i="1"/>
  <c r="E324" i="1" l="1"/>
  <c r="J324" i="1"/>
  <c r="D82" i="3"/>
  <c r="D259" i="3"/>
  <c r="O49" i="3"/>
  <c r="O25" i="3" s="1"/>
  <c r="P65" i="1"/>
  <c r="E167" i="1"/>
  <c r="E103" i="3"/>
  <c r="D109" i="3"/>
  <c r="P227" i="1"/>
  <c r="P201" i="1"/>
  <c r="O140" i="3" s="1"/>
  <c r="P70" i="1"/>
  <c r="O76" i="3"/>
  <c r="O29" i="3" s="1"/>
  <c r="D45" i="3"/>
  <c r="P68" i="1"/>
  <c r="D140" i="3"/>
  <c r="P175" i="1"/>
  <c r="P225" i="1"/>
  <c r="O206" i="3"/>
  <c r="P131" i="1"/>
  <c r="O96" i="3"/>
  <c r="P80" i="1"/>
  <c r="P132" i="1"/>
  <c r="P324" i="1" l="1"/>
  <c r="P167" i="1"/>
  <c r="D103" i="3"/>
  <c r="O109" i="3"/>
  <c r="O103" i="3" s="1"/>
  <c r="O45" i="3"/>
  <c r="C232" i="3"/>
  <c r="N235" i="3"/>
  <c r="M235" i="3"/>
  <c r="L235" i="3"/>
  <c r="K235" i="3"/>
  <c r="J235" i="3"/>
  <c r="H235" i="3"/>
  <c r="G235" i="3"/>
  <c r="F235" i="3"/>
  <c r="E235" i="3"/>
  <c r="E232" i="3" s="1"/>
  <c r="E230" i="3" s="1"/>
  <c r="D57" i="1"/>
  <c r="O19" i="1"/>
  <c r="O325" i="1" s="1"/>
  <c r="N19" i="1"/>
  <c r="N325" i="1" s="1"/>
  <c r="M19" i="1"/>
  <c r="M325" i="1" s="1"/>
  <c r="L19" i="1"/>
  <c r="L325" i="1" s="1"/>
  <c r="K19" i="1"/>
  <c r="K325" i="1" s="1"/>
  <c r="I19" i="1"/>
  <c r="I325" i="1" s="1"/>
  <c r="H19" i="1"/>
  <c r="H325" i="1" s="1"/>
  <c r="G19" i="1"/>
  <c r="G325" i="1" s="1"/>
  <c r="F19" i="1"/>
  <c r="F325" i="1" s="1"/>
  <c r="J57" i="1"/>
  <c r="J19" i="1" s="1"/>
  <c r="J325" i="1" s="1"/>
  <c r="E57" i="1"/>
  <c r="E19" i="1" s="1"/>
  <c r="E325" i="1" s="1"/>
  <c r="G260" i="3" l="1"/>
  <c r="J260" i="3"/>
  <c r="L260" i="3"/>
  <c r="N260" i="3"/>
  <c r="E260" i="3"/>
  <c r="F260" i="3"/>
  <c r="H260" i="3"/>
  <c r="K260" i="3"/>
  <c r="M260" i="3"/>
  <c r="F232" i="3"/>
  <c r="F230" i="3" s="1"/>
  <c r="K232" i="3"/>
  <c r="K230" i="3" s="1"/>
  <c r="M232" i="3"/>
  <c r="M230" i="3" s="1"/>
  <c r="H232" i="3"/>
  <c r="H230" i="3" s="1"/>
  <c r="G232" i="3"/>
  <c r="G230" i="3" s="1"/>
  <c r="J232" i="3"/>
  <c r="J230" i="3" s="1"/>
  <c r="L232" i="3"/>
  <c r="L230" i="3" s="1"/>
  <c r="N232" i="3"/>
  <c r="N230" i="3" s="1"/>
  <c r="I235" i="3"/>
  <c r="P57" i="1"/>
  <c r="D235" i="3"/>
  <c r="I232" i="3" l="1"/>
  <c r="I230" i="3" s="1"/>
  <c r="D232" i="3"/>
  <c r="D230" i="3" s="1"/>
  <c r="P19" i="1"/>
  <c r="P325" i="1" s="1"/>
  <c r="O235" i="3"/>
  <c r="O232" i="3" l="1"/>
  <c r="O230" i="3" s="1"/>
  <c r="E153" i="1"/>
  <c r="J62" i="1"/>
  <c r="E62" i="1"/>
  <c r="I257" i="3" l="1"/>
  <c r="D257" i="3"/>
  <c r="P62" i="1"/>
  <c r="O257" i="3" l="1"/>
  <c r="J245" i="1"/>
  <c r="I188" i="3" s="1"/>
  <c r="E245" i="1"/>
  <c r="D188" i="3" s="1"/>
  <c r="C245" i="1"/>
  <c r="P245" i="1" l="1"/>
  <c r="O188" i="3" s="1"/>
  <c r="J186" i="3" l="1"/>
  <c r="G205" i="1"/>
  <c r="F205" i="1" l="1"/>
  <c r="E233" i="3" l="1"/>
  <c r="F233" i="3"/>
  <c r="G233" i="3"/>
  <c r="H233" i="3"/>
  <c r="J233" i="3"/>
  <c r="K233" i="3"/>
  <c r="L233" i="3"/>
  <c r="M233" i="3"/>
  <c r="N233" i="3"/>
  <c r="J262" i="1"/>
  <c r="E262" i="1"/>
  <c r="C262" i="1"/>
  <c r="D262" i="1"/>
  <c r="B262" i="1"/>
  <c r="P262" i="1" l="1"/>
  <c r="E237" i="3" l="1"/>
  <c r="F237" i="3"/>
  <c r="G237" i="3"/>
  <c r="H237" i="3"/>
  <c r="J237" i="3"/>
  <c r="K237" i="3"/>
  <c r="L237" i="3"/>
  <c r="M237" i="3"/>
  <c r="N237" i="3"/>
  <c r="J263" i="1"/>
  <c r="E263" i="1"/>
  <c r="C263" i="1"/>
  <c r="D263" i="1"/>
  <c r="B263" i="1"/>
  <c r="P263" i="1" l="1"/>
  <c r="E202" i="3" l="1"/>
  <c r="F202" i="3"/>
  <c r="G202" i="3"/>
  <c r="H202" i="3"/>
  <c r="J202" i="3"/>
  <c r="K202" i="3"/>
  <c r="L202" i="3"/>
  <c r="M202" i="3"/>
  <c r="N202" i="3"/>
  <c r="E204" i="3"/>
  <c r="F204" i="3"/>
  <c r="G204" i="3"/>
  <c r="H204" i="3"/>
  <c r="J204" i="3"/>
  <c r="K204" i="3"/>
  <c r="L204" i="3"/>
  <c r="M204" i="3"/>
  <c r="N204" i="3"/>
  <c r="E45" i="1"/>
  <c r="E47" i="1"/>
  <c r="J44" i="1"/>
  <c r="J45" i="1"/>
  <c r="I202" i="3" s="1"/>
  <c r="J47" i="1"/>
  <c r="I204" i="3" s="1"/>
  <c r="C45" i="1"/>
  <c r="D45" i="1"/>
  <c r="D47" i="1"/>
  <c r="B47" i="1"/>
  <c r="B45" i="1"/>
  <c r="D204" i="3" l="1"/>
  <c r="P47" i="1"/>
  <c r="O204" i="3" s="1"/>
  <c r="P45" i="1"/>
  <c r="O202" i="3" s="1"/>
  <c r="D202" i="3"/>
  <c r="N182" i="3" l="1"/>
  <c r="J182" i="3" l="1"/>
  <c r="E205" i="3" l="1"/>
  <c r="F205" i="3"/>
  <c r="G205" i="3"/>
  <c r="H205" i="3"/>
  <c r="J205" i="3"/>
  <c r="K205" i="3"/>
  <c r="L205" i="3"/>
  <c r="M205" i="3"/>
  <c r="N205" i="3"/>
  <c r="J252" i="1"/>
  <c r="E252" i="1"/>
  <c r="D209" i="3" s="1"/>
  <c r="B252" i="1"/>
  <c r="I205" i="3" l="1"/>
  <c r="I209" i="3"/>
  <c r="P252" i="1"/>
  <c r="D205" i="3"/>
  <c r="N190" i="3"/>
  <c r="M190" i="3"/>
  <c r="L190" i="3"/>
  <c r="K190" i="3"/>
  <c r="J190" i="3"/>
  <c r="H190" i="3"/>
  <c r="G190" i="3"/>
  <c r="F190" i="3"/>
  <c r="E190" i="3"/>
  <c r="J156" i="1"/>
  <c r="E156" i="1"/>
  <c r="D156" i="1"/>
  <c r="C156" i="1"/>
  <c r="B156" i="1"/>
  <c r="D284" i="1"/>
  <c r="C284" i="1"/>
  <c r="B284" i="1"/>
  <c r="D246" i="1"/>
  <c r="C246" i="1"/>
  <c r="B246" i="1"/>
  <c r="O205" i="3" l="1"/>
  <c r="O209" i="3"/>
  <c r="P156" i="1"/>
  <c r="J284" i="1"/>
  <c r="E284" i="1"/>
  <c r="J246" i="1"/>
  <c r="E246" i="1"/>
  <c r="D190" i="3" l="1"/>
  <c r="P284" i="1"/>
  <c r="I190" i="3"/>
  <c r="P246" i="1"/>
  <c r="O190" i="3" l="1"/>
  <c r="K303" i="1"/>
  <c r="J290" i="1" l="1"/>
  <c r="E290" i="1"/>
  <c r="E248" i="1"/>
  <c r="J248" i="1" l="1"/>
  <c r="P290" i="1"/>
  <c r="P248" i="1" l="1"/>
  <c r="J285" i="1"/>
  <c r="I192" i="3" s="1"/>
  <c r="E285" i="1"/>
  <c r="D192" i="3" s="1"/>
  <c r="P285" i="1" l="1"/>
  <c r="O192" i="3" s="1"/>
  <c r="N227" i="3" l="1"/>
  <c r="M227" i="3"/>
  <c r="L227" i="3"/>
  <c r="K227" i="3"/>
  <c r="J227" i="3"/>
  <c r="H227" i="3"/>
  <c r="G227" i="3"/>
  <c r="F227" i="3"/>
  <c r="E227" i="3"/>
  <c r="J161" i="1"/>
  <c r="I227" i="3" s="1"/>
  <c r="E161" i="1"/>
  <c r="D227" i="3" s="1"/>
  <c r="P161" i="1" l="1"/>
  <c r="D173" i="1"/>
  <c r="O227" i="3" l="1"/>
  <c r="B281" i="1" l="1"/>
  <c r="J281" i="1"/>
  <c r="I186" i="3" s="1"/>
  <c r="P281" i="1" l="1"/>
  <c r="O186" i="3" s="1"/>
  <c r="D203" i="1" l="1"/>
  <c r="F226" i="3"/>
  <c r="G226" i="3"/>
  <c r="H226" i="3"/>
  <c r="J226" i="3"/>
  <c r="K226" i="3"/>
  <c r="L226" i="3"/>
  <c r="M226" i="3"/>
  <c r="N226" i="3"/>
  <c r="F166" i="3"/>
  <c r="G166" i="3"/>
  <c r="H166" i="3"/>
  <c r="J166" i="3"/>
  <c r="K166" i="3"/>
  <c r="L166" i="3"/>
  <c r="M166" i="3"/>
  <c r="N166" i="3"/>
  <c r="G314" i="1"/>
  <c r="H314" i="1"/>
  <c r="I314" i="1"/>
  <c r="K314" i="1"/>
  <c r="L314" i="1"/>
  <c r="M314" i="1"/>
  <c r="N314" i="1"/>
  <c r="O314" i="1"/>
  <c r="G303" i="1"/>
  <c r="H303" i="1"/>
  <c r="L303" i="1"/>
  <c r="M303" i="1"/>
  <c r="N303" i="1"/>
  <c r="O303" i="1"/>
  <c r="G127" i="1"/>
  <c r="H127" i="1"/>
  <c r="I127" i="1"/>
  <c r="L127" i="1"/>
  <c r="M127" i="1"/>
  <c r="N127" i="1"/>
  <c r="I303" i="1" l="1"/>
  <c r="E226" i="3" l="1"/>
  <c r="F303" i="1" l="1"/>
  <c r="F127" i="1"/>
  <c r="D266" i="1" l="1"/>
  <c r="F314" i="1" l="1"/>
  <c r="O127" i="1" l="1"/>
  <c r="K127" i="1"/>
  <c r="J222" i="1"/>
  <c r="E222" i="1"/>
  <c r="C222" i="1"/>
  <c r="D222" i="1"/>
  <c r="B222" i="1"/>
  <c r="P222" i="1" l="1"/>
  <c r="E17" i="3"/>
  <c r="F17" i="3"/>
  <c r="G17" i="3"/>
  <c r="H17" i="3"/>
  <c r="J17" i="3"/>
  <c r="K17" i="3"/>
  <c r="L17" i="3"/>
  <c r="M17" i="3"/>
  <c r="N17" i="3"/>
  <c r="E84" i="3"/>
  <c r="F84" i="3"/>
  <c r="G84" i="3"/>
  <c r="H84" i="3"/>
  <c r="J84" i="3"/>
  <c r="K84" i="3"/>
  <c r="L84" i="3"/>
  <c r="M84" i="3"/>
  <c r="N84" i="3"/>
  <c r="E89" i="3"/>
  <c r="F89" i="3"/>
  <c r="G89" i="3"/>
  <c r="H89" i="3"/>
  <c r="J89" i="3"/>
  <c r="K89" i="3"/>
  <c r="L89" i="3"/>
  <c r="M89" i="3"/>
  <c r="N89" i="3"/>
  <c r="E91" i="3"/>
  <c r="F91" i="3"/>
  <c r="G91" i="3"/>
  <c r="H91" i="3"/>
  <c r="J91" i="3"/>
  <c r="K91" i="3"/>
  <c r="L91" i="3"/>
  <c r="M91" i="3"/>
  <c r="N91" i="3"/>
  <c r="E93" i="3"/>
  <c r="F93" i="3"/>
  <c r="G93" i="3"/>
  <c r="H93" i="3"/>
  <c r="J93" i="3"/>
  <c r="K93" i="3"/>
  <c r="L93" i="3"/>
  <c r="M93" i="3"/>
  <c r="N93" i="3"/>
  <c r="E95" i="3"/>
  <c r="F95" i="3"/>
  <c r="G95" i="3"/>
  <c r="H95" i="3"/>
  <c r="J95" i="3"/>
  <c r="K95" i="3"/>
  <c r="L95" i="3"/>
  <c r="M95" i="3"/>
  <c r="N95" i="3"/>
  <c r="E98" i="3"/>
  <c r="F98" i="3"/>
  <c r="G98" i="3"/>
  <c r="H98" i="3"/>
  <c r="J98" i="3"/>
  <c r="K98" i="3"/>
  <c r="L98" i="3"/>
  <c r="M98" i="3"/>
  <c r="N98" i="3"/>
  <c r="E99" i="3"/>
  <c r="F99" i="3"/>
  <c r="G99" i="3"/>
  <c r="H99" i="3"/>
  <c r="J99" i="3"/>
  <c r="K99" i="3"/>
  <c r="L99" i="3"/>
  <c r="M99" i="3"/>
  <c r="N99" i="3"/>
  <c r="E106" i="3"/>
  <c r="F106" i="3"/>
  <c r="G106" i="3"/>
  <c r="H106" i="3"/>
  <c r="K106" i="3"/>
  <c r="L106" i="3"/>
  <c r="M106" i="3"/>
  <c r="E107" i="3"/>
  <c r="F107" i="3"/>
  <c r="G107" i="3"/>
  <c r="H107" i="3"/>
  <c r="J107" i="3"/>
  <c r="K107" i="3"/>
  <c r="L107" i="3"/>
  <c r="M107" i="3"/>
  <c r="N107" i="3"/>
  <c r="E108" i="3"/>
  <c r="F108" i="3"/>
  <c r="G108" i="3"/>
  <c r="H108" i="3"/>
  <c r="J108" i="3"/>
  <c r="K108" i="3"/>
  <c r="L108" i="3"/>
  <c r="M108" i="3"/>
  <c r="N108" i="3"/>
  <c r="E110" i="3"/>
  <c r="F110" i="3"/>
  <c r="G110" i="3"/>
  <c r="H110" i="3"/>
  <c r="J110" i="3"/>
  <c r="K110" i="3"/>
  <c r="L110" i="3"/>
  <c r="M110" i="3"/>
  <c r="N110" i="3"/>
  <c r="E111" i="3"/>
  <c r="F111" i="3"/>
  <c r="G111" i="3"/>
  <c r="H111" i="3"/>
  <c r="J111" i="3"/>
  <c r="K111" i="3"/>
  <c r="L111" i="3"/>
  <c r="M111" i="3"/>
  <c r="N111" i="3"/>
  <c r="E112" i="3"/>
  <c r="F112" i="3"/>
  <c r="G112" i="3"/>
  <c r="H112" i="3"/>
  <c r="J112" i="3"/>
  <c r="K112" i="3"/>
  <c r="L112" i="3"/>
  <c r="M112" i="3"/>
  <c r="N112" i="3"/>
  <c r="E114" i="3"/>
  <c r="F114" i="3"/>
  <c r="G114" i="3"/>
  <c r="H114" i="3"/>
  <c r="J114" i="3"/>
  <c r="K114" i="3"/>
  <c r="L114" i="3"/>
  <c r="M114" i="3"/>
  <c r="N114" i="3"/>
  <c r="E116" i="3"/>
  <c r="F116" i="3"/>
  <c r="G116" i="3"/>
  <c r="H116" i="3"/>
  <c r="J116" i="3"/>
  <c r="K116" i="3"/>
  <c r="L116" i="3"/>
  <c r="M116" i="3"/>
  <c r="N116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2" i="3"/>
  <c r="F122" i="3"/>
  <c r="G122" i="3"/>
  <c r="H122" i="3"/>
  <c r="J122" i="3"/>
  <c r="K122" i="3"/>
  <c r="L122" i="3"/>
  <c r="M122" i="3"/>
  <c r="N122" i="3"/>
  <c r="E123" i="3"/>
  <c r="F123" i="3"/>
  <c r="G123" i="3"/>
  <c r="H123" i="3"/>
  <c r="J123" i="3"/>
  <c r="K123" i="3"/>
  <c r="L123" i="3"/>
  <c r="M123" i="3"/>
  <c r="N123" i="3"/>
  <c r="E125" i="3"/>
  <c r="F125" i="3"/>
  <c r="G125" i="3"/>
  <c r="H125" i="3"/>
  <c r="J125" i="3"/>
  <c r="K125" i="3"/>
  <c r="L125" i="3"/>
  <c r="M125" i="3"/>
  <c r="N125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8" i="3"/>
  <c r="F138" i="3"/>
  <c r="G138" i="3"/>
  <c r="H138" i="3"/>
  <c r="J138" i="3"/>
  <c r="K138" i="3"/>
  <c r="L138" i="3"/>
  <c r="M138" i="3"/>
  <c r="N138" i="3"/>
  <c r="E142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8" i="3"/>
  <c r="F148" i="3"/>
  <c r="G148" i="3"/>
  <c r="H148" i="3"/>
  <c r="J148" i="3"/>
  <c r="K148" i="3"/>
  <c r="L148" i="3"/>
  <c r="M148" i="3"/>
  <c r="N148" i="3"/>
  <c r="E149" i="3"/>
  <c r="F149" i="3"/>
  <c r="G149" i="3"/>
  <c r="H149" i="3"/>
  <c r="J149" i="3"/>
  <c r="K149" i="3"/>
  <c r="L149" i="3"/>
  <c r="M149" i="3"/>
  <c r="N149" i="3"/>
  <c r="E152" i="3"/>
  <c r="F152" i="3"/>
  <c r="G152" i="3"/>
  <c r="H152" i="3"/>
  <c r="J152" i="3"/>
  <c r="K152" i="3"/>
  <c r="L152" i="3"/>
  <c r="M152" i="3"/>
  <c r="N152" i="3"/>
  <c r="F153" i="3"/>
  <c r="G153" i="3"/>
  <c r="H153" i="3"/>
  <c r="J153" i="3"/>
  <c r="K153" i="3"/>
  <c r="L153" i="3"/>
  <c r="M153" i="3"/>
  <c r="N153" i="3"/>
  <c r="E154" i="3"/>
  <c r="F154" i="3"/>
  <c r="G154" i="3"/>
  <c r="H154" i="3"/>
  <c r="J154" i="3"/>
  <c r="K154" i="3"/>
  <c r="L154" i="3"/>
  <c r="M154" i="3"/>
  <c r="N154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1" i="3"/>
  <c r="F161" i="3"/>
  <c r="G161" i="3"/>
  <c r="H161" i="3"/>
  <c r="J161" i="3"/>
  <c r="K161" i="3"/>
  <c r="L161" i="3"/>
  <c r="M161" i="3"/>
  <c r="N161" i="3"/>
  <c r="E162" i="3"/>
  <c r="F162" i="3"/>
  <c r="G162" i="3"/>
  <c r="H162" i="3"/>
  <c r="J162" i="3"/>
  <c r="K162" i="3"/>
  <c r="L162" i="3"/>
  <c r="M162" i="3"/>
  <c r="N162" i="3"/>
  <c r="E165" i="3"/>
  <c r="F165" i="3"/>
  <c r="G165" i="3"/>
  <c r="H165" i="3"/>
  <c r="J165" i="3"/>
  <c r="K165" i="3"/>
  <c r="L165" i="3"/>
  <c r="M165" i="3"/>
  <c r="N165" i="3"/>
  <c r="E174" i="3"/>
  <c r="E173" i="3" s="1"/>
  <c r="F174" i="3"/>
  <c r="F173" i="3" s="1"/>
  <c r="G174" i="3"/>
  <c r="G173" i="3" s="1"/>
  <c r="H174" i="3"/>
  <c r="H173" i="3" s="1"/>
  <c r="J174" i="3"/>
  <c r="J173" i="3" s="1"/>
  <c r="K174" i="3"/>
  <c r="K173" i="3" s="1"/>
  <c r="L174" i="3"/>
  <c r="L173" i="3" s="1"/>
  <c r="M174" i="3"/>
  <c r="M173" i="3" s="1"/>
  <c r="N174" i="3"/>
  <c r="N173" i="3" s="1"/>
  <c r="E179" i="3"/>
  <c r="E175" i="3" s="1"/>
  <c r="F179" i="3"/>
  <c r="F175" i="3" s="1"/>
  <c r="G179" i="3"/>
  <c r="G175" i="3" s="1"/>
  <c r="H179" i="3"/>
  <c r="H175" i="3" s="1"/>
  <c r="J179" i="3"/>
  <c r="J175" i="3" s="1"/>
  <c r="K179" i="3"/>
  <c r="K175" i="3" s="1"/>
  <c r="L179" i="3"/>
  <c r="L175" i="3" s="1"/>
  <c r="M179" i="3"/>
  <c r="M175" i="3" s="1"/>
  <c r="N179" i="3"/>
  <c r="N175" i="3" s="1"/>
  <c r="E191" i="3"/>
  <c r="F191" i="3"/>
  <c r="G191" i="3"/>
  <c r="H191" i="3"/>
  <c r="J191" i="3"/>
  <c r="K191" i="3"/>
  <c r="L191" i="3"/>
  <c r="M191" i="3"/>
  <c r="N191" i="3"/>
  <c r="E201" i="3"/>
  <c r="E197" i="3" s="1"/>
  <c r="F201" i="3"/>
  <c r="F197" i="3" s="1"/>
  <c r="G201" i="3"/>
  <c r="G197" i="3" s="1"/>
  <c r="H201" i="3"/>
  <c r="H197" i="3" s="1"/>
  <c r="J201" i="3"/>
  <c r="J197" i="3" s="1"/>
  <c r="K201" i="3"/>
  <c r="K197" i="3" s="1"/>
  <c r="L201" i="3"/>
  <c r="L197" i="3" s="1"/>
  <c r="M201" i="3"/>
  <c r="M197" i="3" s="1"/>
  <c r="N201" i="3"/>
  <c r="N197" i="3" s="1"/>
  <c r="E217" i="3"/>
  <c r="F217" i="3"/>
  <c r="G217" i="3"/>
  <c r="H217" i="3"/>
  <c r="J217" i="3"/>
  <c r="K217" i="3"/>
  <c r="L217" i="3"/>
  <c r="M217" i="3"/>
  <c r="N217" i="3"/>
  <c r="E220" i="3"/>
  <c r="F220" i="3"/>
  <c r="G220" i="3"/>
  <c r="H220" i="3"/>
  <c r="J220" i="3"/>
  <c r="K220" i="3"/>
  <c r="L220" i="3"/>
  <c r="M220" i="3"/>
  <c r="N220" i="3"/>
  <c r="E221" i="3"/>
  <c r="F221" i="3"/>
  <c r="G221" i="3"/>
  <c r="H221" i="3"/>
  <c r="J221" i="3"/>
  <c r="K221" i="3"/>
  <c r="L221" i="3"/>
  <c r="M221" i="3"/>
  <c r="N221" i="3"/>
  <c r="E222" i="3"/>
  <c r="F222" i="3"/>
  <c r="G222" i="3"/>
  <c r="H222" i="3"/>
  <c r="J222" i="3"/>
  <c r="K222" i="3"/>
  <c r="L222" i="3"/>
  <c r="M222" i="3"/>
  <c r="N222" i="3"/>
  <c r="F224" i="3"/>
  <c r="G224" i="3"/>
  <c r="H224" i="3"/>
  <c r="J224" i="3"/>
  <c r="K224" i="3"/>
  <c r="L224" i="3"/>
  <c r="M224" i="3"/>
  <c r="N224" i="3"/>
  <c r="E234" i="3"/>
  <c r="F234" i="3"/>
  <c r="G234" i="3"/>
  <c r="H234" i="3"/>
  <c r="J234" i="3"/>
  <c r="K234" i="3"/>
  <c r="L234" i="3"/>
  <c r="M234" i="3"/>
  <c r="N234" i="3"/>
  <c r="E236" i="3"/>
  <c r="F236" i="3"/>
  <c r="G236" i="3"/>
  <c r="H236" i="3"/>
  <c r="J236" i="3"/>
  <c r="K236" i="3"/>
  <c r="L236" i="3"/>
  <c r="M236" i="3"/>
  <c r="N236" i="3"/>
  <c r="E239" i="3"/>
  <c r="E238" i="3" s="1"/>
  <c r="F239" i="3"/>
  <c r="F238" i="3" s="1"/>
  <c r="G239" i="3"/>
  <c r="H239" i="3"/>
  <c r="J239" i="3"/>
  <c r="K239" i="3"/>
  <c r="K238" i="3" s="1"/>
  <c r="L239" i="3"/>
  <c r="M239" i="3"/>
  <c r="M238" i="3" s="1"/>
  <c r="N239" i="3"/>
  <c r="E242" i="3"/>
  <c r="E241" i="3" s="1"/>
  <c r="F242" i="3"/>
  <c r="F241" i="3" s="1"/>
  <c r="G242" i="3"/>
  <c r="G241" i="3" s="1"/>
  <c r="H242" i="3"/>
  <c r="H241" i="3" s="1"/>
  <c r="J242" i="3"/>
  <c r="J241" i="3" s="1"/>
  <c r="K242" i="3"/>
  <c r="K241" i="3" s="1"/>
  <c r="L242" i="3"/>
  <c r="L241" i="3" s="1"/>
  <c r="M242" i="3"/>
  <c r="M241" i="3" s="1"/>
  <c r="N242" i="3"/>
  <c r="N241" i="3" s="1"/>
  <c r="E243" i="3"/>
  <c r="F243" i="3"/>
  <c r="G243" i="3"/>
  <c r="H243" i="3"/>
  <c r="J243" i="3"/>
  <c r="K243" i="3"/>
  <c r="L243" i="3"/>
  <c r="M243" i="3"/>
  <c r="N243" i="3"/>
  <c r="D244" i="3"/>
  <c r="E244" i="3"/>
  <c r="F244" i="3"/>
  <c r="G244" i="3"/>
  <c r="H244" i="3"/>
  <c r="J244" i="3"/>
  <c r="K244" i="3"/>
  <c r="L244" i="3"/>
  <c r="M244" i="3"/>
  <c r="N244" i="3"/>
  <c r="J78" i="1"/>
  <c r="J316" i="1"/>
  <c r="J317" i="1"/>
  <c r="J318" i="1"/>
  <c r="I239" i="3" s="1"/>
  <c r="J319" i="1"/>
  <c r="J320" i="1"/>
  <c r="I243" i="3" s="1"/>
  <c r="J321" i="1"/>
  <c r="I244" i="3" s="1"/>
  <c r="J322" i="1"/>
  <c r="I248" i="3" s="1"/>
  <c r="I247" i="3" s="1"/>
  <c r="J315" i="1"/>
  <c r="J305" i="1"/>
  <c r="I174" i="3" s="1"/>
  <c r="I173" i="3" s="1"/>
  <c r="J306" i="1"/>
  <c r="J307" i="1"/>
  <c r="I220" i="3" s="1"/>
  <c r="J308" i="1"/>
  <c r="I221" i="3" s="1"/>
  <c r="J309" i="1"/>
  <c r="J304" i="1"/>
  <c r="J301" i="1"/>
  <c r="J275" i="1"/>
  <c r="J276" i="1"/>
  <c r="I165" i="3" s="1"/>
  <c r="J277" i="1"/>
  <c r="J278" i="1"/>
  <c r="I180" i="3" s="1"/>
  <c r="J279" i="1"/>
  <c r="I182" i="3" s="1"/>
  <c r="J282" i="1"/>
  <c r="J294" i="1"/>
  <c r="J295" i="1"/>
  <c r="J298" i="1"/>
  <c r="J274" i="1"/>
  <c r="J269" i="1"/>
  <c r="J233" i="1"/>
  <c r="J234" i="1"/>
  <c r="J235" i="1"/>
  <c r="I158" i="3" s="1"/>
  <c r="J236" i="1"/>
  <c r="I159" i="3" s="1"/>
  <c r="J237" i="1"/>
  <c r="I160" i="3" s="1"/>
  <c r="J238" i="1"/>
  <c r="J239" i="1"/>
  <c r="J243" i="1"/>
  <c r="J244" i="1"/>
  <c r="J247" i="1"/>
  <c r="I191" i="3" s="1"/>
  <c r="J258" i="1"/>
  <c r="J259" i="1"/>
  <c r="J264" i="1"/>
  <c r="J266" i="1"/>
  <c r="J231" i="1"/>
  <c r="J216" i="1"/>
  <c r="I142" i="3" s="1"/>
  <c r="J217" i="1"/>
  <c r="J218" i="1"/>
  <c r="J219" i="1"/>
  <c r="J221" i="1"/>
  <c r="J214" i="1"/>
  <c r="J208" i="1"/>
  <c r="I117" i="3" s="1"/>
  <c r="J209" i="1"/>
  <c r="I118" i="3" s="1"/>
  <c r="J207" i="1"/>
  <c r="J173" i="1"/>
  <c r="J174" i="1"/>
  <c r="J176" i="1"/>
  <c r="I110" i="3" s="1"/>
  <c r="J177" i="1"/>
  <c r="J178" i="1"/>
  <c r="I112" i="3" s="1"/>
  <c r="J180" i="1"/>
  <c r="I114" i="3" s="1"/>
  <c r="J182" i="1"/>
  <c r="I116" i="3" s="1"/>
  <c r="J183" i="1"/>
  <c r="I122" i="3" s="1"/>
  <c r="J184" i="1"/>
  <c r="I123" i="3" s="1"/>
  <c r="J186" i="1"/>
  <c r="I125" i="3" s="1"/>
  <c r="J188" i="1"/>
  <c r="I127" i="3" s="1"/>
  <c r="J189" i="1"/>
  <c r="I128" i="3" s="1"/>
  <c r="J190" i="1"/>
  <c r="I129" i="3" s="1"/>
  <c r="J191" i="1"/>
  <c r="I130" i="3" s="1"/>
  <c r="J192" i="1"/>
  <c r="J199" i="1"/>
  <c r="J200" i="1"/>
  <c r="J203" i="1"/>
  <c r="I256" i="3" s="1"/>
  <c r="J170" i="1"/>
  <c r="J138" i="1"/>
  <c r="J143" i="1"/>
  <c r="J145" i="1"/>
  <c r="I91" i="3" s="1"/>
  <c r="J147" i="1"/>
  <c r="I93" i="3" s="1"/>
  <c r="J149" i="1"/>
  <c r="I95" i="3" s="1"/>
  <c r="J152" i="1"/>
  <c r="I98" i="3" s="1"/>
  <c r="J153" i="1"/>
  <c r="I99" i="3" s="1"/>
  <c r="J137" i="1"/>
  <c r="J82" i="1"/>
  <c r="I48" i="3" s="1"/>
  <c r="J85" i="1"/>
  <c r="I51" i="3" s="1"/>
  <c r="J94" i="1"/>
  <c r="I60" i="3" s="1"/>
  <c r="J97" i="1"/>
  <c r="I64" i="3" s="1"/>
  <c r="J98" i="1"/>
  <c r="I65" i="3" s="1"/>
  <c r="J100" i="1"/>
  <c r="I67" i="3" s="1"/>
  <c r="J108" i="1"/>
  <c r="I75" i="3" s="1"/>
  <c r="J77" i="1"/>
  <c r="J26" i="1"/>
  <c r="J27" i="1"/>
  <c r="J28" i="1"/>
  <c r="I119" i="3" s="1"/>
  <c r="J29" i="1"/>
  <c r="I120" i="3" s="1"/>
  <c r="J30" i="1"/>
  <c r="I121" i="3" s="1"/>
  <c r="J31" i="1"/>
  <c r="J32" i="1"/>
  <c r="J33" i="1"/>
  <c r="J34" i="1"/>
  <c r="J35" i="1"/>
  <c r="J36" i="1"/>
  <c r="I148" i="3" s="1"/>
  <c r="J37" i="1"/>
  <c r="I149" i="3" s="1"/>
  <c r="J38" i="1"/>
  <c r="I150" i="3" s="1"/>
  <c r="J39" i="1"/>
  <c r="I152" i="3" s="1"/>
  <c r="J40" i="1"/>
  <c r="I153" i="3" s="1"/>
  <c r="J41" i="1"/>
  <c r="I154" i="3" s="1"/>
  <c r="I201" i="3"/>
  <c r="I197" i="3" s="1"/>
  <c r="J49" i="1"/>
  <c r="J50" i="1"/>
  <c r="J51" i="1"/>
  <c r="J52" i="1"/>
  <c r="I224" i="3" s="1"/>
  <c r="J53" i="1"/>
  <c r="J54" i="1"/>
  <c r="J55" i="1"/>
  <c r="I233" i="3" s="1"/>
  <c r="J56" i="1"/>
  <c r="I234" i="3" s="1"/>
  <c r="J58" i="1"/>
  <c r="J59" i="1"/>
  <c r="I242" i="3"/>
  <c r="I241" i="3" s="1"/>
  <c r="J21" i="1"/>
  <c r="J18" i="1" l="1"/>
  <c r="M100" i="3"/>
  <c r="K100" i="3"/>
  <c r="G100" i="3"/>
  <c r="L100" i="3"/>
  <c r="H100" i="3"/>
  <c r="F100" i="3"/>
  <c r="J293" i="1"/>
  <c r="J292" i="1" s="1"/>
  <c r="N155" i="3"/>
  <c r="L155" i="3"/>
  <c r="J155" i="3"/>
  <c r="G155" i="3"/>
  <c r="M155" i="3"/>
  <c r="K155" i="3"/>
  <c r="H155" i="3"/>
  <c r="F155" i="3"/>
  <c r="I19" i="3"/>
  <c r="I36" i="3"/>
  <c r="I240" i="3"/>
  <c r="I238" i="3" s="1"/>
  <c r="I139" i="3"/>
  <c r="M215" i="3"/>
  <c r="M167" i="3" s="1"/>
  <c r="K215" i="3"/>
  <c r="K167" i="3" s="1"/>
  <c r="H215" i="3"/>
  <c r="H167" i="3" s="1"/>
  <c r="F215" i="3"/>
  <c r="F167" i="3" s="1"/>
  <c r="N215" i="3"/>
  <c r="N167" i="3" s="1"/>
  <c r="L215" i="3"/>
  <c r="L167" i="3" s="1"/>
  <c r="J215" i="3"/>
  <c r="J167" i="3" s="1"/>
  <c r="G215" i="3"/>
  <c r="G167" i="3" s="1"/>
  <c r="H79" i="3"/>
  <c r="M79" i="3"/>
  <c r="K79" i="3"/>
  <c r="L79" i="3"/>
  <c r="F79" i="3"/>
  <c r="G79" i="3"/>
  <c r="E79" i="3"/>
  <c r="N79" i="3"/>
  <c r="J79" i="3"/>
  <c r="J205" i="1"/>
  <c r="I214" i="3"/>
  <c r="I213" i="3" s="1"/>
  <c r="I187" i="3"/>
  <c r="I84" i="3"/>
  <c r="I107" i="3"/>
  <c r="I89" i="3"/>
  <c r="I237" i="3"/>
  <c r="I236" i="3" s="1"/>
  <c r="I161" i="3"/>
  <c r="I157" i="3"/>
  <c r="I166" i="3"/>
  <c r="J314" i="1"/>
  <c r="I226" i="3"/>
  <c r="J303" i="1"/>
  <c r="J288" i="1"/>
  <c r="J271" i="1" s="1"/>
  <c r="I145" i="3"/>
  <c r="I143" i="3"/>
  <c r="I222" i="3"/>
  <c r="I144" i="3"/>
  <c r="E153" i="3"/>
  <c r="E146" i="3" s="1"/>
  <c r="I179" i="3"/>
  <c r="L231" i="3"/>
  <c r="J231" i="3"/>
  <c r="G231" i="3"/>
  <c r="I108" i="3"/>
  <c r="I217" i="3"/>
  <c r="I146" i="3"/>
  <c r="I131" i="3"/>
  <c r="N231" i="3"/>
  <c r="H231" i="3"/>
  <c r="M231" i="3"/>
  <c r="M229" i="3" s="1"/>
  <c r="K231" i="3"/>
  <c r="K229" i="3" s="1"/>
  <c r="F231" i="3"/>
  <c r="F229" i="3" s="1"/>
  <c r="E231" i="3"/>
  <c r="E229" i="3" s="1"/>
  <c r="I162" i="3"/>
  <c r="I231" i="3"/>
  <c r="M146" i="3"/>
  <c r="F146" i="3"/>
  <c r="I138" i="3"/>
  <c r="I111" i="3"/>
  <c r="N238" i="3"/>
  <c r="L238" i="3"/>
  <c r="J238" i="3"/>
  <c r="H238" i="3"/>
  <c r="G238" i="3"/>
  <c r="K146" i="3"/>
  <c r="L141" i="3"/>
  <c r="H141" i="3"/>
  <c r="N141" i="3"/>
  <c r="J141" i="3"/>
  <c r="G141" i="3"/>
  <c r="M141" i="3"/>
  <c r="K141" i="3"/>
  <c r="F141" i="3"/>
  <c r="E141" i="3"/>
  <c r="N146" i="3"/>
  <c r="L146" i="3"/>
  <c r="J146" i="3"/>
  <c r="H146" i="3"/>
  <c r="G146" i="3"/>
  <c r="J261" i="1"/>
  <c r="J224" i="1" s="1"/>
  <c r="I175" i="3" l="1"/>
  <c r="I253" i="3"/>
  <c r="I245" i="3" s="1"/>
  <c r="M258" i="3"/>
  <c r="F258" i="3"/>
  <c r="K258" i="3"/>
  <c r="I155" i="3"/>
  <c r="I225" i="3"/>
  <c r="I17" i="3"/>
  <c r="I79" i="3"/>
  <c r="I141" i="3"/>
  <c r="L229" i="3"/>
  <c r="L258" i="3" s="1"/>
  <c r="G229" i="3"/>
  <c r="G258" i="3" s="1"/>
  <c r="N229" i="3"/>
  <c r="J229" i="3"/>
  <c r="I229" i="3"/>
  <c r="H229" i="3"/>
  <c r="H258" i="3" s="1"/>
  <c r="E318" i="1"/>
  <c r="D239" i="3" s="1"/>
  <c r="D318" i="1"/>
  <c r="B318" i="1"/>
  <c r="E166" i="3" l="1"/>
  <c r="E155" i="3" s="1"/>
  <c r="E224" i="3"/>
  <c r="J159" i="1"/>
  <c r="P318" i="1"/>
  <c r="O239" i="3" s="1"/>
  <c r="J128" i="1" l="1"/>
  <c r="J127" i="1" s="1"/>
  <c r="I218" i="3"/>
  <c r="I215" i="3" s="1"/>
  <c r="I167" i="3" s="1"/>
  <c r="E215" i="3"/>
  <c r="E167" i="3" s="1"/>
  <c r="E247" i="1" l="1"/>
  <c r="C247" i="1"/>
  <c r="D247" i="1"/>
  <c r="B247" i="1"/>
  <c r="D191" i="3" l="1"/>
  <c r="P247" i="1"/>
  <c r="O191" i="3" s="1"/>
  <c r="E127" i="3" l="1"/>
  <c r="E100" i="3" s="1"/>
  <c r="E258" i="3" l="1"/>
  <c r="J79" i="1"/>
  <c r="J64" i="1" s="1"/>
  <c r="I38" i="3" l="1"/>
  <c r="I24" i="3" s="1"/>
  <c r="J213" i="1"/>
  <c r="D53" i="1"/>
  <c r="D298" i="1"/>
  <c r="D261" i="1"/>
  <c r="C217" i="1"/>
  <c r="B217" i="1"/>
  <c r="D208" i="1"/>
  <c r="P321" i="1"/>
  <c r="O244" i="3" s="1"/>
  <c r="E316" i="1"/>
  <c r="E317" i="1"/>
  <c r="E319" i="1"/>
  <c r="E320" i="1"/>
  <c r="D243" i="3" s="1"/>
  <c r="E322" i="1"/>
  <c r="D248" i="3" s="1"/>
  <c r="D247" i="3" s="1"/>
  <c r="E315" i="1"/>
  <c r="K313" i="1"/>
  <c r="L313" i="1"/>
  <c r="M313" i="1"/>
  <c r="N313" i="1"/>
  <c r="O313" i="1"/>
  <c r="F313" i="1"/>
  <c r="G313" i="1"/>
  <c r="H313" i="1"/>
  <c r="I313" i="1"/>
  <c r="E305" i="1"/>
  <c r="D174" i="3" s="1"/>
  <c r="D173" i="3" s="1"/>
  <c r="E306" i="1"/>
  <c r="E307" i="1"/>
  <c r="D220" i="3" s="1"/>
  <c r="E308" i="1"/>
  <c r="D221" i="3" s="1"/>
  <c r="E309" i="1"/>
  <c r="E304" i="1"/>
  <c r="K302" i="1"/>
  <c r="L302" i="1"/>
  <c r="M302" i="1"/>
  <c r="N302" i="1"/>
  <c r="O302" i="1"/>
  <c r="F302" i="1"/>
  <c r="G302" i="1"/>
  <c r="H302" i="1"/>
  <c r="I302" i="1"/>
  <c r="J300" i="1"/>
  <c r="J299" i="1" s="1"/>
  <c r="E301" i="1"/>
  <c r="E300" i="1" s="1"/>
  <c r="E299" i="1" s="1"/>
  <c r="K300" i="1"/>
  <c r="K299" i="1" s="1"/>
  <c r="L300" i="1"/>
  <c r="L299" i="1" s="1"/>
  <c r="M300" i="1"/>
  <c r="M299" i="1" s="1"/>
  <c r="N300" i="1"/>
  <c r="N299" i="1" s="1"/>
  <c r="O300" i="1"/>
  <c r="O299" i="1" s="1"/>
  <c r="F300" i="1"/>
  <c r="F299" i="1" s="1"/>
  <c r="G300" i="1"/>
  <c r="G299" i="1" s="1"/>
  <c r="H300" i="1"/>
  <c r="H299" i="1" s="1"/>
  <c r="I300" i="1"/>
  <c r="I299" i="1" s="1"/>
  <c r="E295" i="1"/>
  <c r="E298" i="1"/>
  <c r="E294" i="1"/>
  <c r="K292" i="1"/>
  <c r="L292" i="1"/>
  <c r="M292" i="1"/>
  <c r="N292" i="1"/>
  <c r="O292" i="1"/>
  <c r="F292" i="1"/>
  <c r="G292" i="1"/>
  <c r="H292" i="1"/>
  <c r="I292" i="1"/>
  <c r="E275" i="1"/>
  <c r="E276" i="1"/>
  <c r="D165" i="3" s="1"/>
  <c r="E277" i="1"/>
  <c r="E278" i="1"/>
  <c r="D180" i="3" s="1"/>
  <c r="E279" i="1"/>
  <c r="D182" i="3" s="1"/>
  <c r="E282" i="1"/>
  <c r="E288" i="1"/>
  <c r="E274" i="1"/>
  <c r="E271" i="1" s="1"/>
  <c r="K270" i="1"/>
  <c r="M270" i="1"/>
  <c r="N270" i="1"/>
  <c r="O270" i="1"/>
  <c r="F270" i="1"/>
  <c r="G270" i="1"/>
  <c r="H270" i="1"/>
  <c r="I270" i="1"/>
  <c r="J268" i="1"/>
  <c r="J267" i="1" s="1"/>
  <c r="E269" i="1"/>
  <c r="E268" i="1" s="1"/>
  <c r="E267" i="1" s="1"/>
  <c r="K268" i="1"/>
  <c r="K267" i="1" s="1"/>
  <c r="L268" i="1"/>
  <c r="L267" i="1" s="1"/>
  <c r="M268" i="1"/>
  <c r="M267" i="1" s="1"/>
  <c r="N268" i="1"/>
  <c r="N267" i="1" s="1"/>
  <c r="O268" i="1"/>
  <c r="O267" i="1" s="1"/>
  <c r="F268" i="1"/>
  <c r="F267" i="1" s="1"/>
  <c r="G268" i="1"/>
  <c r="G267" i="1" s="1"/>
  <c r="H268" i="1"/>
  <c r="H267" i="1" s="1"/>
  <c r="I268" i="1"/>
  <c r="I267" i="1" s="1"/>
  <c r="E233" i="1"/>
  <c r="E234" i="1"/>
  <c r="D157" i="3" s="1"/>
  <c r="E235" i="1"/>
  <c r="E236" i="1"/>
  <c r="D159" i="3" s="1"/>
  <c r="E237" i="1"/>
  <c r="E238" i="1"/>
  <c r="E239" i="1"/>
  <c r="E242" i="1"/>
  <c r="E243" i="1"/>
  <c r="E244" i="1"/>
  <c r="P244" i="1" s="1"/>
  <c r="E258" i="1"/>
  <c r="E259" i="1"/>
  <c r="P259" i="1" s="1"/>
  <c r="E261" i="1"/>
  <c r="P261" i="1" s="1"/>
  <c r="E264" i="1"/>
  <c r="P264" i="1" s="1"/>
  <c r="E266" i="1"/>
  <c r="E231" i="1"/>
  <c r="K223" i="1"/>
  <c r="L223" i="1"/>
  <c r="M223" i="1"/>
  <c r="N223" i="1"/>
  <c r="O223" i="1"/>
  <c r="F223" i="1"/>
  <c r="G223" i="1"/>
  <c r="H223" i="1"/>
  <c r="I223" i="1"/>
  <c r="E216" i="1"/>
  <c r="E217" i="1"/>
  <c r="E218" i="1"/>
  <c r="E219" i="1"/>
  <c r="E221" i="1"/>
  <c r="E214" i="1"/>
  <c r="K212" i="1"/>
  <c r="L212" i="1"/>
  <c r="M212" i="1"/>
  <c r="N212" i="1"/>
  <c r="F212" i="1"/>
  <c r="G212" i="1"/>
  <c r="H212" i="1"/>
  <c r="I212" i="1"/>
  <c r="E208" i="1"/>
  <c r="D117" i="3" s="1"/>
  <c r="E209" i="1"/>
  <c r="D118" i="3" s="1"/>
  <c r="E207" i="1"/>
  <c r="K204" i="1"/>
  <c r="L204" i="1"/>
  <c r="M204" i="1"/>
  <c r="N204" i="1"/>
  <c r="O204" i="1"/>
  <c r="F204" i="1"/>
  <c r="G204" i="1"/>
  <c r="H204" i="1"/>
  <c r="I204" i="1"/>
  <c r="E172" i="1"/>
  <c r="D106" i="3" s="1"/>
  <c r="E173" i="1"/>
  <c r="E174" i="1"/>
  <c r="E176" i="1"/>
  <c r="D110" i="3" s="1"/>
  <c r="E177" i="1"/>
  <c r="E178" i="1"/>
  <c r="D112" i="3" s="1"/>
  <c r="E180" i="1"/>
  <c r="D114" i="3" s="1"/>
  <c r="E182" i="1"/>
  <c r="E183" i="1"/>
  <c r="D122" i="3" s="1"/>
  <c r="E184" i="1"/>
  <c r="E186" i="1"/>
  <c r="D125" i="3" s="1"/>
  <c r="E188" i="1"/>
  <c r="D127" i="3" s="1"/>
  <c r="E189" i="1"/>
  <c r="D128" i="3" s="1"/>
  <c r="E190" i="1"/>
  <c r="D129" i="3" s="1"/>
  <c r="E191" i="1"/>
  <c r="D130" i="3" s="1"/>
  <c r="E192" i="1"/>
  <c r="E199" i="1"/>
  <c r="E200" i="1"/>
  <c r="E203" i="1"/>
  <c r="E170" i="1"/>
  <c r="L163" i="1"/>
  <c r="M163" i="1"/>
  <c r="N163" i="1"/>
  <c r="F163" i="1"/>
  <c r="G163" i="1"/>
  <c r="H163" i="1"/>
  <c r="I163" i="1"/>
  <c r="E138" i="1"/>
  <c r="E143" i="1"/>
  <c r="E145" i="1"/>
  <c r="D91" i="3" s="1"/>
  <c r="E147" i="1"/>
  <c r="D93" i="3" s="1"/>
  <c r="E149" i="1"/>
  <c r="D95" i="3" s="1"/>
  <c r="E152" i="1"/>
  <c r="D98" i="3" s="1"/>
  <c r="D99" i="3"/>
  <c r="E159" i="1"/>
  <c r="E137" i="1"/>
  <c r="K63" i="1"/>
  <c r="L63" i="1"/>
  <c r="M63" i="1"/>
  <c r="N63" i="1"/>
  <c r="O63" i="1"/>
  <c r="F63" i="1"/>
  <c r="G63" i="1"/>
  <c r="H63" i="1"/>
  <c r="I63" i="1"/>
  <c r="E78" i="1"/>
  <c r="E79" i="1"/>
  <c r="E82" i="1"/>
  <c r="D48" i="3" s="1"/>
  <c r="E85" i="1"/>
  <c r="D51" i="3" s="1"/>
  <c r="E94" i="1"/>
  <c r="D60" i="3" s="1"/>
  <c r="E97" i="1"/>
  <c r="D64" i="3" s="1"/>
  <c r="E98" i="1"/>
  <c r="D65" i="3" s="1"/>
  <c r="E100" i="1"/>
  <c r="D67" i="3" s="1"/>
  <c r="E108" i="1"/>
  <c r="D75" i="3" s="1"/>
  <c r="E77" i="1"/>
  <c r="E23" i="1"/>
  <c r="D21" i="3" s="1"/>
  <c r="E26" i="1"/>
  <c r="E27" i="1"/>
  <c r="E28" i="1"/>
  <c r="D119" i="3" s="1"/>
  <c r="E29" i="1"/>
  <c r="D120" i="3" s="1"/>
  <c r="E30" i="1"/>
  <c r="D121" i="3" s="1"/>
  <c r="E31" i="1"/>
  <c r="E32" i="1"/>
  <c r="E33" i="1"/>
  <c r="E34" i="1"/>
  <c r="E35" i="1"/>
  <c r="E36" i="1"/>
  <c r="D148" i="3" s="1"/>
  <c r="E37" i="1"/>
  <c r="D149" i="3" s="1"/>
  <c r="E38" i="1"/>
  <c r="E39" i="1"/>
  <c r="D152" i="3" s="1"/>
  <c r="E40" i="1"/>
  <c r="E41" i="1"/>
  <c r="E44" i="1"/>
  <c r="D201" i="3" s="1"/>
  <c r="D197" i="3" s="1"/>
  <c r="E49" i="1"/>
  <c r="E50" i="1"/>
  <c r="E51" i="1"/>
  <c r="E52" i="1"/>
  <c r="D224" i="3" s="1"/>
  <c r="E53" i="1"/>
  <c r="E54" i="1"/>
  <c r="E55" i="1"/>
  <c r="D233" i="3" s="1"/>
  <c r="E56" i="1"/>
  <c r="D234" i="3" s="1"/>
  <c r="E58" i="1"/>
  <c r="E59" i="1"/>
  <c r="E60" i="1"/>
  <c r="D242" i="3" s="1"/>
  <c r="D241" i="3" s="1"/>
  <c r="E21" i="1"/>
  <c r="K17" i="1"/>
  <c r="M17" i="1"/>
  <c r="N17" i="1"/>
  <c r="O17" i="1"/>
  <c r="F17" i="1"/>
  <c r="G17" i="1"/>
  <c r="H17" i="1"/>
  <c r="I17" i="1"/>
  <c r="L17" i="1"/>
  <c r="D256" i="3" l="1"/>
  <c r="D154" i="3"/>
  <c r="E18" i="1"/>
  <c r="E17" i="1" s="1"/>
  <c r="E224" i="1"/>
  <c r="E270" i="1"/>
  <c r="E303" i="1"/>
  <c r="E302" i="1" s="1"/>
  <c r="E64" i="1"/>
  <c r="E63" i="1" s="1"/>
  <c r="E223" i="1"/>
  <c r="E128" i="1"/>
  <c r="E127" i="1" s="1"/>
  <c r="E164" i="1"/>
  <c r="E163" i="1" s="1"/>
  <c r="E213" i="1"/>
  <c r="E212" i="1" s="1"/>
  <c r="E205" i="1"/>
  <c r="E204" i="1" s="1"/>
  <c r="E293" i="1"/>
  <c r="E292" i="1" s="1"/>
  <c r="E314" i="1"/>
  <c r="E313" i="1" s="1"/>
  <c r="D36" i="3"/>
  <c r="D150" i="3"/>
  <c r="D142" i="3"/>
  <c r="I323" i="1"/>
  <c r="G323" i="1"/>
  <c r="M323" i="1"/>
  <c r="D19" i="3"/>
  <c r="D17" i="3" s="1"/>
  <c r="H323" i="1"/>
  <c r="N323" i="1"/>
  <c r="F323" i="1"/>
  <c r="D116" i="3"/>
  <c r="D38" i="3"/>
  <c r="D240" i="3"/>
  <c r="D238" i="3" s="1"/>
  <c r="D218" i="3"/>
  <c r="D139" i="3"/>
  <c r="D225" i="3"/>
  <c r="D153" i="3"/>
  <c r="D214" i="3"/>
  <c r="D213" i="3" s="1"/>
  <c r="D187" i="3"/>
  <c r="P200" i="1"/>
  <c r="D84" i="3"/>
  <c r="P233" i="1"/>
  <c r="D107" i="3"/>
  <c r="D89" i="3"/>
  <c r="D160" i="3"/>
  <c r="D237" i="3"/>
  <c r="D236" i="3" s="1"/>
  <c r="D161" i="3"/>
  <c r="D166" i="3"/>
  <c r="D226" i="3"/>
  <c r="P266" i="1"/>
  <c r="D158" i="3"/>
  <c r="D162" i="3"/>
  <c r="D222" i="3"/>
  <c r="D123" i="3"/>
  <c r="D217" i="3"/>
  <c r="P231" i="1"/>
  <c r="O212" i="1"/>
  <c r="D144" i="3"/>
  <c r="D131" i="3"/>
  <c r="D179" i="3"/>
  <c r="D145" i="3"/>
  <c r="D143" i="3"/>
  <c r="J212" i="1"/>
  <c r="D231" i="3"/>
  <c r="P203" i="1"/>
  <c r="D138" i="3"/>
  <c r="D111" i="3"/>
  <c r="D108" i="3"/>
  <c r="P21" i="1"/>
  <c r="P59" i="1"/>
  <c r="P56" i="1"/>
  <c r="O234" i="3" s="1"/>
  <c r="P54" i="1"/>
  <c r="P52" i="1"/>
  <c r="O224" i="3" s="1"/>
  <c r="P50" i="1"/>
  <c r="P108" i="1"/>
  <c r="O75" i="3" s="1"/>
  <c r="P100" i="1"/>
  <c r="O67" i="3" s="1"/>
  <c r="P98" i="1"/>
  <c r="O65" i="3" s="1"/>
  <c r="P85" i="1"/>
  <c r="O51" i="3" s="1"/>
  <c r="P82" i="1"/>
  <c r="O48" i="3" s="1"/>
  <c r="P79" i="1"/>
  <c r="P137" i="1"/>
  <c r="P191" i="1"/>
  <c r="O130" i="3" s="1"/>
  <c r="P189" i="1"/>
  <c r="O128" i="3" s="1"/>
  <c r="P186" i="1"/>
  <c r="O125" i="3" s="1"/>
  <c r="P183" i="1"/>
  <c r="O122" i="3" s="1"/>
  <c r="P180" i="1"/>
  <c r="O114" i="3" s="1"/>
  <c r="P177" i="1"/>
  <c r="P174" i="1"/>
  <c r="P242" i="1"/>
  <c r="P238" i="1"/>
  <c r="P235" i="1"/>
  <c r="O158" i="3" s="1"/>
  <c r="P278" i="1"/>
  <c r="O180" i="3" s="1"/>
  <c r="P322" i="1"/>
  <c r="O248" i="3" s="1"/>
  <c r="O247" i="3" s="1"/>
  <c r="P60" i="1"/>
  <c r="O242" i="3" s="1"/>
  <c r="O241" i="3" s="1"/>
  <c r="P58" i="1"/>
  <c r="P55" i="1"/>
  <c r="O233" i="3" s="1"/>
  <c r="P53" i="1"/>
  <c r="P51" i="1"/>
  <c r="O222" i="3" s="1"/>
  <c r="P49" i="1"/>
  <c r="P97" i="1"/>
  <c r="O64" i="3" s="1"/>
  <c r="P94" i="1"/>
  <c r="O60" i="3" s="1"/>
  <c r="P170" i="1"/>
  <c r="P192" i="1"/>
  <c r="P190" i="1"/>
  <c r="O129" i="3" s="1"/>
  <c r="P188" i="1"/>
  <c r="O127" i="3" s="1"/>
  <c r="P184" i="1"/>
  <c r="O123" i="3" s="1"/>
  <c r="P182" i="1"/>
  <c r="O116" i="3" s="1"/>
  <c r="P178" i="1"/>
  <c r="O112" i="3" s="1"/>
  <c r="P176" i="1"/>
  <c r="O110" i="3" s="1"/>
  <c r="P173" i="1"/>
  <c r="P239" i="1"/>
  <c r="P237" i="1"/>
  <c r="P236" i="1"/>
  <c r="O159" i="3" s="1"/>
  <c r="P279" i="1"/>
  <c r="O182" i="3" s="1"/>
  <c r="P315" i="1"/>
  <c r="J223" i="1"/>
  <c r="P258" i="1"/>
  <c r="P294" i="1"/>
  <c r="P295" i="1"/>
  <c r="P307" i="1"/>
  <c r="O220" i="3" s="1"/>
  <c r="J302" i="1"/>
  <c r="P319" i="1"/>
  <c r="P316" i="1"/>
  <c r="P209" i="1"/>
  <c r="O118" i="3" s="1"/>
  <c r="P208" i="1"/>
  <c r="O117" i="3" s="1"/>
  <c r="P44" i="1"/>
  <c r="O201" i="3" s="1"/>
  <c r="O197" i="3" s="1"/>
  <c r="P38" i="1"/>
  <c r="O150" i="3" s="1"/>
  <c r="P36" i="1"/>
  <c r="O148" i="3" s="1"/>
  <c r="P34" i="1"/>
  <c r="P32" i="1"/>
  <c r="P30" i="1"/>
  <c r="O121" i="3" s="1"/>
  <c r="P28" i="1"/>
  <c r="O119" i="3" s="1"/>
  <c r="P26" i="1"/>
  <c r="P214" i="1"/>
  <c r="P288" i="1"/>
  <c r="P301" i="1"/>
  <c r="P300" i="1" s="1"/>
  <c r="P299" i="1" s="1"/>
  <c r="P308" i="1"/>
  <c r="O221" i="3" s="1"/>
  <c r="P306" i="1"/>
  <c r="P305" i="1"/>
  <c r="O174" i="3" s="1"/>
  <c r="O173" i="3" s="1"/>
  <c r="P309" i="1"/>
  <c r="P243" i="1"/>
  <c r="P41" i="1"/>
  <c r="P39" i="1"/>
  <c r="O152" i="3" s="1"/>
  <c r="P37" i="1"/>
  <c r="O149" i="3" s="1"/>
  <c r="P35" i="1"/>
  <c r="P31" i="1"/>
  <c r="P29" i="1"/>
  <c r="O120" i="3" s="1"/>
  <c r="P27" i="1"/>
  <c r="P159" i="1"/>
  <c r="P153" i="1"/>
  <c r="O99" i="3" s="1"/>
  <c r="P152" i="1"/>
  <c r="O98" i="3" s="1"/>
  <c r="P149" i="1"/>
  <c r="O95" i="3" s="1"/>
  <c r="P147" i="1"/>
  <c r="O93" i="3" s="1"/>
  <c r="P145" i="1"/>
  <c r="O91" i="3" s="1"/>
  <c r="P143" i="1"/>
  <c r="P138" i="1"/>
  <c r="J204" i="1"/>
  <c r="P219" i="1"/>
  <c r="P221" i="1"/>
  <c r="P216" i="1"/>
  <c r="P282" i="1"/>
  <c r="O187" i="3" s="1"/>
  <c r="P277" i="1"/>
  <c r="P23" i="1"/>
  <c r="O21" i="3" s="1"/>
  <c r="P33" i="1"/>
  <c r="P234" i="1"/>
  <c r="O157" i="3" s="1"/>
  <c r="P298" i="1"/>
  <c r="P40" i="1"/>
  <c r="O153" i="3" s="1"/>
  <c r="P78" i="1"/>
  <c r="O36" i="3" s="1"/>
  <c r="P207" i="1"/>
  <c r="P218" i="1"/>
  <c r="P217" i="1"/>
  <c r="P317" i="1"/>
  <c r="P274" i="1"/>
  <c r="P275" i="1"/>
  <c r="P320" i="1"/>
  <c r="O243" i="3" s="1"/>
  <c r="J313" i="1"/>
  <c r="J63" i="1"/>
  <c r="P304" i="1"/>
  <c r="P269" i="1"/>
  <c r="P268" i="1" s="1"/>
  <c r="P267" i="1" s="1"/>
  <c r="P77" i="1"/>
  <c r="J17" i="1"/>
  <c r="P199" i="1"/>
  <c r="O256" i="3" l="1"/>
  <c r="O154" i="3"/>
  <c r="O146" i="3" s="1"/>
  <c r="P18" i="1"/>
  <c r="D175" i="3"/>
  <c r="P224" i="1"/>
  <c r="D24" i="3"/>
  <c r="P64" i="1"/>
  <c r="P63" i="1" s="1"/>
  <c r="D229" i="3"/>
  <c r="O253" i="3"/>
  <c r="O245" i="3" s="1"/>
  <c r="D253" i="3"/>
  <c r="D245" i="3" s="1"/>
  <c r="D100" i="3"/>
  <c r="P293" i="1"/>
  <c r="D155" i="3"/>
  <c r="E323" i="1"/>
  <c r="O19" i="3"/>
  <c r="O17" i="3" s="1"/>
  <c r="O139" i="3"/>
  <c r="O38" i="3"/>
  <c r="O24" i="3" s="1"/>
  <c r="D79" i="3"/>
  <c r="O218" i="3"/>
  <c r="O240" i="3"/>
  <c r="O238" i="3" s="1"/>
  <c r="D215" i="3"/>
  <c r="P213" i="1"/>
  <c r="O225" i="3"/>
  <c r="D146" i="3"/>
  <c r="P128" i="1"/>
  <c r="P127" i="1" s="1"/>
  <c r="P205" i="1"/>
  <c r="O214" i="3"/>
  <c r="O213" i="3" s="1"/>
  <c r="O142" i="3"/>
  <c r="O131" i="3"/>
  <c r="O84" i="3"/>
  <c r="O107" i="3"/>
  <c r="O89" i="3"/>
  <c r="O160" i="3"/>
  <c r="O237" i="3"/>
  <c r="O236" i="3" s="1"/>
  <c r="O161" i="3"/>
  <c r="O226" i="3"/>
  <c r="O166" i="3"/>
  <c r="P314" i="1"/>
  <c r="P303" i="1"/>
  <c r="O179" i="3"/>
  <c r="O175" i="3" s="1"/>
  <c r="O138" i="3"/>
  <c r="D141" i="3"/>
  <c r="O217" i="3"/>
  <c r="O231" i="3"/>
  <c r="O162" i="3"/>
  <c r="O145" i="3"/>
  <c r="O144" i="3"/>
  <c r="O111" i="3"/>
  <c r="O143" i="3"/>
  <c r="O108" i="3"/>
  <c r="L270" i="1"/>
  <c r="L323" i="1" s="1"/>
  <c r="D167" i="3" l="1"/>
  <c r="D258" i="3" s="1"/>
  <c r="O215" i="3"/>
  <c r="O167" i="3" s="1"/>
  <c r="O79" i="3"/>
  <c r="O229" i="3"/>
  <c r="O141" i="3"/>
  <c r="P276" i="1"/>
  <c r="P271" i="1" s="1"/>
  <c r="J270" i="1"/>
  <c r="O165" i="3" l="1"/>
  <c r="O155" i="3" s="1"/>
  <c r="J106" i="3" l="1"/>
  <c r="J100" i="3" s="1"/>
  <c r="K163" i="1"/>
  <c r="K323" i="1" s="1"/>
  <c r="N106" i="3"/>
  <c r="N100" i="3" s="1"/>
  <c r="O163" i="1"/>
  <c r="O323" i="1" s="1"/>
  <c r="O336" i="1" s="1"/>
  <c r="J172" i="1"/>
  <c r="J164" i="1" s="1"/>
  <c r="N258" i="3" l="1"/>
  <c r="J258" i="3"/>
  <c r="I106" i="3"/>
  <c r="I100" i="3" s="1"/>
  <c r="P172" i="1"/>
  <c r="P164" i="1" s="1"/>
  <c r="P17" i="1"/>
  <c r="P292" i="1"/>
  <c r="P313" i="1"/>
  <c r="I258" i="3" l="1"/>
  <c r="O106" i="3"/>
  <c r="O100" i="3" s="1"/>
  <c r="P163" i="1"/>
  <c r="J163" i="1"/>
  <c r="J323" i="1" s="1"/>
  <c r="P302" i="1"/>
  <c r="P270" i="1"/>
  <c r="P223" i="1"/>
  <c r="P212" i="1"/>
  <c r="P204" i="1"/>
  <c r="O258" i="3" l="1"/>
  <c r="P323" i="1"/>
  <c r="C56" i="1"/>
  <c r="C317" i="1" l="1"/>
  <c r="D317" i="1"/>
  <c r="B317" i="1"/>
  <c r="C259" i="1"/>
  <c r="D259" i="1"/>
  <c r="B259" i="1"/>
  <c r="C176" i="1" l="1"/>
  <c r="D176" i="1"/>
  <c r="B176" i="1"/>
  <c r="C33" i="1"/>
  <c r="B33" i="1"/>
  <c r="B149" i="1"/>
  <c r="C149" i="1"/>
  <c r="D149" i="1"/>
  <c r="B184" i="1"/>
  <c r="C184" i="1"/>
  <c r="D184" i="1"/>
  <c r="B186" i="1"/>
  <c r="C186" i="1"/>
  <c r="C180" i="1"/>
  <c r="D180" i="1"/>
  <c r="B180" i="1"/>
  <c r="C298" i="1"/>
  <c r="B298" i="1"/>
  <c r="C295" i="1"/>
  <c r="D295" i="1"/>
  <c r="B295" i="1"/>
  <c r="D153" i="1"/>
  <c r="C153" i="1"/>
  <c r="B153" i="1"/>
  <c r="C152" i="1"/>
  <c r="D152" i="1"/>
  <c r="B152" i="1"/>
  <c r="C53" i="1"/>
  <c r="B53" i="1"/>
  <c r="C203" i="1"/>
  <c r="B203" i="1"/>
  <c r="C199" i="1"/>
  <c r="D199" i="1"/>
  <c r="C200" i="1"/>
  <c r="B200" i="1"/>
  <c r="B199" i="1"/>
  <c r="C192" i="1"/>
  <c r="D192" i="1"/>
  <c r="B192" i="1"/>
  <c r="C191" i="1"/>
  <c r="D191" i="1"/>
  <c r="B191" i="1"/>
  <c r="C190" i="1"/>
  <c r="B190" i="1"/>
  <c r="C189" i="1"/>
  <c r="D189" i="1"/>
  <c r="B189" i="1"/>
  <c r="C188" i="1"/>
  <c r="D188" i="1"/>
  <c r="B188" i="1"/>
  <c r="C183" i="1"/>
  <c r="D183" i="1"/>
  <c r="B183" i="1"/>
  <c r="C182" i="1"/>
  <c r="D182" i="1"/>
  <c r="B182" i="1"/>
  <c r="C178" i="1"/>
  <c r="D178" i="1"/>
  <c r="B178" i="1"/>
  <c r="C177" i="1"/>
  <c r="D177" i="1"/>
  <c r="B177" i="1"/>
  <c r="C174" i="1"/>
  <c r="D174" i="1"/>
  <c r="B174" i="1"/>
  <c r="C173" i="1"/>
  <c r="B173" i="1"/>
  <c r="C172" i="1"/>
  <c r="D172" i="1"/>
  <c r="B172" i="1"/>
  <c r="C159" i="1"/>
  <c r="B159" i="1"/>
  <c r="C147" i="1"/>
  <c r="D147" i="1"/>
  <c r="B147" i="1"/>
  <c r="C145" i="1"/>
  <c r="D145" i="1"/>
  <c r="B145" i="1"/>
  <c r="C143" i="1"/>
  <c r="B143" i="1"/>
  <c r="C138" i="1"/>
  <c r="B138" i="1"/>
  <c r="C98" i="1"/>
  <c r="C100" i="1"/>
  <c r="C79" i="1"/>
  <c r="B79" i="1"/>
  <c r="C78" i="1"/>
  <c r="B78" i="1"/>
  <c r="C60" i="1"/>
  <c r="D60" i="1"/>
  <c r="B60" i="1"/>
  <c r="C59" i="1"/>
  <c r="D59" i="1"/>
  <c r="B59" i="1"/>
  <c r="C58" i="1"/>
  <c r="D58" i="1"/>
  <c r="B58" i="1"/>
  <c r="B56" i="1"/>
  <c r="C55" i="1"/>
  <c r="D55" i="1"/>
  <c r="B55" i="1"/>
  <c r="C54" i="1"/>
  <c r="D54" i="1"/>
  <c r="B54" i="1"/>
  <c r="C52" i="1"/>
  <c r="D52" i="1"/>
  <c r="B52" i="1"/>
  <c r="C51" i="1"/>
  <c r="B51" i="1"/>
  <c r="C50" i="1"/>
  <c r="D50" i="1"/>
  <c r="B50" i="1"/>
  <c r="C49" i="1"/>
  <c r="B49" i="1"/>
  <c r="C44" i="1"/>
  <c r="D44" i="1"/>
  <c r="B44" i="1"/>
  <c r="C31" i="1"/>
  <c r="C32" i="1"/>
  <c r="B32" i="1"/>
  <c r="B31" i="1"/>
  <c r="C34" i="1"/>
  <c r="C35" i="1"/>
  <c r="B34" i="1"/>
  <c r="C41" i="1"/>
  <c r="D41" i="1"/>
  <c r="B41" i="1"/>
  <c r="C40" i="1"/>
  <c r="D40" i="1"/>
  <c r="B40" i="1"/>
  <c r="C39" i="1"/>
  <c r="B39" i="1"/>
  <c r="C38" i="1"/>
  <c r="B38" i="1"/>
  <c r="C37" i="1"/>
  <c r="B37" i="1"/>
  <c r="C36" i="1"/>
  <c r="B36" i="1"/>
  <c r="C30" i="1"/>
  <c r="B30" i="1"/>
  <c r="C29" i="1"/>
  <c r="D29" i="1"/>
  <c r="B29" i="1"/>
  <c r="C28" i="1"/>
  <c r="B28" i="1"/>
  <c r="C27" i="1"/>
  <c r="D27" i="1"/>
  <c r="B27" i="1"/>
  <c r="C26" i="1"/>
  <c r="B26" i="1"/>
  <c r="C23" i="1"/>
  <c r="D23" i="1"/>
  <c r="B23" i="1"/>
  <c r="D209" i="1"/>
  <c r="C209" i="1"/>
  <c r="B209" i="1"/>
  <c r="C216" i="1"/>
  <c r="D216" i="1"/>
  <c r="B216" i="1"/>
  <c r="C218" i="1"/>
  <c r="D218" i="1"/>
  <c r="C219" i="1"/>
  <c r="D219" i="1"/>
  <c r="B219" i="1"/>
  <c r="B218" i="1"/>
  <c r="C221" i="1"/>
  <c r="B221" i="1"/>
  <c r="C233" i="1"/>
  <c r="D233" i="1"/>
  <c r="B233" i="1"/>
  <c r="C237" i="1"/>
  <c r="D237" i="1"/>
  <c r="B237" i="1"/>
  <c r="C236" i="1"/>
  <c r="D236" i="1"/>
  <c r="B236" i="1"/>
  <c r="C235" i="1"/>
  <c r="D235" i="1"/>
  <c r="B235" i="1"/>
  <c r="C234" i="1"/>
  <c r="D234" i="1"/>
  <c r="B234" i="1"/>
  <c r="C238" i="1"/>
  <c r="D238" i="1"/>
  <c r="B238" i="1"/>
  <c r="C239" i="1"/>
  <c r="D239" i="1"/>
  <c r="B239" i="1"/>
  <c r="C242" i="1"/>
  <c r="D242" i="1"/>
  <c r="B242" i="1"/>
  <c r="C243" i="1"/>
  <c r="B243" i="1"/>
  <c r="C244" i="1"/>
  <c r="B244" i="1"/>
  <c r="C258" i="1"/>
  <c r="B258" i="1"/>
  <c r="C264" i="1"/>
  <c r="D264" i="1"/>
  <c r="B264" i="1"/>
  <c r="C266" i="1"/>
  <c r="B266" i="1"/>
  <c r="C275" i="1"/>
  <c r="D275" i="1"/>
  <c r="B275" i="1"/>
  <c r="C276" i="1"/>
  <c r="B276" i="1"/>
  <c r="C277" i="1"/>
  <c r="D277" i="1"/>
  <c r="B277" i="1"/>
  <c r="C279" i="1"/>
  <c r="B279" i="1"/>
  <c r="C278" i="1"/>
  <c r="B278" i="1"/>
  <c r="C282" i="1"/>
  <c r="B282" i="1"/>
  <c r="C288" i="1"/>
  <c r="B288" i="1"/>
  <c r="C305" i="1"/>
  <c r="D305" i="1"/>
  <c r="B305" i="1"/>
  <c r="C306" i="1"/>
  <c r="D306" i="1"/>
  <c r="B306" i="1"/>
  <c r="C307" i="1"/>
  <c r="D307" i="1"/>
  <c r="B307" i="1"/>
  <c r="C308" i="1"/>
  <c r="D308" i="1"/>
  <c r="B308" i="1"/>
  <c r="C309" i="1"/>
  <c r="D309" i="1"/>
  <c r="B309" i="1"/>
  <c r="C316" i="1"/>
  <c r="B316" i="1"/>
  <c r="C319" i="1"/>
  <c r="D319" i="1"/>
  <c r="B319" i="1"/>
  <c r="C320" i="1"/>
  <c r="D320" i="1"/>
  <c r="B320" i="1"/>
  <c r="C321" i="1"/>
  <c r="D321" i="1"/>
  <c r="C322" i="1"/>
  <c r="D322" i="1"/>
  <c r="B322" i="1"/>
  <c r="C315" i="1"/>
  <c r="B315" i="1"/>
  <c r="C304" i="1"/>
  <c r="B304" i="1"/>
  <c r="C301" i="1"/>
  <c r="B301" i="1"/>
  <c r="C294" i="1"/>
  <c r="B294" i="1"/>
  <c r="C274" i="1"/>
  <c r="B274" i="1"/>
  <c r="C269" i="1"/>
  <c r="B269" i="1"/>
  <c r="C231" i="1"/>
  <c r="B231" i="1"/>
  <c r="C214" i="1"/>
  <c r="B214" i="1"/>
  <c r="C207" i="1"/>
  <c r="B207" i="1"/>
  <c r="C170" i="1"/>
  <c r="B170" i="1"/>
  <c r="C137" i="1"/>
  <c r="B137" i="1"/>
  <c r="C77" i="1"/>
  <c r="B77" i="1"/>
  <c r="C21" i="1"/>
  <c r="B21" i="1"/>
  <c r="E81" i="3" l="1"/>
  <c r="D81" i="3" l="1"/>
  <c r="I81" i="3"/>
  <c r="O81" i="3" l="1"/>
  <c r="D80" i="3" l="1"/>
  <c r="I83" i="3"/>
  <c r="I82" i="3"/>
  <c r="O83" i="3"/>
  <c r="O82" i="3" l="1"/>
  <c r="I80" i="3"/>
  <c r="O80" i="3" l="1"/>
  <c r="I198" i="3" l="1"/>
  <c r="I169" i="3" s="1"/>
  <c r="D198" i="3"/>
  <c r="D169" i="3" s="1"/>
  <c r="D260" i="3" l="1"/>
  <c r="I260" i="3"/>
  <c r="O198" i="3"/>
  <c r="O169" i="3" s="1"/>
  <c r="O260" i="3" l="1"/>
  <c r="D168" i="3"/>
  <c r="I176" i="3" l="1"/>
  <c r="I259" i="3" s="1"/>
  <c r="O176" i="3"/>
  <c r="O259" i="3" s="1"/>
  <c r="O168" i="3" l="1"/>
  <c r="I168" i="3"/>
</calcChain>
</file>

<file path=xl/sharedStrings.xml><?xml version="1.0" encoding="utf-8"?>
<sst xmlns="http://schemas.openxmlformats.org/spreadsheetml/2006/main" count="1076" uniqueCount="629">
  <si>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</si>
  <si>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</si>
  <si>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</si>
  <si>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</si>
  <si>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</si>
  <si>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</si>
  <si>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</si>
  <si>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</si>
  <si>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</si>
  <si>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</si>
  <si>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</si>
  <si>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</si>
  <si>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</si>
  <si>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</si>
  <si>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</si>
  <si>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</si>
  <si>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</si>
  <si>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</si>
  <si>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</si>
  <si>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</si>
  <si>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</si>
  <si>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</si>
  <si>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</si>
  <si>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</si>
  <si>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</si>
  <si>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</si>
  <si>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</si>
  <si>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</si>
  <si>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</si>
  <si>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</si>
  <si>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</si>
  <si>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</si>
  <si>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</si>
  <si>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</si>
  <si>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</si>
  <si>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</si>
  <si>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</si>
  <si>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</si>
  <si>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</si>
  <si>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</si>
  <si>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</si>
  <si>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</si>
  <si>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</si>
  <si>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</si>
  <si>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</si>
  <si>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</si>
  <si>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</si>
  <si>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</si>
  <si>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</si>
  <si>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</si>
  <si>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</si>
  <si>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</si>
  <si>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</si>
  <si>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</si>
  <si>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</si>
  <si>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</si>
  <si>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</si>
  <si>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</si>
  <si>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</si>
  <si>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</si>
  <si>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</si>
  <si>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</si>
  <si>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</si>
  <si>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</si>
  <si>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</si>
  <si>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</si>
  <si>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</si>
  <si>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</si>
  <si>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</si>
  <si>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</si>
  <si>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</si>
  <si>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</si>
  <si>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</si>
  <si>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</si>
  <si>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</si>
  <si>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</si>
  <si>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</si>
  <si>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</si>
  <si>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</si>
  <si>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</si>
  <si>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</si>
  <si>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</si>
  <si>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</si>
  <si>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</si>
  <si>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</si>
  <si>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</si>
  <si>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</si>
  <si>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</si>
  <si>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</si>
  <si>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</si>
  <si>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</si>
  <si>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</si>
  <si>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</si>
  <si>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</si>
  <si>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</si>
  <si>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</si>
  <si>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</si>
  <si>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</si>
  <si>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</si>
  <si>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</si>
  <si>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</si>
  <si>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</si>
  <si>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</si>
  <si>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</si>
  <si>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</si>
  <si>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</si>
  <si>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</si>
  <si>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</si>
  <si>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</si>
  <si>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</si>
  <si>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</si>
  <si>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</si>
  <si>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</si>
  <si>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</si>
  <si>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</si>
  <si>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</si>
  <si>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</si>
  <si>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</si>
  <si>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</si>
  <si>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</si>
  <si>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</si>
  <si>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</si>
  <si>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</si>
  <si>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</si>
  <si>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</si>
  <si>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</si>
  <si>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</si>
  <si>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</si>
  <si>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</si>
  <si>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</si>
  <si>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</si>
  <si>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</si>
  <si>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</si>
  <si>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</si>
  <si>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</si>
  <si>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</si>
  <si>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</si>
  <si>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</si>
  <si>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</si>
  <si>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</si>
  <si>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</si>
  <si>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</si>
  <si>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</si>
  <si>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</si>
  <si>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</si>
  <si>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</si>
  <si>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</si>
  <si>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</si>
  <si>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</si>
  <si>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</si>
  <si>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</si>
  <si>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</si>
  <si>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</si>
  <si>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</si>
  <si>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</si>
  <si>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</si>
  <si>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</si>
  <si>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</si>
  <si>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</si>
  <si>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</si>
  <si>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</si>
  <si>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</si>
  <si>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</si>
  <si>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</si>
  <si>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</si>
  <si>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</si>
  <si>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</si>
  <si>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</si>
  <si>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</si>
  <si>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</si>
  <si>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</si>
  <si>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</si>
  <si>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</si>
  <si>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</si>
  <si>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</si>
  <si>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</si>
  <si>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</si>
  <si>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</si>
  <si>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</si>
  <si>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</si>
  <si>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</si>
  <si>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</si>
  <si>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</si>
  <si>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</si>
  <si>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</si>
  <si>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</si>
  <si>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</si>
  <si>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</si>
  <si>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</si>
  <si>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</si>
  <si>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</si>
  <si>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</si>
  <si>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</si>
  <si>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</si>
  <si>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</si>
  <si>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</si>
  <si>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</si>
  <si>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</si>
  <si>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</si>
  <si>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</si>
  <si>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</si>
  <si>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</si>
  <si>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</si>
  <si>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</si>
  <si>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</si>
  <si>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</si>
  <si>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</si>
  <si>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</si>
  <si>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</si>
  <si>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</si>
  <si>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</si>
  <si>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</si>
  <si>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</si>
  <si>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</si>
  <si>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</si>
  <si>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</si>
  <si>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</si>
  <si>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</si>
  <si>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</si>
  <si>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</si>
  <si>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</si>
  <si>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</si>
  <si>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</si>
  <si>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</si>
  <si>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</si>
  <si>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</si>
  <si>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</si>
  <si>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</si>
  <si>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</si>
  <si>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</si>
  <si>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</si>
  <si>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</si>
  <si>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</si>
  <si>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</si>
  <si>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</si>
  <si>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</si>
  <si>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</si>
  <si>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</si>
  <si>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</si>
  <si>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</si>
  <si>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</si>
  <si>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</si>
  <si>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</si>
  <si>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</si>
  <si>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</si>
  <si>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</si>
  <si>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</si>
  <si>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</si>
  <si>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</si>
  <si>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</si>
  <si>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</si>
  <si>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</si>
  <si>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</si>
  <si>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</si>
  <si>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</si>
  <si>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</si>
  <si>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</si>
  <si>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</si>
  <si>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</si>
  <si>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</si>
  <si>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</si>
  <si>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</si>
  <si>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</si>
  <si>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</si>
  <si>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</si>
  <si>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</si>
  <si>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</si>
  <si>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</si>
  <si>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</si>
  <si>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</si>
  <si>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</si>
  <si>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</si>
  <si>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</si>
  <si>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</si>
  <si>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</si>
  <si>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</si>
  <si>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</si>
  <si>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</si>
  <si>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</si>
  <si>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</si>
  <si>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</si>
  <si>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</si>
  <si>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</si>
  <si>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</si>
  <si>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</si>
  <si>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</si>
  <si>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</si>
  <si>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</si>
  <si>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</si>
  <si>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</si>
  <si>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</si>
  <si>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</si>
  <si>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</si>
  <si>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</si>
  <si>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</si>
  <si>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</si>
  <si>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</si>
  <si>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</si>
  <si>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</si>
  <si>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</si>
  <si>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</si>
  <si>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</si>
  <si>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</si>
  <si>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</si>
  <si>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</si>
  <si>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</si>
  <si>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</si>
  <si>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</si>
  <si>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</si>
  <si>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</si>
  <si>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</si>
  <si>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</si>
  <si>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</si>
  <si>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</si>
  <si>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</si>
  <si>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</si>
  <si>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</si>
  <si>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</si>
  <si>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</si>
  <si>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</si>
  <si>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</si>
  <si>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</si>
  <si>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</si>
  <si>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</si>
  <si>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</si>
  <si>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</si>
  <si>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</si>
  <si>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</si>
  <si>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</si>
  <si>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</si>
  <si>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</si>
  <si>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</si>
  <si>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</si>
  <si>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</si>
  <si>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</si>
  <si>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</si>
  <si>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</si>
  <si>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</si>
  <si>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</si>
  <si>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</si>
  <si>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</si>
  <si>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</si>
  <si>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</si>
  <si>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</si>
  <si>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</si>
  <si>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</si>
  <si>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</si>
  <si>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</si>
  <si>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</si>
  <si>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</si>
  <si>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</si>
  <si>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</si>
  <si>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</si>
  <si>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</si>
  <si>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</si>
  <si>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</si>
  <si>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</si>
  <si>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</si>
  <si>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</si>
  <si>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</si>
  <si>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</si>
  <si>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</si>
  <si>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</si>
  <si>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</si>
  <si>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</si>
  <si>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</si>
  <si>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</si>
  <si>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</si>
  <si>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</si>
  <si>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</si>
  <si>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</si>
  <si>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</si>
  <si>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</si>
  <si>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</si>
  <si>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</si>
  <si>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</si>
  <si>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</si>
  <si>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</si>
  <si>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</si>
  <si>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</si>
  <si>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</si>
  <si>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</si>
  <si>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</si>
  <si>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</si>
  <si>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</si>
  <si>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</si>
  <si>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</si>
  <si>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</si>
  <si>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</si>
  <si>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</si>
  <si>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</si>
  <si>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</si>
  <si>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</si>
  <si>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</si>
  <si>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</si>
  <si>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</si>
  <si>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</si>
  <si>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</si>
  <si>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</si>
  <si>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</si>
  <si>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</si>
  <si>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</si>
  <si>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</si>
  <si>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</si>
  <si>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</si>
  <si>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</si>
  <si>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</si>
  <si>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</si>
  <si>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</si>
  <si>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</si>
  <si>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</si>
  <si>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</si>
  <si>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</si>
  <si>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</si>
  <si>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</si>
  <si>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</si>
  <si>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</si>
  <si>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</si>
  <si>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</si>
  <si>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</si>
  <si>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</si>
  <si>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</si>
  <si>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</si>
  <si>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</si>
  <si>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</si>
  <si>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</si>
  <si>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</si>
  <si>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</si>
  <si>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</si>
  <si>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</si>
  <si>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</si>
  <si>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</si>
  <si>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</si>
  <si>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</si>
  <si>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</si>
  <si>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</si>
  <si>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</si>
  <si>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</si>
  <si>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</si>
  <si>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</si>
  <si>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</si>
  <si>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</si>
  <si>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</si>
  <si>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</si>
  <si>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</si>
  <si>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</si>
  <si>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</si>
  <si>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</si>
  <si>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</si>
  <si>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</si>
  <si>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</si>
  <si>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</si>
  <si>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</si>
  <si>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</si>
  <si>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</si>
  <si>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</si>
  <si>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</si>
  <si>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</si>
  <si>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</si>
  <si>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</si>
  <si>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</si>
  <si>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</si>
  <si>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</si>
  <si>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</si>
  <si>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</si>
  <si>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</si>
  <si>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</si>
  <si>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</si>
  <si>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</si>
  <si>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</si>
  <si>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</si>
  <si>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</si>
  <si>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</si>
  <si>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</si>
  <si>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</si>
  <si>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</si>
  <si>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</si>
  <si>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</si>
  <si>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</si>
  <si>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</si>
  <si>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</si>
  <si>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</si>
  <si>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</si>
  <si>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</si>
  <si>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</si>
  <si>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</si>
  <si>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</si>
  <si>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</si>
  <si>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</si>
  <si>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</si>
  <si>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</si>
  <si>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</si>
  <si>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</si>
  <si>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</si>
  <si>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</si>
  <si>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</si>
  <si>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</si>
  <si>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</si>
  <si>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</si>
  <si>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</si>
  <si>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</si>
  <si>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</si>
  <si>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</si>
  <si>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</si>
  <si>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</si>
  <si>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</si>
  <si>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</si>
  <si>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</si>
  <si>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</si>
  <si>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</si>
  <si>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</si>
  <si>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</si>
  <si>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</si>
  <si>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</si>
  <si>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</si>
  <si>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</si>
  <si>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</si>
  <si>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</si>
  <si>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</si>
  <si>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</si>
  <si>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</si>
  <si>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</si>
  <si>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</si>
  <si>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</si>
  <si>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</si>
  <si>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</si>
  <si>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</si>
  <si>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</si>
  <si>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</si>
  <si>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</si>
  <si>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</si>
  <si>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</si>
  <si>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</si>
  <si>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</si>
  <si>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(зі змінами)»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</si>
  <si>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</si>
  <si>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</si>
  <si>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</si>
  <si>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</si>
  <si>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</si>
  <si>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</si>
  <si>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</si>
  <si>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</si>
  <si>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</si>
  <si>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</si>
  <si>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</si>
  <si>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</si>
  <si>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</si>
  <si>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</si>
  <si>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</si>
  <si>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</si>
  <si>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</si>
  <si>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</si>
  <si>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</si>
  <si>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</si>
  <si>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</si>
  <si>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</si>
  <si>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</si>
  <si>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</si>
  <si>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</si>
  <si>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</si>
  <si>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</si>
  <si>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 xml:space="preserve">Утримання та навчально-тренувальна робота комунальних дитячо-юнацьких спортивних шкіл,  у т.ч. за рахунок: 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</si>
  <si>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</si>
  <si>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</si>
  <si>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</si>
  <si>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</si>
  <si>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</si>
  <si>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</si>
  <si>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</si>
  <si>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</si>
  <si>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</si>
  <si>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</si>
  <si>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до      рішення      Сумської     міської         ради</t>
  </si>
  <si>
    <t xml:space="preserve">Сумської  міської  ради від 24 грудня 2020 року </t>
  </si>
  <si>
    <t xml:space="preserve">№ 62 - МР «Про   бюджет    Сумської     міської </t>
  </si>
  <si>
    <t>«Про       внесення       змін       до         рішення</t>
  </si>
  <si>
    <t>до      рішення      Сумської      міської        ради</t>
  </si>
  <si>
    <t>територіальної     громади    на      2021       рік»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</si>
  <si>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</si>
  <si>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</si>
  <si>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</si>
  <si>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</si>
  <si>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</si>
  <si>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</si>
  <si>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</si>
  <si>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</si>
  <si>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</si>
  <si>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</si>
  <si>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</si>
  <si>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Утримання та навчально-тренувальна робота комунальних дитячо-юнацьких спортивних шкіл,  у т.ч. за рахунок:</t>
  </si>
  <si>
    <t>Будівництво та регіональний розвиток,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</si>
  <si>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</t>
    </r>
  </si>
  <si>
    <t>Транспорт та транспортна інфраструктура, дорожнє господарство, 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</si>
  <si>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</si>
  <si>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 у т.ч. за рахунок: 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</si>
  <si>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</si>
  <si>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</si>
  <si>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</si>
  <si>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</si>
  <si>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</si>
  <si>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</si>
  <si>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</si>
  <si>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</si>
  <si>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</si>
  <si>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   Додаток 3</t>
  </si>
  <si>
    <t>територіальної     громади      на      2021      рік»</t>
  </si>
  <si>
    <t xml:space="preserve">Сумської  міської ради від 24 грудня 2020 року </t>
  </si>
  <si>
    <t xml:space="preserve">№ 62 - МР «Про   бюджет    Сумської    міської 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</si>
  <si>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</si>
  <si>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</si>
  <si>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Багатопрофільна стаціонарна медична допомога населенню, у т.ч. за рахунок:</t>
  </si>
  <si>
    <t>Багатопрофільна стаціонарна медична допомога населенню,  у т.ч. за рахунок:</t>
  </si>
  <si>
    <t>1216083</t>
  </si>
  <si>
    <t>Сумський міський голова</t>
  </si>
  <si>
    <t>0219770</t>
  </si>
  <si>
    <t>Олександр ЛИСЕНКО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</si>
  <si>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</si>
  <si>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</si>
  <si>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</si>
  <si>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</si>
  <si>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закладів, </t>
    </r>
    <r>
      <rPr>
        <i/>
        <sz val="12"/>
        <rFont val="Times New Roman"/>
        <family val="1"/>
        <charset val="204"/>
      </rPr>
      <t xml:space="preserve"> у т.ч. за рахунок:</t>
    </r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</si>
  <si>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</si>
  <si>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 xml:space="preserve">                               Додаток 7</t>
  </si>
  <si>
    <t>від     15    грудня    2021   року   №    2549 - МР</t>
  </si>
  <si>
    <t>від    15     грудня     2021   року   №  2549   -  МР</t>
  </si>
  <si>
    <t>«Про       внесення        змін        до        рішення</t>
  </si>
  <si>
    <t>Виконавець: Липова С.А.  ___________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</si>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</sst>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4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67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1" fillId="0" borderId="7" xfId="0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43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45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 applyBorder="1"/>
    <xf numFmtId="0" fontId="21" fillId="0" borderId="0" xfId="0" applyFont="1" applyFill="1" applyAlignment="1">
      <alignment vertical="center" wrapText="1"/>
    </xf>
    <xf numFmtId="4" fontId="50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Border="1" applyAlignment="1">
      <alignment horizontal="right" wrapText="1"/>
    </xf>
    <xf numFmtId="49" fontId="52" fillId="0" borderId="0" xfId="0" applyNumberFormat="1" applyFont="1" applyFill="1" applyBorder="1" applyAlignment="1" applyProtection="1"/>
    <xf numFmtId="3" fontId="52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/>
    <xf numFmtId="0" fontId="31" fillId="0" borderId="7" xfId="0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49" fontId="50" fillId="0" borderId="0" xfId="0" applyNumberFormat="1" applyFont="1" applyFill="1" applyBorder="1" applyAlignment="1"/>
    <xf numFmtId="49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3" fontId="51" fillId="0" borderId="0" xfId="0" applyNumberFormat="1" applyFont="1" applyFill="1" applyAlignment="1"/>
    <xf numFmtId="3" fontId="51" fillId="0" borderId="0" xfId="0" applyNumberFormat="1" applyFont="1" applyFill="1" applyBorder="1" applyAlignment="1"/>
    <xf numFmtId="1" fontId="53" fillId="0" borderId="7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Alignment="1">
      <alignment horizontal="left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Alignment="1"/>
    <xf numFmtId="4" fontId="2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 applyProtection="1">
      <alignment horizontal="left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49" fontId="46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vertical="top"/>
    </xf>
    <xf numFmtId="3" fontId="47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Alignment="1">
      <alignment horizontal="left"/>
    </xf>
    <xf numFmtId="49" fontId="28" fillId="0" borderId="0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8" fillId="0" borderId="7" xfId="0" applyNumberFormat="1" applyFont="1" applyFill="1" applyBorder="1" applyAlignment="1" applyProtection="1">
      <alignment horizontal="center" vertical="center" wrapText="1"/>
    </xf>
    <xf numFmtId="49" fontId="46" fillId="0" borderId="0" xfId="0" applyNumberFormat="1" applyFont="1" applyFill="1" applyAlignment="1" applyProtection="1">
      <alignment horizontal="center" vertical="center"/>
    </xf>
    <xf numFmtId="0" fontId="39" fillId="0" borderId="0" xfId="0" applyFont="1" applyFill="1" applyAlignment="1"/>
    <xf numFmtId="0" fontId="40" fillId="0" borderId="0" xfId="0" applyNumberFormat="1" applyFont="1" applyFill="1" applyBorder="1" applyAlignment="1" applyProtection="1">
      <alignment horizontal="center" vertical="top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G1707"/>
  <sheetViews>
    <sheetView showGridLines="0" showZeros="0" tabSelected="1" view="pageBreakPreview" topLeftCell="A318" zoomScale="68" zoomScaleNormal="82" zoomScaleSheetLayoutView="68" workbookViewId="0">
      <selection activeCell="D329" sqref="D329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2.83203125" style="47" customWidth="1"/>
    <col min="6" max="6" width="22.5" style="47" customWidth="1"/>
    <col min="7" max="7" width="23.83203125" style="47" customWidth="1"/>
    <col min="8" max="8" width="21.5" style="47" customWidth="1"/>
    <col min="9" max="9" width="19.6640625" style="47" customWidth="1"/>
    <col min="10" max="10" width="20.5" style="47" customWidth="1"/>
    <col min="11" max="11" width="22.5" style="47" customWidth="1"/>
    <col min="12" max="12" width="20" style="47" customWidth="1"/>
    <col min="13" max="13" width="19.5" style="47" customWidth="1"/>
    <col min="14" max="14" width="18" style="47" customWidth="1"/>
    <col min="15" max="15" width="21.1640625" style="47" customWidth="1"/>
    <col min="16" max="16" width="23" style="153" bestFit="1" customWidth="1"/>
    <col min="17" max="17" width="11.5" style="28" customWidth="1"/>
    <col min="18" max="18" width="34" style="28" customWidth="1"/>
    <col min="19" max="527" width="9.1640625" style="28"/>
    <col min="528" max="16384" width="9.1640625" style="20"/>
  </cols>
  <sheetData>
    <row r="1" spans="1:527" ht="26.25" customHeight="1" x14ac:dyDescent="0.4">
      <c r="K1" s="148" t="s">
        <v>605</v>
      </c>
      <c r="L1" s="148"/>
      <c r="M1" s="148"/>
      <c r="N1" s="148"/>
      <c r="O1" s="148"/>
      <c r="P1" s="148"/>
    </row>
    <row r="2" spans="1:527" ht="26.25" customHeight="1" x14ac:dyDescent="0.25">
      <c r="K2" s="91" t="s">
        <v>573</v>
      </c>
      <c r="L2" s="91"/>
      <c r="M2" s="91"/>
      <c r="N2" s="91"/>
      <c r="O2" s="91"/>
      <c r="P2" s="91"/>
    </row>
    <row r="3" spans="1:527" ht="26.25" customHeight="1" x14ac:dyDescent="0.4">
      <c r="K3" s="158" t="s">
        <v>626</v>
      </c>
      <c r="L3" s="158"/>
      <c r="M3" s="158"/>
      <c r="N3" s="158"/>
      <c r="O3" s="158"/>
      <c r="P3" s="158"/>
    </row>
    <row r="4" spans="1:527" ht="26.25" customHeight="1" x14ac:dyDescent="0.4">
      <c r="K4" s="158" t="s">
        <v>574</v>
      </c>
      <c r="L4" s="158"/>
      <c r="M4" s="158"/>
      <c r="N4" s="158"/>
      <c r="O4" s="158"/>
      <c r="P4" s="158"/>
    </row>
    <row r="5" spans="1:527" ht="26.25" customHeight="1" x14ac:dyDescent="0.4">
      <c r="K5" s="158" t="s">
        <v>575</v>
      </c>
      <c r="L5" s="158"/>
      <c r="M5" s="158"/>
      <c r="N5" s="158"/>
      <c r="O5" s="158"/>
      <c r="P5" s="158"/>
    </row>
    <row r="6" spans="1:527" ht="28.5" customHeight="1" x14ac:dyDescent="0.4">
      <c r="K6" s="158" t="s">
        <v>606</v>
      </c>
      <c r="L6" s="158"/>
      <c r="M6" s="158"/>
      <c r="N6" s="158"/>
      <c r="O6" s="158"/>
      <c r="P6" s="158"/>
    </row>
    <row r="7" spans="1:527" ht="28.5" customHeight="1" x14ac:dyDescent="0.4">
      <c r="K7" s="146" t="s">
        <v>534</v>
      </c>
      <c r="L7" s="146"/>
      <c r="M7" s="146"/>
      <c r="N7" s="146"/>
      <c r="O7" s="146"/>
      <c r="P7" s="146"/>
    </row>
    <row r="8" spans="1:527" ht="26.25" customHeight="1" x14ac:dyDescent="0.4">
      <c r="K8" s="158" t="s">
        <v>625</v>
      </c>
      <c r="L8" s="158"/>
      <c r="M8" s="158"/>
      <c r="N8" s="158"/>
      <c r="O8" s="158"/>
      <c r="P8" s="158"/>
    </row>
    <row r="9" spans="1:527" ht="26.25" x14ac:dyDescent="0.4">
      <c r="L9" s="62"/>
      <c r="M9" s="62"/>
      <c r="N9" s="62"/>
      <c r="O9" s="62"/>
      <c r="P9" s="62"/>
    </row>
    <row r="10" spans="1:527" s="44" customFormat="1" ht="71.25" customHeight="1" x14ac:dyDescent="0.3">
      <c r="A10" s="160" t="s">
        <v>448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</row>
    <row r="11" spans="1:527" s="44" customFormat="1" ht="23.25" customHeight="1" x14ac:dyDescent="0.35">
      <c r="A11" s="154" t="s">
        <v>583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</row>
    <row r="12" spans="1:527" s="44" customFormat="1" ht="19.5" customHeight="1" x14ac:dyDescent="0.3">
      <c r="A12" s="155" t="s">
        <v>582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</row>
    <row r="13" spans="1:527" s="46" customFormat="1" ht="14.25" customHeight="1" x14ac:dyDescent="0.3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50" t="s">
        <v>358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</row>
    <row r="14" spans="1:527" s="21" customFormat="1" ht="34.5" customHeight="1" x14ac:dyDescent="0.2">
      <c r="A14" s="161" t="s">
        <v>336</v>
      </c>
      <c r="B14" s="162" t="s">
        <v>337</v>
      </c>
      <c r="C14" s="162" t="s">
        <v>327</v>
      </c>
      <c r="D14" s="162" t="s">
        <v>338</v>
      </c>
      <c r="E14" s="163" t="s">
        <v>224</v>
      </c>
      <c r="F14" s="163"/>
      <c r="G14" s="163"/>
      <c r="H14" s="163"/>
      <c r="I14" s="163"/>
      <c r="J14" s="163" t="s">
        <v>225</v>
      </c>
      <c r="K14" s="163"/>
      <c r="L14" s="163"/>
      <c r="M14" s="163"/>
      <c r="N14" s="163"/>
      <c r="O14" s="163"/>
      <c r="P14" s="163" t="s">
        <v>226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</row>
    <row r="15" spans="1:527" s="21" customFormat="1" ht="19.5" customHeight="1" x14ac:dyDescent="0.2">
      <c r="A15" s="161"/>
      <c r="B15" s="162"/>
      <c r="C15" s="162"/>
      <c r="D15" s="162"/>
      <c r="E15" s="157" t="s">
        <v>328</v>
      </c>
      <c r="F15" s="157" t="s">
        <v>227</v>
      </c>
      <c r="G15" s="156" t="s">
        <v>228</v>
      </c>
      <c r="H15" s="156"/>
      <c r="I15" s="157" t="s">
        <v>229</v>
      </c>
      <c r="J15" s="157" t="s">
        <v>328</v>
      </c>
      <c r="K15" s="157" t="s">
        <v>329</v>
      </c>
      <c r="L15" s="157" t="s">
        <v>227</v>
      </c>
      <c r="M15" s="156" t="s">
        <v>228</v>
      </c>
      <c r="N15" s="156"/>
      <c r="O15" s="157" t="s">
        <v>229</v>
      </c>
      <c r="P15" s="163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</row>
    <row r="16" spans="1:527" s="21" customFormat="1" ht="88.5" customHeight="1" x14ac:dyDescent="0.2">
      <c r="A16" s="161"/>
      <c r="B16" s="162"/>
      <c r="C16" s="162"/>
      <c r="D16" s="162"/>
      <c r="E16" s="157"/>
      <c r="F16" s="157"/>
      <c r="G16" s="145" t="s">
        <v>230</v>
      </c>
      <c r="H16" s="145" t="s">
        <v>231</v>
      </c>
      <c r="I16" s="157"/>
      <c r="J16" s="157"/>
      <c r="K16" s="157"/>
      <c r="L16" s="157"/>
      <c r="M16" s="145" t="s">
        <v>230</v>
      </c>
      <c r="N16" s="145" t="s">
        <v>231</v>
      </c>
      <c r="O16" s="157"/>
      <c r="P16" s="163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</row>
    <row r="17" spans="1:527" s="27" customFormat="1" ht="24" customHeight="1" x14ac:dyDescent="0.25">
      <c r="A17" s="119" t="s">
        <v>149</v>
      </c>
      <c r="B17" s="120"/>
      <c r="C17" s="120"/>
      <c r="D17" s="121" t="s">
        <v>35</v>
      </c>
      <c r="E17" s="94">
        <f>E18</f>
        <v>260544443.11000001</v>
      </c>
      <c r="F17" s="94">
        <f t="shared" ref="F17:J17" si="0">F18</f>
        <v>197865747.11000001</v>
      </c>
      <c r="G17" s="94">
        <f t="shared" si="0"/>
        <v>108077445</v>
      </c>
      <c r="H17" s="94">
        <f t="shared" si="0"/>
        <v>6558027</v>
      </c>
      <c r="I17" s="94">
        <f t="shared" si="0"/>
        <v>62678696</v>
      </c>
      <c r="J17" s="94">
        <f t="shared" si="0"/>
        <v>37854433.659999996</v>
      </c>
      <c r="K17" s="94">
        <f t="shared" ref="K17" si="1">K18</f>
        <v>37331638.659999996</v>
      </c>
      <c r="L17" s="94">
        <f t="shared" ref="L17" si="2">L18</f>
        <v>522795</v>
      </c>
      <c r="M17" s="94">
        <f t="shared" ref="M17" si="3">M18</f>
        <v>119291</v>
      </c>
      <c r="N17" s="94">
        <f t="shared" ref="N17" si="4">N18</f>
        <v>51832</v>
      </c>
      <c r="O17" s="94">
        <f t="shared" ref="O17:P17" si="5">O18</f>
        <v>37331638.659999996</v>
      </c>
      <c r="P17" s="94">
        <f t="shared" si="5"/>
        <v>298398876.76999998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</row>
    <row r="18" spans="1:527" s="34" customFormat="1" ht="36" customHeight="1" x14ac:dyDescent="0.25">
      <c r="A18" s="95" t="s">
        <v>150</v>
      </c>
      <c r="B18" s="96"/>
      <c r="C18" s="96"/>
      <c r="D18" s="76" t="s">
        <v>519</v>
      </c>
      <c r="E18" s="97">
        <f>E21+E22+E23+E24+E26+E27+E28+E29+E30+E31+E32+E33+E34+E35+E36+E37+E38+E39+E40+E41+E42+E43+E44+E46+E48+E49+E50+E51+E52+E53+E54+E55+E56+E58+E59+E60+E45+E47+E62+E61</f>
        <v>260544443.11000001</v>
      </c>
      <c r="F18" s="97">
        <f t="shared" ref="F18:P18" si="6">F21+F22+F23+F24+F26+F27+F28+F29+F30+F31+F32+F33+F34+F35+F36+F37+F38+F39+F40+F41+F42+F43+F44+F46+F48+F49+F50+F51+F52+F53+F54+F55+F56+F58+F59+F60+F45+F47+F62+F61</f>
        <v>197865747.11000001</v>
      </c>
      <c r="G18" s="97">
        <f t="shared" si="6"/>
        <v>108077445</v>
      </c>
      <c r="H18" s="97">
        <f t="shared" si="6"/>
        <v>6558027</v>
      </c>
      <c r="I18" s="97">
        <f t="shared" si="6"/>
        <v>62678696</v>
      </c>
      <c r="J18" s="97">
        <f t="shared" si="6"/>
        <v>37854433.659999996</v>
      </c>
      <c r="K18" s="97">
        <f t="shared" si="6"/>
        <v>37331638.659999996</v>
      </c>
      <c r="L18" s="97">
        <f t="shared" si="6"/>
        <v>522795</v>
      </c>
      <c r="M18" s="97">
        <f t="shared" si="6"/>
        <v>119291</v>
      </c>
      <c r="N18" s="97">
        <f t="shared" si="6"/>
        <v>51832</v>
      </c>
      <c r="O18" s="97">
        <f t="shared" si="6"/>
        <v>37331638.659999996</v>
      </c>
      <c r="P18" s="97">
        <f t="shared" si="6"/>
        <v>298398876.76999998</v>
      </c>
      <c r="Q18" s="33"/>
      <c r="R18" s="3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</row>
    <row r="19" spans="1:527" s="34" customFormat="1" ht="63" x14ac:dyDescent="0.25">
      <c r="A19" s="95"/>
      <c r="B19" s="96"/>
      <c r="C19" s="96"/>
      <c r="D19" s="76" t="s">
        <v>382</v>
      </c>
      <c r="E19" s="97">
        <f>E57</f>
        <v>588815</v>
      </c>
      <c r="F19" s="97">
        <f t="shared" ref="F19:P19" si="7">F57</f>
        <v>588815</v>
      </c>
      <c r="G19" s="97">
        <f t="shared" si="7"/>
        <v>482635</v>
      </c>
      <c r="H19" s="97">
        <f t="shared" si="7"/>
        <v>0</v>
      </c>
      <c r="I19" s="97">
        <f t="shared" si="7"/>
        <v>0</v>
      </c>
      <c r="J19" s="97">
        <f t="shared" si="7"/>
        <v>0</v>
      </c>
      <c r="K19" s="97">
        <f t="shared" si="7"/>
        <v>0</v>
      </c>
      <c r="L19" s="97">
        <f t="shared" si="7"/>
        <v>0</v>
      </c>
      <c r="M19" s="97">
        <f t="shared" si="7"/>
        <v>0</v>
      </c>
      <c r="N19" s="97">
        <f t="shared" si="7"/>
        <v>0</v>
      </c>
      <c r="O19" s="97">
        <f t="shared" si="7"/>
        <v>0</v>
      </c>
      <c r="P19" s="97">
        <f t="shared" si="7"/>
        <v>588815</v>
      </c>
      <c r="Q19" s="33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</row>
    <row r="20" spans="1:527" s="34" customFormat="1" ht="63" hidden="1" customHeight="1" x14ac:dyDescent="0.25">
      <c r="A20" s="95"/>
      <c r="B20" s="96"/>
      <c r="C20" s="96"/>
      <c r="D20" s="76" t="str">
        <f>'дод 7'!C23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97">
        <f>E25</f>
        <v>0</v>
      </c>
      <c r="F20" s="97">
        <f t="shared" ref="F20:P20" si="8">F25</f>
        <v>0</v>
      </c>
      <c r="G20" s="97">
        <f t="shared" si="8"/>
        <v>0</v>
      </c>
      <c r="H20" s="97">
        <f t="shared" si="8"/>
        <v>0</v>
      </c>
      <c r="I20" s="97">
        <f t="shared" si="8"/>
        <v>0</v>
      </c>
      <c r="J20" s="97">
        <f t="shared" si="8"/>
        <v>0</v>
      </c>
      <c r="K20" s="97">
        <f t="shared" si="8"/>
        <v>0</v>
      </c>
      <c r="L20" s="97">
        <f t="shared" si="8"/>
        <v>0</v>
      </c>
      <c r="M20" s="97">
        <f t="shared" si="8"/>
        <v>0</v>
      </c>
      <c r="N20" s="97">
        <f t="shared" si="8"/>
        <v>0</v>
      </c>
      <c r="O20" s="97">
        <f t="shared" si="8"/>
        <v>0</v>
      </c>
      <c r="P20" s="97">
        <f t="shared" si="8"/>
        <v>0</v>
      </c>
      <c r="Q20" s="33"/>
      <c r="R20" s="32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</row>
    <row r="21" spans="1:527" s="22" customFormat="1" ht="48" customHeight="1" x14ac:dyDescent="0.25">
      <c r="A21" s="59" t="s">
        <v>151</v>
      </c>
      <c r="B21" s="92" t="str">
        <f>'дод 7'!A19</f>
        <v>0160</v>
      </c>
      <c r="C21" s="92" t="str">
        <f>'дод 7'!B19</f>
        <v>0111</v>
      </c>
      <c r="D21" s="36" t="s">
        <v>493</v>
      </c>
      <c r="E21" s="98">
        <f t="shared" ref="E21:E62" si="9">F21+I21</f>
        <v>113179546</v>
      </c>
      <c r="F21" s="98">
        <f>112926046+38700+214800</f>
        <v>113179546</v>
      </c>
      <c r="G21" s="98">
        <f>82129700+31700+80000</f>
        <v>82241400</v>
      </c>
      <c r="H21" s="98">
        <f>3011146+214800+582000</f>
        <v>3807946</v>
      </c>
      <c r="I21" s="98"/>
      <c r="J21" s="98">
        <f>L21+O21</f>
        <v>0</v>
      </c>
      <c r="K21" s="98"/>
      <c r="L21" s="98"/>
      <c r="M21" s="98"/>
      <c r="N21" s="98"/>
      <c r="O21" s="98"/>
      <c r="P21" s="98">
        <f t="shared" ref="P21:P62" si="10">E21+J21</f>
        <v>113179546</v>
      </c>
      <c r="Q21" s="23"/>
      <c r="R21" s="32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</row>
    <row r="22" spans="1:527" s="22" customFormat="1" ht="35.25" hidden="1" customHeight="1" x14ac:dyDescent="0.25">
      <c r="A22" s="59" t="s">
        <v>451</v>
      </c>
      <c r="B22" s="59" t="s">
        <v>90</v>
      </c>
      <c r="C22" s="59" t="s">
        <v>461</v>
      </c>
      <c r="D22" s="36" t="s">
        <v>452</v>
      </c>
      <c r="E22" s="98">
        <f t="shared" si="9"/>
        <v>0</v>
      </c>
      <c r="F22" s="98">
        <f>200000-200000</f>
        <v>0</v>
      </c>
      <c r="G22" s="98"/>
      <c r="H22" s="98"/>
      <c r="I22" s="98"/>
      <c r="J22" s="98">
        <f>L22+O22</f>
        <v>0</v>
      </c>
      <c r="K22" s="98"/>
      <c r="L22" s="98"/>
      <c r="M22" s="98"/>
      <c r="N22" s="98"/>
      <c r="O22" s="98"/>
      <c r="P22" s="98">
        <f t="shared" si="10"/>
        <v>0</v>
      </c>
      <c r="Q22" s="23"/>
      <c r="R22" s="32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</row>
    <row r="23" spans="1:527" s="22" customFormat="1" ht="28.5" customHeight="1" x14ac:dyDescent="0.25">
      <c r="A23" s="59" t="s">
        <v>241</v>
      </c>
      <c r="B23" s="92" t="str">
        <f>'дод 7'!A21</f>
        <v>0180</v>
      </c>
      <c r="C23" s="92" t="str">
        <f>'дод 7'!B21</f>
        <v>0133</v>
      </c>
      <c r="D23" s="60" t="str">
        <f>'дод 7'!C21</f>
        <v>Інша діяльність у сфері державного управління</v>
      </c>
      <c r="E23" s="98">
        <f t="shared" si="9"/>
        <v>396000</v>
      </c>
      <c r="F23" s="98">
        <v>396000</v>
      </c>
      <c r="G23" s="98"/>
      <c r="H23" s="98"/>
      <c r="I23" s="98"/>
      <c r="J23" s="98">
        <f t="shared" ref="J23:J25" si="11">L23+O23</f>
        <v>0</v>
      </c>
      <c r="K23" s="98"/>
      <c r="L23" s="98"/>
      <c r="M23" s="98"/>
      <c r="N23" s="98"/>
      <c r="O23" s="98"/>
      <c r="P23" s="98">
        <f t="shared" si="10"/>
        <v>396000</v>
      </c>
      <c r="Q23" s="23"/>
      <c r="R23" s="32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</row>
    <row r="24" spans="1:527" s="22" customFormat="1" ht="15.75" hidden="1" customHeight="1" x14ac:dyDescent="0.25">
      <c r="A24" s="59" t="s">
        <v>434</v>
      </c>
      <c r="B24" s="59" t="s">
        <v>435</v>
      </c>
      <c r="C24" s="59" t="s">
        <v>119</v>
      </c>
      <c r="D24" s="60" t="s">
        <v>436</v>
      </c>
      <c r="E24" s="98">
        <f t="shared" si="9"/>
        <v>0</v>
      </c>
      <c r="F24" s="98"/>
      <c r="G24" s="98"/>
      <c r="H24" s="98"/>
      <c r="I24" s="98"/>
      <c r="J24" s="98">
        <f t="shared" si="11"/>
        <v>0</v>
      </c>
      <c r="K24" s="98"/>
      <c r="L24" s="98"/>
      <c r="M24" s="98"/>
      <c r="N24" s="98"/>
      <c r="O24" s="98"/>
      <c r="P24" s="98">
        <f t="shared" si="10"/>
        <v>0</v>
      </c>
      <c r="Q24" s="23"/>
      <c r="R24" s="32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</row>
    <row r="25" spans="1:527" s="24" customFormat="1" ht="60" hidden="1" customHeight="1" x14ac:dyDescent="0.25">
      <c r="A25" s="83"/>
      <c r="B25" s="99"/>
      <c r="C25" s="99"/>
      <c r="D25" s="86" t="str">
        <f>'дод 7'!C23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00">
        <f t="shared" si="9"/>
        <v>0</v>
      </c>
      <c r="F25" s="100"/>
      <c r="G25" s="100"/>
      <c r="H25" s="100"/>
      <c r="I25" s="100"/>
      <c r="J25" s="100">
        <f t="shared" si="11"/>
        <v>0</v>
      </c>
      <c r="K25" s="100"/>
      <c r="L25" s="100"/>
      <c r="M25" s="100"/>
      <c r="N25" s="100"/>
      <c r="O25" s="100"/>
      <c r="P25" s="100">
        <f t="shared" si="10"/>
        <v>0</v>
      </c>
      <c r="Q25" s="30"/>
      <c r="R25" s="3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</row>
    <row r="26" spans="1:527" s="22" customFormat="1" ht="47.25" customHeight="1" x14ac:dyDescent="0.25">
      <c r="A26" s="59" t="s">
        <v>257</v>
      </c>
      <c r="B26" s="92" t="str">
        <f>'дод 7'!A108</f>
        <v>3033</v>
      </c>
      <c r="C26" s="92" t="str">
        <f>'дод 7'!B108</f>
        <v>1070</v>
      </c>
      <c r="D26" s="60" t="s">
        <v>411</v>
      </c>
      <c r="E26" s="98">
        <f t="shared" si="9"/>
        <v>350460</v>
      </c>
      <c r="F26" s="98">
        <f>314360+36100</f>
        <v>350460</v>
      </c>
      <c r="G26" s="98"/>
      <c r="H26" s="98"/>
      <c r="I26" s="98"/>
      <c r="J26" s="98">
        <f t="shared" ref="J26:J62" si="12">L26+O26</f>
        <v>0</v>
      </c>
      <c r="K26" s="98"/>
      <c r="L26" s="98"/>
      <c r="M26" s="98"/>
      <c r="N26" s="98"/>
      <c r="O26" s="98"/>
      <c r="P26" s="98">
        <f t="shared" si="10"/>
        <v>350460</v>
      </c>
      <c r="Q26" s="23"/>
      <c r="R26" s="32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</row>
    <row r="27" spans="1:527" s="22" customFormat="1" ht="31.5" customHeight="1" x14ac:dyDescent="0.25">
      <c r="A27" s="59" t="s">
        <v>152</v>
      </c>
      <c r="B27" s="92" t="str">
        <f>'дод 7'!A111</f>
        <v>3036</v>
      </c>
      <c r="C27" s="92" t="str">
        <f>'дод 7'!B111</f>
        <v>1070</v>
      </c>
      <c r="D27" s="60" t="str">
        <f>'дод 7'!C111</f>
        <v>Компенсаційні виплати на пільговий проїзд електротранспортом окремим категоріям громадян</v>
      </c>
      <c r="E27" s="98">
        <f t="shared" si="9"/>
        <v>467186</v>
      </c>
      <c r="F27" s="98">
        <f>465886-45400+46700</f>
        <v>467186</v>
      </c>
      <c r="G27" s="98"/>
      <c r="H27" s="98"/>
      <c r="I27" s="98"/>
      <c r="J27" s="98">
        <f t="shared" si="12"/>
        <v>0</v>
      </c>
      <c r="K27" s="98"/>
      <c r="L27" s="98"/>
      <c r="M27" s="98"/>
      <c r="N27" s="98"/>
      <c r="O27" s="98"/>
      <c r="P27" s="98">
        <f t="shared" si="10"/>
        <v>467186</v>
      </c>
      <c r="Q27" s="23"/>
      <c r="R27" s="32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</row>
    <row r="28" spans="1:527" s="22" customFormat="1" ht="36" customHeight="1" x14ac:dyDescent="0.25">
      <c r="A28" s="59" t="s">
        <v>153</v>
      </c>
      <c r="B28" s="92" t="str">
        <f>'дод 7'!A119</f>
        <v>3121</v>
      </c>
      <c r="C28" s="92" t="str">
        <f>'дод 7'!B119</f>
        <v>1040</v>
      </c>
      <c r="D28" s="60" t="s">
        <v>500</v>
      </c>
      <c r="E28" s="98">
        <f t="shared" si="9"/>
        <v>3222540</v>
      </c>
      <c r="F28" s="98">
        <f>3210440+9700+2400</f>
        <v>3222540</v>
      </c>
      <c r="G28" s="98">
        <v>2407050</v>
      </c>
      <c r="H28" s="98">
        <f>43630+9700+2400</f>
        <v>55730</v>
      </c>
      <c r="I28" s="98"/>
      <c r="J28" s="98">
        <f t="shared" si="12"/>
        <v>0</v>
      </c>
      <c r="K28" s="98"/>
      <c r="L28" s="98"/>
      <c r="M28" s="98"/>
      <c r="N28" s="98"/>
      <c r="O28" s="98"/>
      <c r="P28" s="98">
        <f t="shared" si="10"/>
        <v>3222540</v>
      </c>
      <c r="Q28" s="23"/>
      <c r="R28" s="32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</row>
    <row r="29" spans="1:527" s="22" customFormat="1" ht="48.75" customHeight="1" x14ac:dyDescent="0.25">
      <c r="A29" s="59" t="s">
        <v>154</v>
      </c>
      <c r="B29" s="92" t="str">
        <f>'дод 7'!A120</f>
        <v>3131</v>
      </c>
      <c r="C29" s="92" t="str">
        <f>'дод 7'!B120</f>
        <v>1040</v>
      </c>
      <c r="D29" s="60" t="str">
        <f>'дод 7'!C120</f>
        <v>Здійснення заходів та реалізація проектів на виконання Державної цільової соціальної програми "Молодь України"</v>
      </c>
      <c r="E29" s="98">
        <f t="shared" si="9"/>
        <v>556216</v>
      </c>
      <c r="F29" s="98">
        <f>783850-128084-99550</f>
        <v>556216</v>
      </c>
      <c r="G29" s="98"/>
      <c r="H29" s="98"/>
      <c r="I29" s="98"/>
      <c r="J29" s="98">
        <f t="shared" si="12"/>
        <v>0</v>
      </c>
      <c r="K29" s="98"/>
      <c r="L29" s="98"/>
      <c r="M29" s="98"/>
      <c r="N29" s="98"/>
      <c r="O29" s="98"/>
      <c r="P29" s="98">
        <f t="shared" si="10"/>
        <v>556216</v>
      </c>
      <c r="Q29" s="23"/>
      <c r="R29" s="32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</row>
    <row r="30" spans="1:527" s="22" customFormat="1" ht="63" x14ac:dyDescent="0.25">
      <c r="A30" s="59" t="s">
        <v>155</v>
      </c>
      <c r="B30" s="92" t="str">
        <f>'дод 7'!A121</f>
        <v>3140</v>
      </c>
      <c r="C30" s="92" t="str">
        <f>'дод 7'!B121</f>
        <v>1040</v>
      </c>
      <c r="D30" s="60" t="s">
        <v>20</v>
      </c>
      <c r="E30" s="98">
        <f t="shared" si="9"/>
        <v>280000</v>
      </c>
      <c r="F30" s="98">
        <v>280000</v>
      </c>
      <c r="G30" s="98"/>
      <c r="H30" s="98"/>
      <c r="I30" s="98"/>
      <c r="J30" s="98">
        <f t="shared" si="12"/>
        <v>0</v>
      </c>
      <c r="K30" s="98"/>
      <c r="L30" s="98"/>
      <c r="M30" s="98"/>
      <c r="N30" s="98"/>
      <c r="O30" s="98"/>
      <c r="P30" s="98">
        <f t="shared" si="10"/>
        <v>280000</v>
      </c>
      <c r="Q30" s="23"/>
      <c r="R30" s="32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</row>
    <row r="31" spans="1:527" s="22" customFormat="1" ht="32.25" customHeight="1" x14ac:dyDescent="0.25">
      <c r="A31" s="59" t="s">
        <v>305</v>
      </c>
      <c r="B31" s="92" t="str">
        <f>'дод 7'!A138</f>
        <v>3241</v>
      </c>
      <c r="C31" s="92" t="str">
        <f>'дод 7'!B138</f>
        <v>1090</v>
      </c>
      <c r="D31" s="3" t="s">
        <v>292</v>
      </c>
      <c r="E31" s="98">
        <f t="shared" si="9"/>
        <v>1559812</v>
      </c>
      <c r="F31" s="98">
        <f>1539992+12900+6920</f>
        <v>1559812</v>
      </c>
      <c r="G31" s="98">
        <f>1078950-832</f>
        <v>1078118</v>
      </c>
      <c r="H31" s="98">
        <f>118232+12900+6920</f>
        <v>138052</v>
      </c>
      <c r="I31" s="98"/>
      <c r="J31" s="98">
        <f t="shared" si="12"/>
        <v>0</v>
      </c>
      <c r="K31" s="98"/>
      <c r="L31" s="98"/>
      <c r="M31" s="98"/>
      <c r="N31" s="98"/>
      <c r="O31" s="98"/>
      <c r="P31" s="98">
        <f t="shared" si="10"/>
        <v>1559812</v>
      </c>
      <c r="Q31" s="23"/>
      <c r="R31" s="32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</row>
    <row r="32" spans="1:527" s="22" customFormat="1" ht="33.75" customHeight="1" x14ac:dyDescent="0.25">
      <c r="A32" s="59" t="s">
        <v>306</v>
      </c>
      <c r="B32" s="92" t="str">
        <f>'дод 7'!A139</f>
        <v>3242</v>
      </c>
      <c r="C32" s="92" t="str">
        <f>'дод 7'!B139</f>
        <v>1090</v>
      </c>
      <c r="D32" s="60" t="s">
        <v>412</v>
      </c>
      <c r="E32" s="98">
        <f t="shared" si="9"/>
        <v>257400</v>
      </c>
      <c r="F32" s="98">
        <v>257400</v>
      </c>
      <c r="G32" s="98"/>
      <c r="H32" s="98"/>
      <c r="I32" s="98"/>
      <c r="J32" s="98">
        <f t="shared" si="12"/>
        <v>0</v>
      </c>
      <c r="K32" s="98"/>
      <c r="L32" s="98"/>
      <c r="M32" s="98"/>
      <c r="N32" s="98"/>
      <c r="O32" s="98"/>
      <c r="P32" s="98">
        <f t="shared" si="10"/>
        <v>257400</v>
      </c>
      <c r="Q32" s="23"/>
      <c r="R32" s="3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</row>
    <row r="33" spans="1:527" s="22" customFormat="1" ht="49.5" customHeight="1" x14ac:dyDescent="0.25">
      <c r="A33" s="59" t="s">
        <v>318</v>
      </c>
      <c r="B33" s="92" t="str">
        <f>'дод 7'!A143</f>
        <v>4060</v>
      </c>
      <c r="C33" s="92" t="str">
        <f>'дод 7'!B143</f>
        <v>0828</v>
      </c>
      <c r="D33" s="60" t="s">
        <v>321</v>
      </c>
      <c r="E33" s="98">
        <f t="shared" si="9"/>
        <v>5164600</v>
      </c>
      <c r="F33" s="101">
        <f>4945509-36200+255291</f>
        <v>5164600</v>
      </c>
      <c r="G33" s="98">
        <f>2526200+209255</f>
        <v>2735455</v>
      </c>
      <c r="H33" s="98">
        <f>724709-36200</f>
        <v>688509</v>
      </c>
      <c r="I33" s="98"/>
      <c r="J33" s="98">
        <f t="shared" si="12"/>
        <v>0</v>
      </c>
      <c r="K33" s="98"/>
      <c r="L33" s="98"/>
      <c r="M33" s="98"/>
      <c r="N33" s="98"/>
      <c r="O33" s="98"/>
      <c r="P33" s="98">
        <f t="shared" si="10"/>
        <v>5164600</v>
      </c>
      <c r="Q33" s="23"/>
      <c r="R33" s="32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</row>
    <row r="34" spans="1:527" s="22" customFormat="1" ht="30.75" customHeight="1" x14ac:dyDescent="0.25">
      <c r="A34" s="59" t="s">
        <v>303</v>
      </c>
      <c r="B34" s="92" t="str">
        <f>'дод 7'!A144</f>
        <v>4081</v>
      </c>
      <c r="C34" s="92" t="str">
        <f>'дод 7'!B144</f>
        <v>0829</v>
      </c>
      <c r="D34" s="60" t="s">
        <v>343</v>
      </c>
      <c r="E34" s="98">
        <f t="shared" si="9"/>
        <v>3073881</v>
      </c>
      <c r="F34" s="98">
        <f>2963381+92000+18500</f>
        <v>3073881</v>
      </c>
      <c r="G34" s="98">
        <f>1687000-15000</f>
        <v>1672000</v>
      </c>
      <c r="H34" s="98">
        <f>93181+18500</f>
        <v>111681</v>
      </c>
      <c r="I34" s="98"/>
      <c r="J34" s="98">
        <f t="shared" si="12"/>
        <v>65000</v>
      </c>
      <c r="K34" s="98">
        <v>65000</v>
      </c>
      <c r="L34" s="98"/>
      <c r="M34" s="98"/>
      <c r="N34" s="98"/>
      <c r="O34" s="98">
        <v>65000</v>
      </c>
      <c r="P34" s="98">
        <f t="shared" si="10"/>
        <v>3138881</v>
      </c>
      <c r="Q34" s="23"/>
      <c r="R34" s="32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</row>
    <row r="35" spans="1:527" s="22" customFormat="1" ht="25.5" customHeight="1" x14ac:dyDescent="0.25">
      <c r="A35" s="59" t="s">
        <v>304</v>
      </c>
      <c r="B35" s="92">
        <v>4082</v>
      </c>
      <c r="C35" s="92" t="str">
        <f>'дод 7'!B145</f>
        <v>0829</v>
      </c>
      <c r="D35" s="60" t="s">
        <v>295</v>
      </c>
      <c r="E35" s="98">
        <f t="shared" si="9"/>
        <v>417511</v>
      </c>
      <c r="F35" s="98">
        <f>424181-6670</f>
        <v>417511</v>
      </c>
      <c r="G35" s="98"/>
      <c r="H35" s="98"/>
      <c r="I35" s="98"/>
      <c r="J35" s="98">
        <f t="shared" si="12"/>
        <v>0</v>
      </c>
      <c r="K35" s="98"/>
      <c r="L35" s="98"/>
      <c r="M35" s="98"/>
      <c r="N35" s="98"/>
      <c r="O35" s="98"/>
      <c r="P35" s="98">
        <f t="shared" si="10"/>
        <v>417511</v>
      </c>
      <c r="Q35" s="23"/>
      <c r="R35" s="32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</row>
    <row r="36" spans="1:527" s="22" customFormat="1" ht="36.75" customHeight="1" x14ac:dyDescent="0.25">
      <c r="A36" s="102" t="s">
        <v>156</v>
      </c>
      <c r="B36" s="42" t="str">
        <f>'дод 7'!A148</f>
        <v>5011</v>
      </c>
      <c r="C36" s="42" t="str">
        <f>'дод 7'!B148</f>
        <v>0810</v>
      </c>
      <c r="D36" s="36" t="s">
        <v>21</v>
      </c>
      <c r="E36" s="98">
        <f t="shared" si="9"/>
        <v>710000</v>
      </c>
      <c r="F36" s="98">
        <v>710000</v>
      </c>
      <c r="G36" s="98"/>
      <c r="H36" s="98"/>
      <c r="I36" s="98"/>
      <c r="J36" s="98">
        <f t="shared" si="12"/>
        <v>0</v>
      </c>
      <c r="K36" s="98"/>
      <c r="L36" s="98"/>
      <c r="M36" s="98"/>
      <c r="N36" s="98"/>
      <c r="O36" s="98"/>
      <c r="P36" s="98">
        <f t="shared" si="10"/>
        <v>710000</v>
      </c>
      <c r="Q36" s="23"/>
      <c r="R36" s="32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</row>
    <row r="37" spans="1:527" s="22" customFormat="1" ht="34.5" customHeight="1" x14ac:dyDescent="0.25">
      <c r="A37" s="102" t="s">
        <v>157</v>
      </c>
      <c r="B37" s="42" t="str">
        <f>'дод 7'!A149</f>
        <v>5012</v>
      </c>
      <c r="C37" s="42" t="str">
        <f>'дод 7'!B149</f>
        <v>0810</v>
      </c>
      <c r="D37" s="36" t="s">
        <v>16</v>
      </c>
      <c r="E37" s="98">
        <f t="shared" si="9"/>
        <v>1031480</v>
      </c>
      <c r="F37" s="98">
        <v>1031480</v>
      </c>
      <c r="G37" s="98"/>
      <c r="H37" s="98"/>
      <c r="I37" s="98"/>
      <c r="J37" s="98">
        <f t="shared" si="12"/>
        <v>0</v>
      </c>
      <c r="K37" s="98"/>
      <c r="L37" s="98"/>
      <c r="M37" s="98"/>
      <c r="N37" s="98"/>
      <c r="O37" s="98"/>
      <c r="P37" s="98">
        <f t="shared" si="10"/>
        <v>1031480</v>
      </c>
      <c r="Q37" s="23"/>
      <c r="R37" s="3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</row>
    <row r="38" spans="1:527" s="22" customFormat="1" ht="34.5" customHeight="1" x14ac:dyDescent="0.25">
      <c r="A38" s="102" t="s">
        <v>158</v>
      </c>
      <c r="B38" s="42" t="str">
        <f>'дод 7'!A150</f>
        <v>5031</v>
      </c>
      <c r="C38" s="42" t="str">
        <f>'дод 7'!B150</f>
        <v>0810</v>
      </c>
      <c r="D38" s="36" t="s">
        <v>601</v>
      </c>
      <c r="E38" s="98">
        <f t="shared" si="9"/>
        <v>18432123</v>
      </c>
      <c r="F38" s="98">
        <f>18039683+5000+81600+69600+47240+49000+70000+70000</f>
        <v>18432123</v>
      </c>
      <c r="G38" s="98">
        <f>12968625-3090+66900+17457+5600</f>
        <v>13055492</v>
      </c>
      <c r="H38" s="98">
        <f>840273+69600+1560+47240</f>
        <v>958673</v>
      </c>
      <c r="I38" s="98"/>
      <c r="J38" s="98">
        <f t="shared" si="12"/>
        <v>200700</v>
      </c>
      <c r="K38" s="98">
        <v>200700</v>
      </c>
      <c r="L38" s="98"/>
      <c r="M38" s="98"/>
      <c r="N38" s="98"/>
      <c r="O38" s="98">
        <v>200700</v>
      </c>
      <c r="P38" s="98">
        <f t="shared" si="10"/>
        <v>18632823</v>
      </c>
      <c r="Q38" s="23"/>
      <c r="R38" s="3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</row>
    <row r="39" spans="1:527" s="22" customFormat="1" ht="33.75" customHeight="1" x14ac:dyDescent="0.25">
      <c r="A39" s="102" t="s">
        <v>357</v>
      </c>
      <c r="B39" s="42" t="str">
        <f>'дод 7'!A152</f>
        <v>5032</v>
      </c>
      <c r="C39" s="42" t="str">
        <f>'дод 7'!B152</f>
        <v>0810</v>
      </c>
      <c r="D39" s="36" t="s">
        <v>22</v>
      </c>
      <c r="E39" s="98">
        <f t="shared" si="9"/>
        <v>14994942</v>
      </c>
      <c r="F39" s="98">
        <f>14952642+10000+17300+15000</f>
        <v>14994942</v>
      </c>
      <c r="G39" s="98"/>
      <c r="H39" s="98"/>
      <c r="I39" s="98"/>
      <c r="J39" s="98">
        <f t="shared" si="12"/>
        <v>357100</v>
      </c>
      <c r="K39" s="98">
        <f>372100-15000</f>
        <v>357100</v>
      </c>
      <c r="L39" s="98"/>
      <c r="M39" s="98"/>
      <c r="N39" s="98"/>
      <c r="O39" s="98">
        <f>372100-15000</f>
        <v>357100</v>
      </c>
      <c r="P39" s="98">
        <f t="shared" si="10"/>
        <v>15352042</v>
      </c>
      <c r="Q39" s="23"/>
      <c r="R39" s="32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</row>
    <row r="40" spans="1:527" s="22" customFormat="1" ht="63" x14ac:dyDescent="0.25">
      <c r="A40" s="102" t="s">
        <v>159</v>
      </c>
      <c r="B40" s="42" t="str">
        <f>'дод 7'!A153</f>
        <v>5061</v>
      </c>
      <c r="C40" s="42" t="str">
        <f>'дод 7'!B153</f>
        <v>0810</v>
      </c>
      <c r="D40" s="36" t="str">
        <f>'дод 7'!C153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98">
        <f t="shared" si="9"/>
        <v>5088784</v>
      </c>
      <c r="F40" s="98">
        <f>4983184+105600</f>
        <v>5088784</v>
      </c>
      <c r="G40" s="98">
        <f>2987400-6370</f>
        <v>2981030</v>
      </c>
      <c r="H40" s="98">
        <f>319039+105600</f>
        <v>424639</v>
      </c>
      <c r="I40" s="98"/>
      <c r="J40" s="98">
        <f t="shared" si="12"/>
        <v>1742994</v>
      </c>
      <c r="K40" s="98">
        <v>1530000</v>
      </c>
      <c r="L40" s="98">
        <v>212994</v>
      </c>
      <c r="M40" s="98">
        <v>119291</v>
      </c>
      <c r="N40" s="98">
        <v>50432</v>
      </c>
      <c r="O40" s="98">
        <v>1530000</v>
      </c>
      <c r="P40" s="98">
        <f t="shared" si="10"/>
        <v>6831778</v>
      </c>
      <c r="Q40" s="23"/>
      <c r="R40" s="32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</row>
    <row r="41" spans="1:527" s="22" customFormat="1" ht="47.25" x14ac:dyDescent="0.25">
      <c r="A41" s="102" t="s">
        <v>349</v>
      </c>
      <c r="B41" s="42" t="str">
        <f>'дод 7'!A154</f>
        <v>5062</v>
      </c>
      <c r="C41" s="42" t="str">
        <f>'дод 7'!B154</f>
        <v>0810</v>
      </c>
      <c r="D41" s="36" t="str">
        <f>'дод 7'!C154</f>
        <v>Підтримка спорту вищих досягнень та організацій, які здійснюють фізкультурно-спортивну діяльність в регіоні</v>
      </c>
      <c r="E41" s="98">
        <f t="shared" si="9"/>
        <v>16391395</v>
      </c>
      <c r="F41" s="98">
        <f>14968695+500000+47700+50000+825000</f>
        <v>16391395</v>
      </c>
      <c r="G41" s="98"/>
      <c r="H41" s="98"/>
      <c r="I41" s="98"/>
      <c r="J41" s="98">
        <f t="shared" si="12"/>
        <v>0</v>
      </c>
      <c r="K41" s="98"/>
      <c r="L41" s="98"/>
      <c r="M41" s="98"/>
      <c r="N41" s="98"/>
      <c r="O41" s="98"/>
      <c r="P41" s="98">
        <f t="shared" si="10"/>
        <v>16391395</v>
      </c>
      <c r="Q41" s="23"/>
      <c r="R41" s="32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</row>
    <row r="42" spans="1:527" s="22" customFormat="1" ht="39" customHeight="1" x14ac:dyDescent="0.25">
      <c r="A42" s="102" t="s">
        <v>414</v>
      </c>
      <c r="B42" s="42">
        <v>7325</v>
      </c>
      <c r="C42" s="72" t="s">
        <v>111</v>
      </c>
      <c r="D42" s="6" t="s">
        <v>545</v>
      </c>
      <c r="E42" s="98">
        <f t="shared" si="9"/>
        <v>0</v>
      </c>
      <c r="F42" s="98"/>
      <c r="G42" s="98"/>
      <c r="H42" s="98"/>
      <c r="I42" s="98"/>
      <c r="J42" s="98">
        <f t="shared" si="12"/>
        <v>7444674</v>
      </c>
      <c r="K42" s="98">
        <f>9790000-325291-1950035-70000</f>
        <v>7444674</v>
      </c>
      <c r="L42" s="98"/>
      <c r="M42" s="98"/>
      <c r="N42" s="98"/>
      <c r="O42" s="98">
        <f>9790000-325291-1950035-70000</f>
        <v>7444674</v>
      </c>
      <c r="P42" s="98">
        <f t="shared" si="10"/>
        <v>7444674</v>
      </c>
      <c r="Q42" s="23"/>
      <c r="R42" s="3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</row>
    <row r="43" spans="1:527" s="22" customFormat="1" ht="18.75" x14ac:dyDescent="0.25">
      <c r="A43" s="102" t="s">
        <v>415</v>
      </c>
      <c r="B43" s="42">
        <v>7330</v>
      </c>
      <c r="C43" s="72" t="s">
        <v>111</v>
      </c>
      <c r="D43" s="6" t="s">
        <v>546</v>
      </c>
      <c r="E43" s="98">
        <f t="shared" si="9"/>
        <v>0</v>
      </c>
      <c r="F43" s="98"/>
      <c r="G43" s="98"/>
      <c r="H43" s="98"/>
      <c r="I43" s="98"/>
      <c r="J43" s="98">
        <f t="shared" si="12"/>
        <v>400000</v>
      </c>
      <c r="K43" s="98">
        <v>400000</v>
      </c>
      <c r="L43" s="98"/>
      <c r="M43" s="98"/>
      <c r="N43" s="98"/>
      <c r="O43" s="98">
        <v>400000</v>
      </c>
      <c r="P43" s="98">
        <f t="shared" si="10"/>
        <v>400000</v>
      </c>
      <c r="Q43" s="23"/>
      <c r="R43" s="32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</row>
    <row r="44" spans="1:527" s="22" customFormat="1" ht="31.5" x14ac:dyDescent="0.25">
      <c r="A44" s="102" t="s">
        <v>160</v>
      </c>
      <c r="B44" s="42" t="str">
        <f>'дод 7'!A201</f>
        <v>7412</v>
      </c>
      <c r="C44" s="42" t="str">
        <f>'дод 7'!B201</f>
        <v>0451</v>
      </c>
      <c r="D44" s="36" t="str">
        <f>'дод 7'!C201</f>
        <v>Регулювання цін на послуги місцевого автотранспорту</v>
      </c>
      <c r="E44" s="98">
        <f t="shared" si="9"/>
        <v>6542500</v>
      </c>
      <c r="F44" s="98"/>
      <c r="G44" s="98"/>
      <c r="H44" s="98"/>
      <c r="I44" s="98">
        <v>6542500</v>
      </c>
      <c r="J44" s="98">
        <f t="shared" si="12"/>
        <v>0</v>
      </c>
      <c r="K44" s="98"/>
      <c r="L44" s="98"/>
      <c r="M44" s="98"/>
      <c r="N44" s="98"/>
      <c r="O44" s="98"/>
      <c r="P44" s="98">
        <f t="shared" si="10"/>
        <v>6542500</v>
      </c>
      <c r="Q44" s="23"/>
      <c r="R44" s="32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</row>
    <row r="45" spans="1:527" s="22" customFormat="1" ht="24" customHeight="1" x14ac:dyDescent="0.25">
      <c r="A45" s="102" t="s">
        <v>377</v>
      </c>
      <c r="B45" s="42">
        <f>'дод 7'!A202</f>
        <v>7413</v>
      </c>
      <c r="C45" s="42" t="str">
        <f>'дод 7'!B202</f>
        <v>0451</v>
      </c>
      <c r="D45" s="103" t="str">
        <f>'дод 7'!C202</f>
        <v>Інші заходи у сфері автотранспорту</v>
      </c>
      <c r="E45" s="98">
        <f t="shared" si="9"/>
        <v>12800000</v>
      </c>
      <c r="F45" s="98"/>
      <c r="G45" s="98"/>
      <c r="H45" s="98"/>
      <c r="I45" s="98">
        <v>12800000</v>
      </c>
      <c r="J45" s="98">
        <f t="shared" si="12"/>
        <v>0</v>
      </c>
      <c r="K45" s="98"/>
      <c r="L45" s="98"/>
      <c r="M45" s="98"/>
      <c r="N45" s="98"/>
      <c r="O45" s="98"/>
      <c r="P45" s="98">
        <f t="shared" si="10"/>
        <v>12800000</v>
      </c>
      <c r="Q45" s="23"/>
      <c r="R45" s="32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</row>
    <row r="46" spans="1:527" s="22" customFormat="1" ht="31.5" x14ac:dyDescent="0.25">
      <c r="A46" s="102" t="s">
        <v>564</v>
      </c>
      <c r="B46" s="42">
        <v>7422</v>
      </c>
      <c r="C46" s="102" t="s">
        <v>413</v>
      </c>
      <c r="D46" s="103" t="s">
        <v>565</v>
      </c>
      <c r="E46" s="98">
        <f t="shared" si="9"/>
        <v>5893900</v>
      </c>
      <c r="F46" s="98"/>
      <c r="G46" s="98"/>
      <c r="H46" s="98"/>
      <c r="I46" s="98">
        <f>4314400+1579500</f>
        <v>5893900</v>
      </c>
      <c r="J46" s="98">
        <f t="shared" si="12"/>
        <v>0</v>
      </c>
      <c r="K46" s="98"/>
      <c r="L46" s="98"/>
      <c r="M46" s="98"/>
      <c r="N46" s="98"/>
      <c r="O46" s="98"/>
      <c r="P46" s="98">
        <f t="shared" si="10"/>
        <v>5893900</v>
      </c>
      <c r="Q46" s="23"/>
      <c r="R46" s="32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</row>
    <row r="47" spans="1:527" s="22" customFormat="1" ht="24" customHeight="1" x14ac:dyDescent="0.25">
      <c r="A47" s="102" t="s">
        <v>378</v>
      </c>
      <c r="B47" s="42">
        <f>'дод 7'!A204</f>
        <v>7426</v>
      </c>
      <c r="C47" s="102" t="s">
        <v>413</v>
      </c>
      <c r="D47" s="103" t="str">
        <f>'дод 7'!C204</f>
        <v>Інші заходи у сфері електротранспорту</v>
      </c>
      <c r="E47" s="98">
        <f t="shared" si="9"/>
        <v>37442296</v>
      </c>
      <c r="F47" s="98"/>
      <c r="G47" s="98"/>
      <c r="H47" s="98"/>
      <c r="I47" s="98">
        <v>37442296</v>
      </c>
      <c r="J47" s="98">
        <f t="shared" si="12"/>
        <v>0</v>
      </c>
      <c r="K47" s="98"/>
      <c r="L47" s="98"/>
      <c r="M47" s="98"/>
      <c r="N47" s="98"/>
      <c r="O47" s="98"/>
      <c r="P47" s="98">
        <f t="shared" si="10"/>
        <v>37442296</v>
      </c>
      <c r="Q47" s="23"/>
      <c r="R47" s="32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</row>
    <row r="48" spans="1:527" s="22" customFormat="1" ht="24" hidden="1" customHeight="1" x14ac:dyDescent="0.25">
      <c r="A48" s="102" t="s">
        <v>453</v>
      </c>
      <c r="B48" s="102" t="s">
        <v>454</v>
      </c>
      <c r="C48" s="102" t="s">
        <v>400</v>
      </c>
      <c r="D48" s="103" t="s">
        <v>460</v>
      </c>
      <c r="E48" s="98">
        <f t="shared" si="9"/>
        <v>0</v>
      </c>
      <c r="F48" s="98">
        <f>140000-140000</f>
        <v>0</v>
      </c>
      <c r="G48" s="98"/>
      <c r="H48" s="98"/>
      <c r="I48" s="98"/>
      <c r="J48" s="98">
        <f t="shared" si="12"/>
        <v>0</v>
      </c>
      <c r="K48" s="98"/>
      <c r="L48" s="98"/>
      <c r="M48" s="98"/>
      <c r="N48" s="98"/>
      <c r="O48" s="98"/>
      <c r="P48" s="98">
        <f t="shared" si="10"/>
        <v>0</v>
      </c>
      <c r="Q48" s="23"/>
      <c r="R48" s="32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</row>
    <row r="49" spans="1:527" s="22" customFormat="1" ht="30.75" customHeight="1" x14ac:dyDescent="0.25">
      <c r="A49" s="102" t="s">
        <v>233</v>
      </c>
      <c r="B49" s="42" t="str">
        <f>'дод 7'!A214</f>
        <v>7530</v>
      </c>
      <c r="C49" s="42" t="str">
        <f>'дод 7'!B214</f>
        <v>0460</v>
      </c>
      <c r="D49" s="36" t="s">
        <v>234</v>
      </c>
      <c r="E49" s="98">
        <f t="shared" si="9"/>
        <v>5882000</v>
      </c>
      <c r="F49" s="98">
        <f>7250000-280000-480000-608000</f>
        <v>5882000</v>
      </c>
      <c r="G49" s="98"/>
      <c r="H49" s="98"/>
      <c r="I49" s="98"/>
      <c r="J49" s="98">
        <f t="shared" si="12"/>
        <v>4020000</v>
      </c>
      <c r="K49" s="98">
        <f>3150000+280000+480000+110000</f>
        <v>4020000</v>
      </c>
      <c r="L49" s="98"/>
      <c r="M49" s="98"/>
      <c r="N49" s="98"/>
      <c r="O49" s="98">
        <f>3150000+280000+480000+110000</f>
        <v>4020000</v>
      </c>
      <c r="P49" s="98">
        <f t="shared" si="10"/>
        <v>9902000</v>
      </c>
      <c r="Q49" s="23"/>
      <c r="R49" s="32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</row>
    <row r="50" spans="1:527" s="22" customFormat="1" ht="31.5" customHeight="1" x14ac:dyDescent="0.25">
      <c r="A50" s="102" t="s">
        <v>161</v>
      </c>
      <c r="B50" s="42" t="str">
        <f>'дод 7'!A217</f>
        <v>7610</v>
      </c>
      <c r="C50" s="42" t="str">
        <f>'дод 7'!B217</f>
        <v>0411</v>
      </c>
      <c r="D50" s="36" t="str">
        <f>'дод 7'!C217</f>
        <v>Сприяння розвитку малого та середнього підприємництва</v>
      </c>
      <c r="E50" s="98">
        <f t="shared" si="9"/>
        <v>60000</v>
      </c>
      <c r="F50" s="98">
        <v>60000</v>
      </c>
      <c r="G50" s="98"/>
      <c r="H50" s="98"/>
      <c r="I50" s="98"/>
      <c r="J50" s="98">
        <f t="shared" si="12"/>
        <v>0</v>
      </c>
      <c r="K50" s="98"/>
      <c r="L50" s="98"/>
      <c r="M50" s="98"/>
      <c r="N50" s="98"/>
      <c r="O50" s="98"/>
      <c r="P50" s="98">
        <f t="shared" si="10"/>
        <v>60000</v>
      </c>
      <c r="Q50" s="23"/>
      <c r="R50" s="32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</row>
    <row r="51" spans="1:527" s="22" customFormat="1" ht="33.75" customHeight="1" x14ac:dyDescent="0.25">
      <c r="A51" s="102" t="s">
        <v>162</v>
      </c>
      <c r="B51" s="42" t="str">
        <f>'дод 7'!A222</f>
        <v>7670</v>
      </c>
      <c r="C51" s="42" t="str">
        <f>'дод 7'!B222</f>
        <v>0490</v>
      </c>
      <c r="D51" s="36" t="s">
        <v>24</v>
      </c>
      <c r="E51" s="98">
        <f t="shared" si="9"/>
        <v>0</v>
      </c>
      <c r="F51" s="98"/>
      <c r="G51" s="98"/>
      <c r="H51" s="98"/>
      <c r="I51" s="98"/>
      <c r="J51" s="98">
        <f t="shared" si="12"/>
        <v>18997900</v>
      </c>
      <c r="K51" s="98">
        <v>18997900</v>
      </c>
      <c r="L51" s="98"/>
      <c r="M51" s="98"/>
      <c r="N51" s="98"/>
      <c r="O51" s="98">
        <v>18997900</v>
      </c>
      <c r="P51" s="98">
        <f t="shared" si="10"/>
        <v>18997900</v>
      </c>
      <c r="Q51" s="23"/>
      <c r="R51" s="32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</row>
    <row r="52" spans="1:527" s="22" customFormat="1" ht="36.75" customHeight="1" x14ac:dyDescent="0.25">
      <c r="A52" s="102" t="s">
        <v>247</v>
      </c>
      <c r="B52" s="42" t="str">
        <f>'дод 7'!A224</f>
        <v>7680</v>
      </c>
      <c r="C52" s="42" t="str">
        <f>'дод 7'!B224</f>
        <v>0490</v>
      </c>
      <c r="D52" s="36" t="str">
        <f>'дод 7'!C224</f>
        <v>Членські внески до асоціацій органів місцевого самоврядування</v>
      </c>
      <c r="E52" s="98">
        <f t="shared" si="9"/>
        <v>356337</v>
      </c>
      <c r="F52" s="98">
        <v>356337</v>
      </c>
      <c r="G52" s="98"/>
      <c r="H52" s="98"/>
      <c r="I52" s="98"/>
      <c r="J52" s="98">
        <f t="shared" si="12"/>
        <v>0</v>
      </c>
      <c r="K52" s="98"/>
      <c r="L52" s="98"/>
      <c r="M52" s="98"/>
      <c r="N52" s="98"/>
      <c r="O52" s="98"/>
      <c r="P52" s="98">
        <f t="shared" si="10"/>
        <v>356337</v>
      </c>
      <c r="Q52" s="23"/>
      <c r="R52" s="32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</row>
    <row r="53" spans="1:527" s="22" customFormat="1" ht="120.75" customHeight="1" x14ac:dyDescent="0.25">
      <c r="A53" s="102" t="s">
        <v>301</v>
      </c>
      <c r="B53" s="42" t="str">
        <f>'дод 7'!A225</f>
        <v>7691</v>
      </c>
      <c r="C53" s="42" t="str">
        <f>'дод 7'!B225</f>
        <v>0490</v>
      </c>
      <c r="D53" s="36" t="str">
        <f>'дод 7'!C225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3" s="98">
        <f t="shared" si="9"/>
        <v>0</v>
      </c>
      <c r="F53" s="98"/>
      <c r="G53" s="98"/>
      <c r="H53" s="98"/>
      <c r="I53" s="98"/>
      <c r="J53" s="98">
        <f t="shared" si="12"/>
        <v>54101</v>
      </c>
      <c r="K53" s="98"/>
      <c r="L53" s="98">
        <v>54101</v>
      </c>
      <c r="M53" s="98"/>
      <c r="N53" s="98"/>
      <c r="O53" s="98"/>
      <c r="P53" s="98">
        <f t="shared" si="10"/>
        <v>54101</v>
      </c>
      <c r="Q53" s="23"/>
      <c r="R53" s="32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</row>
    <row r="54" spans="1:527" s="22" customFormat="1" ht="23.25" customHeight="1" x14ac:dyDescent="0.25">
      <c r="A54" s="102" t="s">
        <v>240</v>
      </c>
      <c r="B54" s="42" t="str">
        <f>'дод 7'!A226</f>
        <v>7693</v>
      </c>
      <c r="C54" s="42" t="str">
        <f>'дод 7'!B226</f>
        <v>0490</v>
      </c>
      <c r="D54" s="36" t="str">
        <f>'дод 7'!C226</f>
        <v>Інші заходи, пов'язані з економічною діяльністю</v>
      </c>
      <c r="E54" s="98">
        <f t="shared" si="9"/>
        <v>626596</v>
      </c>
      <c r="F54" s="98">
        <f>668626-42030</f>
        <v>626596</v>
      </c>
      <c r="G54" s="98"/>
      <c r="H54" s="98"/>
      <c r="I54" s="98"/>
      <c r="J54" s="98">
        <f t="shared" si="12"/>
        <v>0</v>
      </c>
      <c r="K54" s="98"/>
      <c r="L54" s="98"/>
      <c r="M54" s="98"/>
      <c r="N54" s="98"/>
      <c r="O54" s="98"/>
      <c r="P54" s="98">
        <f t="shared" si="10"/>
        <v>626596</v>
      </c>
      <c r="Q54" s="23"/>
      <c r="R54" s="32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</row>
    <row r="55" spans="1:527" s="22" customFormat="1" ht="34.5" customHeight="1" x14ac:dyDescent="0.25">
      <c r="A55" s="102" t="s">
        <v>163</v>
      </c>
      <c r="B55" s="42" t="str">
        <f>'дод 7'!A233</f>
        <v>8110</v>
      </c>
      <c r="C55" s="42" t="str">
        <f>'дод 7'!B233</f>
        <v>0320</v>
      </c>
      <c r="D55" s="36" t="str">
        <f>'дод 7'!C233</f>
        <v>Заходи із запобігання та ліквідації надзвичайних ситуацій та наслідків стихійного лиха</v>
      </c>
      <c r="E55" s="98">
        <f t="shared" si="9"/>
        <v>328278.11000000004</v>
      </c>
      <c r="F55" s="98">
        <f>283487.34+44790.77</f>
        <v>328278.11000000004</v>
      </c>
      <c r="G55" s="98"/>
      <c r="H55" s="98">
        <f>6500-150</f>
        <v>6350</v>
      </c>
      <c r="I55" s="98"/>
      <c r="J55" s="98">
        <f t="shared" si="12"/>
        <v>1398264.66</v>
      </c>
      <c r="K55" s="98">
        <v>1398264.66</v>
      </c>
      <c r="L55" s="98"/>
      <c r="M55" s="98"/>
      <c r="N55" s="98"/>
      <c r="O55" s="98">
        <v>1398264.66</v>
      </c>
      <c r="P55" s="98">
        <f t="shared" si="10"/>
        <v>1726542.77</v>
      </c>
      <c r="Q55" s="23"/>
      <c r="R55" s="32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</row>
    <row r="56" spans="1:527" s="22" customFormat="1" ht="30.75" customHeight="1" x14ac:dyDescent="0.25">
      <c r="A56" s="102" t="s">
        <v>223</v>
      </c>
      <c r="B56" s="42" t="str">
        <f>'дод 7'!A234</f>
        <v>8120</v>
      </c>
      <c r="C56" s="42" t="str">
        <f>'дод 7'!B234</f>
        <v>0320</v>
      </c>
      <c r="D56" s="36" t="str">
        <f>'дод 7'!C234</f>
        <v>Заходи з організації рятування на водах, у т.ч. за рахунок:</v>
      </c>
      <c r="E56" s="98">
        <f t="shared" si="9"/>
        <v>2449105</v>
      </c>
      <c r="F56" s="98">
        <v>2449105</v>
      </c>
      <c r="G56" s="98">
        <v>1906900</v>
      </c>
      <c r="H56" s="98">
        <v>73705</v>
      </c>
      <c r="I56" s="98"/>
      <c r="J56" s="98">
        <f t="shared" si="12"/>
        <v>5700</v>
      </c>
      <c r="K56" s="98"/>
      <c r="L56" s="98">
        <v>5700</v>
      </c>
      <c r="M56" s="98"/>
      <c r="N56" s="98">
        <v>1400</v>
      </c>
      <c r="O56" s="98"/>
      <c r="P56" s="98">
        <f t="shared" si="10"/>
        <v>2454805</v>
      </c>
      <c r="Q56" s="23"/>
      <c r="R56" s="32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</row>
    <row r="57" spans="1:527" s="24" customFormat="1" ht="63" x14ac:dyDescent="0.25">
      <c r="A57" s="104"/>
      <c r="B57" s="87"/>
      <c r="C57" s="87"/>
      <c r="D57" s="86" t="str">
        <f>'дод 7'!C235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7" s="100">
        <f t="shared" si="9"/>
        <v>588815</v>
      </c>
      <c r="F57" s="100">
        <v>588815</v>
      </c>
      <c r="G57" s="100">
        <v>482635</v>
      </c>
      <c r="H57" s="100"/>
      <c r="I57" s="100"/>
      <c r="J57" s="100">
        <f t="shared" si="12"/>
        <v>0</v>
      </c>
      <c r="K57" s="100"/>
      <c r="L57" s="100"/>
      <c r="M57" s="100"/>
      <c r="N57" s="100"/>
      <c r="O57" s="100"/>
      <c r="P57" s="100">
        <f t="shared" si="10"/>
        <v>588815</v>
      </c>
      <c r="Q57" s="30"/>
      <c r="R57" s="32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</row>
    <row r="58" spans="1:527" s="22" customFormat="1" ht="21.75" customHeight="1" x14ac:dyDescent="0.25">
      <c r="A58" s="102" t="s">
        <v>243</v>
      </c>
      <c r="B58" s="42" t="str">
        <f>'дод 7'!A237</f>
        <v>8230</v>
      </c>
      <c r="C58" s="42" t="str">
        <f>'дод 7'!B237</f>
        <v>0380</v>
      </c>
      <c r="D58" s="36" t="str">
        <f>'дод 7'!C237</f>
        <v>Інші заходи громадського порядку та безпеки</v>
      </c>
      <c r="E58" s="98">
        <f t="shared" si="9"/>
        <v>462056</v>
      </c>
      <c r="F58" s="98">
        <f>427256+34800</f>
        <v>462056</v>
      </c>
      <c r="G58" s="98"/>
      <c r="H58" s="98">
        <f>257942+34800</f>
        <v>292742</v>
      </c>
      <c r="I58" s="98"/>
      <c r="J58" s="98">
        <f t="shared" si="12"/>
        <v>0</v>
      </c>
      <c r="K58" s="98"/>
      <c r="L58" s="98"/>
      <c r="M58" s="98"/>
      <c r="N58" s="98"/>
      <c r="O58" s="98"/>
      <c r="P58" s="98">
        <f t="shared" si="10"/>
        <v>462056</v>
      </c>
      <c r="Q58" s="23"/>
      <c r="R58" s="32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</row>
    <row r="59" spans="1:527" s="22" customFormat="1" ht="36" customHeight="1" x14ac:dyDescent="0.25">
      <c r="A59" s="59" t="s">
        <v>164</v>
      </c>
      <c r="B59" s="92" t="str">
        <f>'дод 7'!A240</f>
        <v>8340</v>
      </c>
      <c r="C59" s="92" t="str">
        <f>'дод 7'!B240</f>
        <v>0540</v>
      </c>
      <c r="D59" s="60" t="str">
        <f>'дод 7'!C240</f>
        <v>Природоохоронні заходи за рахунок цільових фондів</v>
      </c>
      <c r="E59" s="98">
        <f t="shared" si="9"/>
        <v>0</v>
      </c>
      <c r="F59" s="98"/>
      <c r="G59" s="98"/>
      <c r="H59" s="98"/>
      <c r="I59" s="98"/>
      <c r="J59" s="98">
        <f t="shared" si="12"/>
        <v>250000</v>
      </c>
      <c r="K59" s="98"/>
      <c r="L59" s="98">
        <v>250000</v>
      </c>
      <c r="M59" s="98"/>
      <c r="N59" s="98"/>
      <c r="O59" s="98"/>
      <c r="P59" s="98">
        <f t="shared" si="10"/>
        <v>250000</v>
      </c>
      <c r="Q59" s="23"/>
      <c r="R59" s="32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</row>
    <row r="60" spans="1:527" s="22" customFormat="1" ht="26.25" customHeight="1" x14ac:dyDescent="0.25">
      <c r="A60" s="102" t="s">
        <v>254</v>
      </c>
      <c r="B60" s="42" t="str">
        <f>'дод 7'!A242</f>
        <v>8420</v>
      </c>
      <c r="C60" s="42" t="str">
        <f>'дод 7'!B242</f>
        <v>0830</v>
      </c>
      <c r="D60" s="36" t="str">
        <f>'дод 7'!C242</f>
        <v>Інші заходи у сфері засобів масової інформації</v>
      </c>
      <c r="E60" s="98">
        <f t="shared" si="9"/>
        <v>78700</v>
      </c>
      <c r="F60" s="98">
        <f>30000+48700</f>
        <v>78700</v>
      </c>
      <c r="G60" s="98"/>
      <c r="H60" s="98"/>
      <c r="I60" s="98"/>
      <c r="J60" s="98">
        <f t="shared" si="12"/>
        <v>0</v>
      </c>
      <c r="K60" s="98"/>
      <c r="L60" s="98"/>
      <c r="M60" s="98"/>
      <c r="N60" s="98"/>
      <c r="O60" s="98"/>
      <c r="P60" s="98">
        <f t="shared" si="10"/>
        <v>78700</v>
      </c>
      <c r="Q60" s="23"/>
      <c r="R60" s="32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</row>
    <row r="61" spans="1:527" s="22" customFormat="1" ht="26.25" customHeight="1" x14ac:dyDescent="0.25">
      <c r="A61" s="102" t="s">
        <v>615</v>
      </c>
      <c r="B61" s="42">
        <v>9770</v>
      </c>
      <c r="C61" s="102" t="s">
        <v>45</v>
      </c>
      <c r="D61" s="36" t="s">
        <v>356</v>
      </c>
      <c r="E61" s="98">
        <f t="shared" si="9"/>
        <v>0</v>
      </c>
      <c r="F61" s="98"/>
      <c r="G61" s="98"/>
      <c r="H61" s="98"/>
      <c r="I61" s="98"/>
      <c r="J61" s="98">
        <f t="shared" si="12"/>
        <v>35000</v>
      </c>
      <c r="K61" s="98">
        <v>35000</v>
      </c>
      <c r="L61" s="98"/>
      <c r="M61" s="98"/>
      <c r="N61" s="98"/>
      <c r="O61" s="98">
        <v>35000</v>
      </c>
      <c r="P61" s="98">
        <f t="shared" si="10"/>
        <v>35000</v>
      </c>
      <c r="Q61" s="23"/>
      <c r="R61" s="32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</row>
    <row r="62" spans="1:527" s="22" customFormat="1" ht="47.25" x14ac:dyDescent="0.25">
      <c r="A62" s="102" t="s">
        <v>381</v>
      </c>
      <c r="B62" s="42">
        <v>9800</v>
      </c>
      <c r="C62" s="102" t="s">
        <v>45</v>
      </c>
      <c r="D62" s="36" t="s">
        <v>367</v>
      </c>
      <c r="E62" s="98">
        <f t="shared" si="9"/>
        <v>2048799</v>
      </c>
      <c r="F62" s="98">
        <v>2048799</v>
      </c>
      <c r="G62" s="98"/>
      <c r="H62" s="98"/>
      <c r="I62" s="98"/>
      <c r="J62" s="98">
        <f t="shared" si="12"/>
        <v>2883000</v>
      </c>
      <c r="K62" s="98">
        <f>1483000+400000+1000000</f>
        <v>2883000</v>
      </c>
      <c r="L62" s="98"/>
      <c r="M62" s="98"/>
      <c r="N62" s="98"/>
      <c r="O62" s="98">
        <f>1483000+400000+1000000</f>
        <v>2883000</v>
      </c>
      <c r="P62" s="98">
        <f t="shared" si="10"/>
        <v>4931799</v>
      </c>
      <c r="Q62" s="23"/>
      <c r="R62" s="32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</row>
    <row r="63" spans="1:527" s="27" customFormat="1" ht="36" customHeight="1" x14ac:dyDescent="0.25">
      <c r="A63" s="105" t="s">
        <v>165</v>
      </c>
      <c r="B63" s="39"/>
      <c r="C63" s="39"/>
      <c r="D63" s="106" t="s">
        <v>25</v>
      </c>
      <c r="E63" s="94">
        <f>E64</f>
        <v>1199572407.52</v>
      </c>
      <c r="F63" s="94">
        <f t="shared" ref="F63:J63" si="13">F64</f>
        <v>1199572407.52</v>
      </c>
      <c r="G63" s="94">
        <f t="shared" si="13"/>
        <v>778320300</v>
      </c>
      <c r="H63" s="94">
        <f t="shared" si="13"/>
        <v>86744247</v>
      </c>
      <c r="I63" s="94">
        <f t="shared" si="13"/>
        <v>0</v>
      </c>
      <c r="J63" s="94">
        <f t="shared" si="13"/>
        <v>114028323.68000001</v>
      </c>
      <c r="K63" s="94">
        <f t="shared" ref="K63" si="14">K64</f>
        <v>72389873.680000007</v>
      </c>
      <c r="L63" s="94">
        <f t="shared" ref="L63" si="15">L64</f>
        <v>37465600</v>
      </c>
      <c r="M63" s="94">
        <f t="shared" ref="M63" si="16">M64</f>
        <v>2268060</v>
      </c>
      <c r="N63" s="94">
        <f t="shared" ref="N63" si="17">N64</f>
        <v>139890</v>
      </c>
      <c r="O63" s="94">
        <f t="shared" ref="O63:P63" si="18">O64</f>
        <v>76562723.680000007</v>
      </c>
      <c r="P63" s="94">
        <f t="shared" si="18"/>
        <v>1313600731.2</v>
      </c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  <c r="IW63" s="32"/>
      <c r="IX63" s="32"/>
      <c r="IY63" s="32"/>
      <c r="IZ63" s="32"/>
      <c r="JA63" s="32"/>
      <c r="JB63" s="32"/>
      <c r="JC63" s="32"/>
      <c r="JD63" s="32"/>
      <c r="JE63" s="32"/>
      <c r="JF63" s="32"/>
      <c r="JG63" s="32"/>
      <c r="JH63" s="32"/>
      <c r="JI63" s="32"/>
      <c r="JJ63" s="32"/>
      <c r="JK63" s="32"/>
      <c r="JL63" s="32"/>
      <c r="JM63" s="32"/>
      <c r="JN63" s="32"/>
      <c r="JO63" s="32"/>
      <c r="JP63" s="32"/>
      <c r="JQ63" s="32"/>
      <c r="JR63" s="32"/>
      <c r="JS63" s="32"/>
      <c r="JT63" s="32"/>
      <c r="JU63" s="32"/>
      <c r="JV63" s="32"/>
      <c r="JW63" s="32"/>
      <c r="JX63" s="32"/>
      <c r="JY63" s="32"/>
      <c r="JZ63" s="32"/>
      <c r="KA63" s="32"/>
      <c r="KB63" s="32"/>
      <c r="KC63" s="32"/>
      <c r="KD63" s="32"/>
      <c r="KE63" s="32"/>
      <c r="KF63" s="32"/>
      <c r="KG63" s="32"/>
      <c r="KH63" s="32"/>
      <c r="KI63" s="32"/>
      <c r="KJ63" s="32"/>
      <c r="KK63" s="32"/>
      <c r="KL63" s="32"/>
      <c r="KM63" s="32"/>
      <c r="KN63" s="32"/>
      <c r="KO63" s="32"/>
      <c r="KP63" s="32"/>
      <c r="KQ63" s="32"/>
      <c r="KR63" s="32"/>
      <c r="KS63" s="32"/>
      <c r="KT63" s="32"/>
      <c r="KU63" s="32"/>
      <c r="KV63" s="32"/>
      <c r="KW63" s="32"/>
      <c r="KX63" s="32"/>
      <c r="KY63" s="32"/>
      <c r="KZ63" s="32"/>
      <c r="LA63" s="32"/>
      <c r="LB63" s="32"/>
      <c r="LC63" s="32"/>
      <c r="LD63" s="32"/>
      <c r="LE63" s="32"/>
      <c r="LF63" s="32"/>
      <c r="LG63" s="32"/>
      <c r="LH63" s="32"/>
      <c r="LI63" s="32"/>
      <c r="LJ63" s="32"/>
      <c r="LK63" s="32"/>
      <c r="LL63" s="32"/>
      <c r="LM63" s="32"/>
      <c r="LN63" s="32"/>
      <c r="LO63" s="32"/>
      <c r="LP63" s="32"/>
      <c r="LQ63" s="32"/>
      <c r="LR63" s="32"/>
      <c r="LS63" s="32"/>
      <c r="LT63" s="32"/>
      <c r="LU63" s="32"/>
      <c r="LV63" s="32"/>
      <c r="LW63" s="32"/>
      <c r="LX63" s="32"/>
      <c r="LY63" s="32"/>
      <c r="LZ63" s="32"/>
      <c r="MA63" s="32"/>
      <c r="MB63" s="32"/>
      <c r="MC63" s="32"/>
      <c r="MD63" s="32"/>
      <c r="ME63" s="32"/>
      <c r="MF63" s="32"/>
      <c r="MG63" s="32"/>
      <c r="MH63" s="32"/>
      <c r="MI63" s="32"/>
      <c r="MJ63" s="32"/>
      <c r="MK63" s="32"/>
      <c r="ML63" s="32"/>
      <c r="MM63" s="32"/>
      <c r="MN63" s="32"/>
      <c r="MO63" s="32"/>
      <c r="MP63" s="32"/>
      <c r="MQ63" s="32"/>
      <c r="MR63" s="32"/>
      <c r="MS63" s="32"/>
      <c r="MT63" s="32"/>
      <c r="MU63" s="32"/>
      <c r="MV63" s="32"/>
      <c r="MW63" s="32"/>
      <c r="MX63" s="32"/>
      <c r="MY63" s="32"/>
      <c r="MZ63" s="32"/>
      <c r="NA63" s="32"/>
      <c r="NB63" s="32"/>
      <c r="NC63" s="32"/>
      <c r="ND63" s="32"/>
      <c r="NE63" s="32"/>
      <c r="NF63" s="32"/>
      <c r="NG63" s="32"/>
      <c r="NH63" s="32"/>
      <c r="NI63" s="32"/>
      <c r="NJ63" s="32"/>
      <c r="NK63" s="32"/>
      <c r="NL63" s="32"/>
      <c r="NM63" s="32"/>
      <c r="NN63" s="32"/>
      <c r="NO63" s="32"/>
      <c r="NP63" s="32"/>
      <c r="NQ63" s="32"/>
      <c r="NR63" s="32"/>
      <c r="NS63" s="32"/>
      <c r="NT63" s="32"/>
      <c r="NU63" s="32"/>
      <c r="NV63" s="32"/>
      <c r="NW63" s="32"/>
      <c r="NX63" s="32"/>
      <c r="NY63" s="32"/>
      <c r="NZ63" s="32"/>
      <c r="OA63" s="32"/>
      <c r="OB63" s="32"/>
      <c r="OC63" s="32"/>
      <c r="OD63" s="32"/>
      <c r="OE63" s="32"/>
      <c r="OF63" s="32"/>
      <c r="OG63" s="32"/>
      <c r="OH63" s="32"/>
      <c r="OI63" s="32"/>
      <c r="OJ63" s="32"/>
      <c r="OK63" s="32"/>
      <c r="OL63" s="32"/>
      <c r="OM63" s="32"/>
      <c r="ON63" s="32"/>
      <c r="OO63" s="32"/>
      <c r="OP63" s="32"/>
      <c r="OQ63" s="32"/>
      <c r="OR63" s="32"/>
      <c r="OS63" s="32"/>
      <c r="OT63" s="32"/>
      <c r="OU63" s="32"/>
      <c r="OV63" s="32"/>
      <c r="OW63" s="32"/>
      <c r="OX63" s="32"/>
      <c r="OY63" s="32"/>
      <c r="OZ63" s="32"/>
      <c r="PA63" s="32"/>
      <c r="PB63" s="32"/>
      <c r="PC63" s="32"/>
      <c r="PD63" s="32"/>
      <c r="PE63" s="32"/>
      <c r="PF63" s="32"/>
      <c r="PG63" s="32"/>
      <c r="PH63" s="32"/>
      <c r="PI63" s="32"/>
      <c r="PJ63" s="32"/>
      <c r="PK63" s="32"/>
      <c r="PL63" s="32"/>
      <c r="PM63" s="32"/>
      <c r="PN63" s="32"/>
      <c r="PO63" s="32"/>
      <c r="PP63" s="32"/>
      <c r="PQ63" s="32"/>
      <c r="PR63" s="32"/>
      <c r="PS63" s="32"/>
      <c r="PT63" s="32"/>
      <c r="PU63" s="32"/>
      <c r="PV63" s="32"/>
      <c r="PW63" s="32"/>
      <c r="PX63" s="32"/>
      <c r="PY63" s="32"/>
      <c r="PZ63" s="32"/>
      <c r="QA63" s="32"/>
      <c r="QB63" s="32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  <c r="QQ63" s="32"/>
      <c r="QR63" s="32"/>
      <c r="QS63" s="32"/>
      <c r="QT63" s="32"/>
      <c r="QU63" s="32"/>
      <c r="QV63" s="32"/>
      <c r="QW63" s="32"/>
      <c r="QX63" s="32"/>
      <c r="QY63" s="32"/>
      <c r="QZ63" s="32"/>
      <c r="RA63" s="32"/>
      <c r="RB63" s="32"/>
      <c r="RC63" s="32"/>
      <c r="RD63" s="32"/>
      <c r="RE63" s="32"/>
      <c r="RF63" s="32"/>
      <c r="RG63" s="32"/>
      <c r="RH63" s="32"/>
      <c r="RI63" s="32"/>
      <c r="RJ63" s="32"/>
      <c r="RK63" s="32"/>
      <c r="RL63" s="32"/>
      <c r="RM63" s="32"/>
      <c r="RN63" s="32"/>
      <c r="RO63" s="32"/>
      <c r="RP63" s="32"/>
      <c r="RQ63" s="32"/>
      <c r="RR63" s="32"/>
      <c r="RS63" s="32"/>
      <c r="RT63" s="32"/>
      <c r="RU63" s="32"/>
      <c r="RV63" s="32"/>
      <c r="RW63" s="32"/>
      <c r="RX63" s="32"/>
      <c r="RY63" s="32"/>
      <c r="RZ63" s="32"/>
      <c r="SA63" s="32"/>
      <c r="SB63" s="32"/>
      <c r="SC63" s="32"/>
      <c r="SD63" s="32"/>
      <c r="SE63" s="32"/>
      <c r="SF63" s="32"/>
      <c r="SG63" s="32"/>
      <c r="SH63" s="32"/>
      <c r="SI63" s="32"/>
      <c r="SJ63" s="32"/>
      <c r="SK63" s="32"/>
      <c r="SL63" s="32"/>
      <c r="SM63" s="32"/>
      <c r="SN63" s="32"/>
      <c r="SO63" s="32"/>
      <c r="SP63" s="32"/>
      <c r="SQ63" s="32"/>
      <c r="SR63" s="32"/>
      <c r="SS63" s="32"/>
      <c r="ST63" s="32"/>
      <c r="SU63" s="32"/>
      <c r="SV63" s="32"/>
      <c r="SW63" s="32"/>
      <c r="SX63" s="32"/>
      <c r="SY63" s="32"/>
      <c r="SZ63" s="32"/>
      <c r="TA63" s="32"/>
      <c r="TB63" s="32"/>
      <c r="TC63" s="32"/>
      <c r="TD63" s="32"/>
      <c r="TE63" s="32"/>
      <c r="TF63" s="32"/>
      <c r="TG63" s="32"/>
    </row>
    <row r="64" spans="1:527" s="34" customFormat="1" ht="38.25" customHeight="1" x14ac:dyDescent="0.25">
      <c r="A64" s="107" t="s">
        <v>166</v>
      </c>
      <c r="B64" s="73"/>
      <c r="C64" s="73"/>
      <c r="D64" s="76" t="s">
        <v>507</v>
      </c>
      <c r="E64" s="97">
        <f>E77+E78+E79+E80+E81+E82+E85+E87+E89+E92+E94+E95+E96+E97+E98+E100+E101+E102+E104+E106+E108+E110+E112+E113+E114+E116+E118+E120+E121+E122+E123+E125+E126</f>
        <v>1199572407.52</v>
      </c>
      <c r="F64" s="97">
        <f t="shared" ref="F64:P64" si="19">F77+F78+F79+F80+F81+F82+F85+F87+F89+F92+F94+F95+F96+F97+F98+F100+F101+F102+F104+F106+F108+F110+F112+F113+F114+F116+F118+F120+F121+F122+F123+F125+F126</f>
        <v>1199572407.52</v>
      </c>
      <c r="G64" s="97">
        <f t="shared" si="19"/>
        <v>778320300</v>
      </c>
      <c r="H64" s="97">
        <f t="shared" si="19"/>
        <v>86744247</v>
      </c>
      <c r="I64" s="97">
        <f t="shared" si="19"/>
        <v>0</v>
      </c>
      <c r="J64" s="97">
        <f t="shared" si="19"/>
        <v>114028323.68000001</v>
      </c>
      <c r="K64" s="97">
        <f t="shared" si="19"/>
        <v>72389873.680000007</v>
      </c>
      <c r="L64" s="97">
        <f t="shared" si="19"/>
        <v>37465600</v>
      </c>
      <c r="M64" s="97">
        <f t="shared" si="19"/>
        <v>2268060</v>
      </c>
      <c r="N64" s="97">
        <f t="shared" si="19"/>
        <v>139890</v>
      </c>
      <c r="O64" s="97">
        <f t="shared" si="19"/>
        <v>76562723.680000007</v>
      </c>
      <c r="P64" s="97">
        <f t="shared" si="19"/>
        <v>1313600731.2</v>
      </c>
      <c r="Q64" s="33"/>
      <c r="R64" s="32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</row>
    <row r="65" spans="1:527" s="34" customFormat="1" ht="31.5" x14ac:dyDescent="0.25">
      <c r="A65" s="107"/>
      <c r="B65" s="73"/>
      <c r="C65" s="73"/>
      <c r="D65" s="76" t="s">
        <v>389</v>
      </c>
      <c r="E65" s="97">
        <f>E83+E86+E88</f>
        <v>482448000</v>
      </c>
      <c r="F65" s="97">
        <f t="shared" ref="F65:P65" si="20">F83+F86+F88</f>
        <v>482448000</v>
      </c>
      <c r="G65" s="97">
        <f t="shared" si="20"/>
        <v>395816000</v>
      </c>
      <c r="H65" s="97">
        <f t="shared" si="20"/>
        <v>0</v>
      </c>
      <c r="I65" s="97">
        <f t="shared" si="20"/>
        <v>0</v>
      </c>
      <c r="J65" s="97">
        <f t="shared" si="20"/>
        <v>0</v>
      </c>
      <c r="K65" s="97">
        <f t="shared" si="20"/>
        <v>0</v>
      </c>
      <c r="L65" s="97">
        <f t="shared" si="20"/>
        <v>0</v>
      </c>
      <c r="M65" s="97">
        <f t="shared" si="20"/>
        <v>0</v>
      </c>
      <c r="N65" s="97">
        <f t="shared" si="20"/>
        <v>0</v>
      </c>
      <c r="O65" s="97">
        <f t="shared" si="20"/>
        <v>0</v>
      </c>
      <c r="P65" s="97">
        <f t="shared" si="20"/>
        <v>482448000</v>
      </c>
      <c r="Q65" s="33"/>
      <c r="R65" s="32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</row>
    <row r="66" spans="1:527" s="34" customFormat="1" ht="63" hidden="1" customHeight="1" x14ac:dyDescent="0.25">
      <c r="A66" s="107"/>
      <c r="B66" s="73"/>
      <c r="C66" s="73"/>
      <c r="D66" s="76" t="s">
        <v>388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33"/>
      <c r="R66" s="32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</row>
    <row r="67" spans="1:527" s="34" customFormat="1" ht="47.25" x14ac:dyDescent="0.25">
      <c r="A67" s="107"/>
      <c r="B67" s="73"/>
      <c r="C67" s="73"/>
      <c r="D67" s="76" t="s">
        <v>543</v>
      </c>
      <c r="E67" s="97">
        <f>E90</f>
        <v>363000</v>
      </c>
      <c r="F67" s="97">
        <f t="shared" ref="F67:P67" si="21">F90</f>
        <v>363000</v>
      </c>
      <c r="G67" s="97">
        <f t="shared" si="21"/>
        <v>0</v>
      </c>
      <c r="H67" s="97">
        <f t="shared" si="21"/>
        <v>0</v>
      </c>
      <c r="I67" s="97">
        <f t="shared" si="21"/>
        <v>0</v>
      </c>
      <c r="J67" s="97">
        <f t="shared" si="21"/>
        <v>1637000</v>
      </c>
      <c r="K67" s="97">
        <f t="shared" si="21"/>
        <v>1637000</v>
      </c>
      <c r="L67" s="97">
        <f t="shared" si="21"/>
        <v>0</v>
      </c>
      <c r="M67" s="97">
        <f t="shared" si="21"/>
        <v>0</v>
      </c>
      <c r="N67" s="97">
        <f t="shared" si="21"/>
        <v>0</v>
      </c>
      <c r="O67" s="97">
        <f t="shared" si="21"/>
        <v>1637000</v>
      </c>
      <c r="P67" s="97">
        <f t="shared" si="21"/>
        <v>2000000</v>
      </c>
      <c r="Q67" s="33"/>
      <c r="R67" s="32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</row>
    <row r="68" spans="1:527" s="34" customFormat="1" ht="47.25" x14ac:dyDescent="0.25">
      <c r="A68" s="107"/>
      <c r="B68" s="73"/>
      <c r="C68" s="73"/>
      <c r="D68" s="76" t="s">
        <v>384</v>
      </c>
      <c r="E68" s="97">
        <f t="shared" ref="E68:P68" si="22">E84+E99</f>
        <v>3578416</v>
      </c>
      <c r="F68" s="97">
        <f t="shared" si="22"/>
        <v>3578416</v>
      </c>
      <c r="G68" s="97">
        <f t="shared" si="22"/>
        <v>1228720</v>
      </c>
      <c r="H68" s="97">
        <f t="shared" si="22"/>
        <v>0</v>
      </c>
      <c r="I68" s="97">
        <f t="shared" si="22"/>
        <v>0</v>
      </c>
      <c r="J68" s="97">
        <f t="shared" si="22"/>
        <v>0</v>
      </c>
      <c r="K68" s="97">
        <f t="shared" si="22"/>
        <v>0</v>
      </c>
      <c r="L68" s="97">
        <f t="shared" si="22"/>
        <v>0</v>
      </c>
      <c r="M68" s="97">
        <f t="shared" si="22"/>
        <v>0</v>
      </c>
      <c r="N68" s="97">
        <f t="shared" si="22"/>
        <v>0</v>
      </c>
      <c r="O68" s="97">
        <f t="shared" si="22"/>
        <v>0</v>
      </c>
      <c r="P68" s="97">
        <f t="shared" si="22"/>
        <v>3578416</v>
      </c>
      <c r="Q68" s="33"/>
      <c r="R68" s="32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</row>
    <row r="69" spans="1:527" s="34" customFormat="1" ht="45" hidden="1" customHeight="1" x14ac:dyDescent="0.25">
      <c r="A69" s="107"/>
      <c r="B69" s="73"/>
      <c r="C69" s="73"/>
      <c r="D69" s="76" t="s">
        <v>386</v>
      </c>
      <c r="E69" s="97" t="e">
        <f>#REF!+E96</f>
        <v>#REF!</v>
      </c>
      <c r="F69" s="97" t="e">
        <f>#REF!+F96</f>
        <v>#REF!</v>
      </c>
      <c r="G69" s="97" t="e">
        <f>#REF!+G96</f>
        <v>#REF!</v>
      </c>
      <c r="H69" s="97" t="e">
        <f>#REF!+H96</f>
        <v>#REF!</v>
      </c>
      <c r="I69" s="97" t="e">
        <f>#REF!+I96</f>
        <v>#REF!</v>
      </c>
      <c r="J69" s="97" t="e">
        <f>#REF!+J96</f>
        <v>#REF!</v>
      </c>
      <c r="K69" s="97" t="e">
        <f>#REF!+K96</f>
        <v>#REF!</v>
      </c>
      <c r="L69" s="97" t="e">
        <f>#REF!+L96</f>
        <v>#REF!</v>
      </c>
      <c r="M69" s="97" t="e">
        <f>#REF!+M96</f>
        <v>#REF!</v>
      </c>
      <c r="N69" s="97" t="e">
        <f>#REF!+N96</f>
        <v>#REF!</v>
      </c>
      <c r="O69" s="97" t="e">
        <f>#REF!+O96</f>
        <v>#REF!</v>
      </c>
      <c r="P69" s="97" t="e">
        <f>#REF!+P96</f>
        <v>#REF!</v>
      </c>
      <c r="Q69" s="33"/>
      <c r="R69" s="32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</row>
    <row r="70" spans="1:527" s="34" customFormat="1" ht="63" x14ac:dyDescent="0.25">
      <c r="A70" s="107"/>
      <c r="B70" s="73"/>
      <c r="C70" s="73"/>
      <c r="D70" s="76" t="s">
        <v>383</v>
      </c>
      <c r="E70" s="97">
        <f>E109</f>
        <v>2417470</v>
      </c>
      <c r="F70" s="97">
        <f t="shared" ref="F70:P70" si="23">F109</f>
        <v>2417470</v>
      </c>
      <c r="G70" s="97">
        <f t="shared" si="23"/>
        <v>1299695</v>
      </c>
      <c r="H70" s="97">
        <f t="shared" si="23"/>
        <v>0</v>
      </c>
      <c r="I70" s="97">
        <f t="shared" si="23"/>
        <v>0</v>
      </c>
      <c r="J70" s="97">
        <f t="shared" si="23"/>
        <v>72000</v>
      </c>
      <c r="K70" s="97">
        <f t="shared" si="23"/>
        <v>72000</v>
      </c>
      <c r="L70" s="97">
        <f t="shared" si="23"/>
        <v>0</v>
      </c>
      <c r="M70" s="97">
        <f t="shared" si="23"/>
        <v>0</v>
      </c>
      <c r="N70" s="97">
        <f t="shared" si="23"/>
        <v>0</v>
      </c>
      <c r="O70" s="97">
        <f t="shared" si="23"/>
        <v>72000</v>
      </c>
      <c r="P70" s="97">
        <f t="shared" si="23"/>
        <v>2489470</v>
      </c>
      <c r="Q70" s="33"/>
      <c r="R70" s="32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</row>
    <row r="71" spans="1:527" s="34" customFormat="1" ht="80.25" customHeight="1" x14ac:dyDescent="0.25">
      <c r="A71" s="107"/>
      <c r="B71" s="142"/>
      <c r="C71" s="73"/>
      <c r="D71" s="76" t="s">
        <v>523</v>
      </c>
      <c r="E71" s="97">
        <f>E111</f>
        <v>1315285.79</v>
      </c>
      <c r="F71" s="97">
        <f t="shared" ref="F71:P71" si="24">F111</f>
        <v>1315285.79</v>
      </c>
      <c r="G71" s="97">
        <f t="shared" si="24"/>
        <v>1034620</v>
      </c>
      <c r="H71" s="97">
        <f t="shared" si="24"/>
        <v>0</v>
      </c>
      <c r="I71" s="97">
        <f t="shared" si="24"/>
        <v>0</v>
      </c>
      <c r="J71" s="97">
        <f t="shared" si="24"/>
        <v>0</v>
      </c>
      <c r="K71" s="97">
        <f t="shared" si="24"/>
        <v>0</v>
      </c>
      <c r="L71" s="97">
        <f t="shared" si="24"/>
        <v>0</v>
      </c>
      <c r="M71" s="97">
        <f t="shared" si="24"/>
        <v>0</v>
      </c>
      <c r="N71" s="97">
        <f t="shared" si="24"/>
        <v>0</v>
      </c>
      <c r="O71" s="97">
        <f t="shared" si="24"/>
        <v>0</v>
      </c>
      <c r="P71" s="97">
        <f t="shared" si="24"/>
        <v>1315285.79</v>
      </c>
      <c r="Q71" s="33"/>
      <c r="R71" s="32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</row>
    <row r="72" spans="1:527" s="34" customFormat="1" ht="31.5" x14ac:dyDescent="0.25">
      <c r="A72" s="107"/>
      <c r="B72" s="73"/>
      <c r="C72" s="73"/>
      <c r="D72" s="76" t="s">
        <v>540</v>
      </c>
      <c r="E72" s="97">
        <f t="shared" ref="E72:P72" si="25">E91+E93+E124</f>
        <v>1434017.6</v>
      </c>
      <c r="F72" s="97">
        <f t="shared" si="25"/>
        <v>1434017.6</v>
      </c>
      <c r="G72" s="97">
        <f t="shared" si="25"/>
        <v>0</v>
      </c>
      <c r="H72" s="97">
        <f t="shared" si="25"/>
        <v>0</v>
      </c>
      <c r="I72" s="97">
        <f t="shared" si="25"/>
        <v>0</v>
      </c>
      <c r="J72" s="97">
        <f t="shared" si="25"/>
        <v>7663725.1799999997</v>
      </c>
      <c r="K72" s="97">
        <f t="shared" si="25"/>
        <v>7663725.1799999997</v>
      </c>
      <c r="L72" s="97">
        <f t="shared" si="25"/>
        <v>0</v>
      </c>
      <c r="M72" s="97">
        <f t="shared" si="25"/>
        <v>0</v>
      </c>
      <c r="N72" s="97">
        <f t="shared" si="25"/>
        <v>0</v>
      </c>
      <c r="O72" s="97">
        <f t="shared" si="25"/>
        <v>7663725.1799999997</v>
      </c>
      <c r="P72" s="97">
        <f t="shared" si="25"/>
        <v>9097742.7799999993</v>
      </c>
      <c r="Q72" s="33"/>
      <c r="R72" s="32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</row>
    <row r="73" spans="1:527" s="34" customFormat="1" ht="78.75" x14ac:dyDescent="0.25">
      <c r="A73" s="107"/>
      <c r="B73" s="73"/>
      <c r="C73" s="73"/>
      <c r="D73" s="76" t="s">
        <v>559</v>
      </c>
      <c r="E73" s="97">
        <f>E107</f>
        <v>6262701.0999999996</v>
      </c>
      <c r="F73" s="97">
        <f t="shared" ref="F73:P73" si="26">F107</f>
        <v>6262701.0999999996</v>
      </c>
      <c r="G73" s="97">
        <f t="shared" si="26"/>
        <v>57829</v>
      </c>
      <c r="H73" s="97">
        <f t="shared" si="26"/>
        <v>0</v>
      </c>
      <c r="I73" s="97">
        <f t="shared" si="26"/>
        <v>0</v>
      </c>
      <c r="J73" s="97">
        <f t="shared" si="26"/>
        <v>644361.9</v>
      </c>
      <c r="K73" s="97">
        <f t="shared" si="26"/>
        <v>644361.9</v>
      </c>
      <c r="L73" s="97">
        <f t="shared" si="26"/>
        <v>0</v>
      </c>
      <c r="M73" s="97">
        <f t="shared" si="26"/>
        <v>0</v>
      </c>
      <c r="N73" s="97">
        <f t="shared" si="26"/>
        <v>0</v>
      </c>
      <c r="O73" s="97">
        <f t="shared" si="26"/>
        <v>644361.9</v>
      </c>
      <c r="P73" s="97">
        <f t="shared" si="26"/>
        <v>6907063</v>
      </c>
      <c r="Q73" s="33"/>
      <c r="R73" s="32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</row>
    <row r="74" spans="1:527" s="34" customFormat="1" ht="51.75" customHeight="1" x14ac:dyDescent="0.25">
      <c r="A74" s="95"/>
      <c r="B74" s="108"/>
      <c r="C74" s="109"/>
      <c r="D74" s="76" t="s">
        <v>602</v>
      </c>
      <c r="E74" s="97">
        <f>E103</f>
        <v>287772</v>
      </c>
      <c r="F74" s="97">
        <f t="shared" ref="F74:P74" si="27">F103</f>
        <v>287772</v>
      </c>
      <c r="G74" s="97">
        <f t="shared" si="27"/>
        <v>0</v>
      </c>
      <c r="H74" s="97">
        <f t="shared" si="27"/>
        <v>0</v>
      </c>
      <c r="I74" s="97">
        <f t="shared" si="27"/>
        <v>0</v>
      </c>
      <c r="J74" s="97">
        <f t="shared" si="27"/>
        <v>2859728</v>
      </c>
      <c r="K74" s="97">
        <f t="shared" si="27"/>
        <v>2859728</v>
      </c>
      <c r="L74" s="97">
        <f t="shared" si="27"/>
        <v>0</v>
      </c>
      <c r="M74" s="97">
        <f t="shared" si="27"/>
        <v>0</v>
      </c>
      <c r="N74" s="97">
        <f t="shared" si="27"/>
        <v>0</v>
      </c>
      <c r="O74" s="97">
        <f t="shared" si="27"/>
        <v>2859728</v>
      </c>
      <c r="P74" s="97">
        <f t="shared" si="27"/>
        <v>3147500</v>
      </c>
      <c r="Q74" s="33"/>
      <c r="R74" s="32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</row>
    <row r="75" spans="1:527" s="34" customFormat="1" ht="62.25" customHeight="1" x14ac:dyDescent="0.25">
      <c r="A75" s="107"/>
      <c r="B75" s="73"/>
      <c r="C75" s="73"/>
      <c r="D75" s="134" t="s">
        <v>388</v>
      </c>
      <c r="E75" s="97">
        <f>E119</f>
        <v>0</v>
      </c>
      <c r="F75" s="97">
        <f t="shared" ref="F75:P75" si="28">F119</f>
        <v>0</v>
      </c>
      <c r="G75" s="97">
        <f t="shared" si="28"/>
        <v>0</v>
      </c>
      <c r="H75" s="97">
        <f t="shared" si="28"/>
        <v>0</v>
      </c>
      <c r="I75" s="97">
        <f t="shared" si="28"/>
        <v>0</v>
      </c>
      <c r="J75" s="97">
        <f t="shared" si="28"/>
        <v>13762433</v>
      </c>
      <c r="K75" s="97">
        <f t="shared" si="28"/>
        <v>10269483</v>
      </c>
      <c r="L75" s="97">
        <f t="shared" si="28"/>
        <v>0</v>
      </c>
      <c r="M75" s="97">
        <f t="shared" si="28"/>
        <v>0</v>
      </c>
      <c r="N75" s="97">
        <f t="shared" si="28"/>
        <v>0</v>
      </c>
      <c r="O75" s="97">
        <f t="shared" si="28"/>
        <v>13762433</v>
      </c>
      <c r="P75" s="97">
        <f t="shared" si="28"/>
        <v>13762433</v>
      </c>
      <c r="Q75" s="33"/>
      <c r="R75" s="32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  <c r="TG75" s="33"/>
    </row>
    <row r="76" spans="1:527" s="34" customFormat="1" ht="22.5" customHeight="1" x14ac:dyDescent="0.25">
      <c r="A76" s="107"/>
      <c r="B76" s="73"/>
      <c r="C76" s="73"/>
      <c r="D76" s="76" t="s">
        <v>395</v>
      </c>
      <c r="E76" s="97">
        <f>E105+E115+E117</f>
        <v>284064</v>
      </c>
      <c r="F76" s="97">
        <f>F105+F115+F117</f>
        <v>284064</v>
      </c>
      <c r="G76" s="97">
        <f t="shared" ref="G76:P76" si="29">G105+G115+G117</f>
        <v>0</v>
      </c>
      <c r="H76" s="97">
        <f t="shared" si="29"/>
        <v>0</v>
      </c>
      <c r="I76" s="97">
        <f t="shared" si="29"/>
        <v>0</v>
      </c>
      <c r="J76" s="97">
        <f t="shared" si="29"/>
        <v>250000</v>
      </c>
      <c r="K76" s="97">
        <f t="shared" si="29"/>
        <v>250000</v>
      </c>
      <c r="L76" s="97">
        <f t="shared" si="29"/>
        <v>0</v>
      </c>
      <c r="M76" s="97">
        <f t="shared" si="29"/>
        <v>0</v>
      </c>
      <c r="N76" s="97">
        <f t="shared" si="29"/>
        <v>0</v>
      </c>
      <c r="O76" s="97">
        <f t="shared" si="29"/>
        <v>250000</v>
      </c>
      <c r="P76" s="97">
        <f t="shared" si="29"/>
        <v>534064</v>
      </c>
      <c r="Q76" s="33"/>
      <c r="R76" s="32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  <c r="TF76" s="33"/>
      <c r="TG76" s="33"/>
    </row>
    <row r="77" spans="1:527" s="22" customFormat="1" ht="45.75" customHeight="1" x14ac:dyDescent="0.25">
      <c r="A77" s="59" t="s">
        <v>167</v>
      </c>
      <c r="B77" s="92" t="str">
        <f>'дод 7'!A19</f>
        <v>0160</v>
      </c>
      <c r="C77" s="92" t="str">
        <f>'дод 7'!B19</f>
        <v>0111</v>
      </c>
      <c r="D77" s="36" t="s">
        <v>493</v>
      </c>
      <c r="E77" s="98">
        <f t="shared" ref="E77:E126" si="30">F77+I77</f>
        <v>3864285</v>
      </c>
      <c r="F77" s="98">
        <v>3864285</v>
      </c>
      <c r="G77" s="98">
        <f>2976200-3000</f>
        <v>2973200</v>
      </c>
      <c r="H77" s="98">
        <v>43585</v>
      </c>
      <c r="I77" s="98"/>
      <c r="J77" s="98">
        <f>L77+O77</f>
        <v>0</v>
      </c>
      <c r="K77" s="98">
        <v>0</v>
      </c>
      <c r="L77" s="98"/>
      <c r="M77" s="98"/>
      <c r="N77" s="98"/>
      <c r="O77" s="98">
        <v>0</v>
      </c>
      <c r="P77" s="98">
        <f t="shared" ref="P77:P126" si="31">E77+J77</f>
        <v>3864285</v>
      </c>
      <c r="Q77" s="23"/>
      <c r="R77" s="32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</row>
    <row r="78" spans="1:527" s="22" customFormat="1" ht="21.75" customHeight="1" x14ac:dyDescent="0.25">
      <c r="A78" s="59" t="s">
        <v>168</v>
      </c>
      <c r="B78" s="92" t="str">
        <f>'дод 7'!A36</f>
        <v>1010</v>
      </c>
      <c r="C78" s="92" t="str">
        <f>'дод 7'!B36</f>
        <v>0910</v>
      </c>
      <c r="D78" s="60" t="s">
        <v>502</v>
      </c>
      <c r="E78" s="98">
        <f t="shared" si="30"/>
        <v>312891086</v>
      </c>
      <c r="F78" s="98">
        <f>297514346-82400+49810+900000+1453830+3000000+2500000+7915500-49800-310200</f>
        <v>312891086</v>
      </c>
      <c r="G78" s="98">
        <f>205054200-732400+487530-137000</f>
        <v>204672330</v>
      </c>
      <c r="H78" s="98">
        <f>24363307+791300+7915500-100000</f>
        <v>32970107</v>
      </c>
      <c r="I78" s="98"/>
      <c r="J78" s="98">
        <f>L78+O78</f>
        <v>13014798</v>
      </c>
      <c r="K78" s="98">
        <f>1071480-12502+49800+146320</f>
        <v>1255098</v>
      </c>
      <c r="L78" s="98">
        <v>11759700</v>
      </c>
      <c r="M78" s="98"/>
      <c r="N78" s="98"/>
      <c r="O78" s="98">
        <f>1071480-12502+49800+146320</f>
        <v>1255098</v>
      </c>
      <c r="P78" s="98">
        <f t="shared" si="31"/>
        <v>325905884</v>
      </c>
      <c r="Q78" s="23"/>
      <c r="R78" s="3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</row>
    <row r="79" spans="1:527" s="22" customFormat="1" ht="37.5" customHeight="1" x14ac:dyDescent="0.25">
      <c r="A79" s="59" t="s">
        <v>469</v>
      </c>
      <c r="B79" s="59">
        <f>'дод 7'!A38</f>
        <v>1021</v>
      </c>
      <c r="C79" s="92" t="str">
        <f>'дод 7'!B38</f>
        <v>0921</v>
      </c>
      <c r="D79" s="60" t="s">
        <v>580</v>
      </c>
      <c r="E79" s="98">
        <f t="shared" si="30"/>
        <v>224822308.69999999</v>
      </c>
      <c r="F79" s="98">
        <f>209620109.2+17200+10000+700000+100000+14028900-25000+25700+79918.5+186500+1000+36286+297+35678+5720</f>
        <v>224822308.69999999</v>
      </c>
      <c r="G79" s="98">
        <f>116833485.94-160000</f>
        <v>116673485.94</v>
      </c>
      <c r="H79" s="98">
        <f>31973609.55+14028900+186500</f>
        <v>46189009.549999997</v>
      </c>
      <c r="I79" s="98"/>
      <c r="J79" s="98">
        <f t="shared" ref="J79:J126" si="32">L79+O79</f>
        <v>26423904</v>
      </c>
      <c r="K79" s="98">
        <v>1293104</v>
      </c>
      <c r="L79" s="98">
        <v>25130800</v>
      </c>
      <c r="M79" s="98">
        <v>2268060</v>
      </c>
      <c r="N79" s="98">
        <v>139890</v>
      </c>
      <c r="O79" s="98">
        <v>1293104</v>
      </c>
      <c r="P79" s="98">
        <f t="shared" si="31"/>
        <v>251246212.69999999</v>
      </c>
      <c r="Q79" s="23"/>
      <c r="R79" s="32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</row>
    <row r="80" spans="1:527" s="22" customFormat="1" ht="63" x14ac:dyDescent="0.25">
      <c r="A80" s="59" t="s">
        <v>471</v>
      </c>
      <c r="B80" s="92">
        <v>1022</v>
      </c>
      <c r="C80" s="59" t="s">
        <v>55</v>
      </c>
      <c r="D80" s="36" t="s">
        <v>472</v>
      </c>
      <c r="E80" s="98">
        <f t="shared" si="30"/>
        <v>15021607</v>
      </c>
      <c r="F80" s="98">
        <f>14436307-20200+572000+33500</f>
        <v>15021607</v>
      </c>
      <c r="G80" s="98">
        <v>8830500</v>
      </c>
      <c r="H80" s="98">
        <f>1512107+572000+33500</f>
        <v>2117607</v>
      </c>
      <c r="I80" s="98"/>
      <c r="J80" s="98">
        <f t="shared" si="32"/>
        <v>97000</v>
      </c>
      <c r="K80" s="98">
        <v>97000</v>
      </c>
      <c r="L80" s="98"/>
      <c r="M80" s="98"/>
      <c r="N80" s="98"/>
      <c r="O80" s="98">
        <v>97000</v>
      </c>
      <c r="P80" s="98">
        <f t="shared" si="31"/>
        <v>15118607</v>
      </c>
      <c r="Q80" s="23"/>
      <c r="R80" s="32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</row>
    <row r="81" spans="1:527" s="22" customFormat="1" ht="63" x14ac:dyDescent="0.25">
      <c r="A81" s="59" t="s">
        <v>597</v>
      </c>
      <c r="B81" s="92">
        <v>1025</v>
      </c>
      <c r="C81" s="59" t="s">
        <v>55</v>
      </c>
      <c r="D81" s="36" t="s">
        <v>598</v>
      </c>
      <c r="E81" s="98">
        <f t="shared" si="30"/>
        <v>4167674.43</v>
      </c>
      <c r="F81" s="98">
        <f>3993974.43+20200+92200+49800+11500</f>
        <v>4167674.43</v>
      </c>
      <c r="G81" s="98">
        <v>2829220.06</v>
      </c>
      <c r="H81" s="98">
        <f>306666.45+92200+11500</f>
        <v>410366.45</v>
      </c>
      <c r="I81" s="98"/>
      <c r="J81" s="98">
        <f t="shared" si="32"/>
        <v>0</v>
      </c>
      <c r="K81" s="98"/>
      <c r="L81" s="98"/>
      <c r="M81" s="98"/>
      <c r="N81" s="98"/>
      <c r="O81" s="98"/>
      <c r="P81" s="98">
        <f t="shared" si="31"/>
        <v>4167674.43</v>
      </c>
      <c r="Q81" s="23"/>
      <c r="R81" s="32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</row>
    <row r="82" spans="1:527" s="22" customFormat="1" ht="31.5" x14ac:dyDescent="0.25">
      <c r="A82" s="59" t="s">
        <v>473</v>
      </c>
      <c r="B82" s="92">
        <v>1031</v>
      </c>
      <c r="C82" s="59" t="s">
        <v>51</v>
      </c>
      <c r="D82" s="60" t="s">
        <v>503</v>
      </c>
      <c r="E82" s="98">
        <f t="shared" si="30"/>
        <v>468297758.54000002</v>
      </c>
      <c r="F82" s="98">
        <f>468581848.54-284090</f>
        <v>468297758.54000002</v>
      </c>
      <c r="G82" s="98">
        <f>382983978.35-482840</f>
        <v>382501138.35000002</v>
      </c>
      <c r="H82" s="98"/>
      <c r="I82" s="98"/>
      <c r="J82" s="98">
        <f t="shared" si="32"/>
        <v>0</v>
      </c>
      <c r="K82" s="98"/>
      <c r="L82" s="98"/>
      <c r="M82" s="98"/>
      <c r="N82" s="98"/>
      <c r="O82" s="98"/>
      <c r="P82" s="98">
        <f t="shared" si="31"/>
        <v>468297758.54000002</v>
      </c>
      <c r="Q82" s="23"/>
      <c r="R82" s="32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</row>
    <row r="83" spans="1:527" s="24" customFormat="1" ht="31.5" x14ac:dyDescent="0.25">
      <c r="A83" s="83"/>
      <c r="B83" s="110"/>
      <c r="C83" s="110"/>
      <c r="D83" s="86" t="s">
        <v>389</v>
      </c>
      <c r="E83" s="100">
        <f t="shared" si="30"/>
        <v>466218378.54000002</v>
      </c>
      <c r="F83" s="100">
        <f>466502468.54-284090</f>
        <v>466218378.54000002</v>
      </c>
      <c r="G83" s="100">
        <f>382983978.35-482840</f>
        <v>382501138.35000002</v>
      </c>
      <c r="H83" s="100"/>
      <c r="I83" s="100"/>
      <c r="J83" s="100">
        <f t="shared" si="32"/>
        <v>0</v>
      </c>
      <c r="K83" s="100"/>
      <c r="L83" s="100"/>
      <c r="M83" s="100"/>
      <c r="N83" s="100"/>
      <c r="O83" s="100"/>
      <c r="P83" s="100">
        <f t="shared" si="31"/>
        <v>466218378.54000002</v>
      </c>
      <c r="Q83" s="30"/>
      <c r="R83" s="3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</row>
    <row r="84" spans="1:527" s="24" customFormat="1" ht="47.25" x14ac:dyDescent="0.25">
      <c r="A84" s="83"/>
      <c r="B84" s="110"/>
      <c r="C84" s="110"/>
      <c r="D84" s="86" t="s">
        <v>384</v>
      </c>
      <c r="E84" s="100">
        <f t="shared" si="30"/>
        <v>2079380</v>
      </c>
      <c r="F84" s="100">
        <v>2079380</v>
      </c>
      <c r="G84" s="100"/>
      <c r="H84" s="100"/>
      <c r="I84" s="100"/>
      <c r="J84" s="100">
        <f t="shared" si="32"/>
        <v>0</v>
      </c>
      <c r="K84" s="100"/>
      <c r="L84" s="100"/>
      <c r="M84" s="100"/>
      <c r="N84" s="100"/>
      <c r="O84" s="100"/>
      <c r="P84" s="100">
        <f t="shared" si="31"/>
        <v>2079380</v>
      </c>
      <c r="Q84" s="30"/>
      <c r="R84" s="3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</row>
    <row r="85" spans="1:527" s="22" customFormat="1" ht="65.25" customHeight="1" x14ac:dyDescent="0.25">
      <c r="A85" s="59" t="s">
        <v>474</v>
      </c>
      <c r="B85" s="59" t="s">
        <v>475</v>
      </c>
      <c r="C85" s="59" t="s">
        <v>55</v>
      </c>
      <c r="D85" s="60" t="s">
        <v>504</v>
      </c>
      <c r="E85" s="98">
        <f t="shared" si="30"/>
        <v>15808500</v>
      </c>
      <c r="F85" s="98">
        <f>15564500+244000</f>
        <v>15808500</v>
      </c>
      <c r="G85" s="98">
        <f>12769100+200000</f>
        <v>12969100</v>
      </c>
      <c r="H85" s="98"/>
      <c r="I85" s="98"/>
      <c r="J85" s="98">
        <f t="shared" si="32"/>
        <v>0</v>
      </c>
      <c r="K85" s="98"/>
      <c r="L85" s="98"/>
      <c r="M85" s="98"/>
      <c r="N85" s="98"/>
      <c r="O85" s="98"/>
      <c r="P85" s="98">
        <f t="shared" si="31"/>
        <v>15808500</v>
      </c>
      <c r="Q85" s="23"/>
      <c r="R85" s="32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  <c r="TF85" s="23"/>
      <c r="TG85" s="23"/>
    </row>
    <row r="86" spans="1:527" s="24" customFormat="1" ht="31.5" x14ac:dyDescent="0.25">
      <c r="A86" s="83"/>
      <c r="B86" s="110"/>
      <c r="C86" s="110"/>
      <c r="D86" s="86" t="s">
        <v>389</v>
      </c>
      <c r="E86" s="100">
        <f t="shared" ref="E86:E92" si="33">F86+I86</f>
        <v>15808500</v>
      </c>
      <c r="F86" s="100">
        <f>15564500+244000</f>
        <v>15808500</v>
      </c>
      <c r="G86" s="100">
        <f>12769100+200000</f>
        <v>12969100</v>
      </c>
      <c r="H86" s="100"/>
      <c r="I86" s="100"/>
      <c r="J86" s="100">
        <f t="shared" ref="J86:J88" si="34">L86+O86</f>
        <v>0</v>
      </c>
      <c r="K86" s="100"/>
      <c r="L86" s="100"/>
      <c r="M86" s="100"/>
      <c r="N86" s="100"/>
      <c r="O86" s="100"/>
      <c r="P86" s="100">
        <f t="shared" ref="P86:P88" si="35">E86+J86</f>
        <v>15808500</v>
      </c>
      <c r="Q86" s="30"/>
      <c r="R86" s="3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</row>
    <row r="87" spans="1:527" s="22" customFormat="1" ht="66.75" customHeight="1" x14ac:dyDescent="0.25">
      <c r="A87" s="59" t="s">
        <v>599</v>
      </c>
      <c r="B87" s="92">
        <v>1035</v>
      </c>
      <c r="C87" s="59" t="s">
        <v>55</v>
      </c>
      <c r="D87" s="36" t="s">
        <v>600</v>
      </c>
      <c r="E87" s="98">
        <f t="shared" si="30"/>
        <v>421121.46</v>
      </c>
      <c r="F87" s="98">
        <f>381031.46+40090</f>
        <v>421121.46</v>
      </c>
      <c r="G87" s="98">
        <f>312921.65+32840</f>
        <v>345761.65</v>
      </c>
      <c r="H87" s="98"/>
      <c r="I87" s="98"/>
      <c r="J87" s="98">
        <f t="shared" si="32"/>
        <v>0</v>
      </c>
      <c r="K87" s="98"/>
      <c r="L87" s="98"/>
      <c r="M87" s="98"/>
      <c r="N87" s="98"/>
      <c r="O87" s="98"/>
      <c r="P87" s="98">
        <f t="shared" si="31"/>
        <v>421121.46</v>
      </c>
      <c r="Q87" s="23"/>
      <c r="R87" s="32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  <c r="TF87" s="23"/>
      <c r="TG87" s="23"/>
    </row>
    <row r="88" spans="1:527" s="24" customFormat="1" ht="31.5" x14ac:dyDescent="0.25">
      <c r="A88" s="83"/>
      <c r="B88" s="110"/>
      <c r="C88" s="83"/>
      <c r="D88" s="86" t="s">
        <v>389</v>
      </c>
      <c r="E88" s="100">
        <f t="shared" si="33"/>
        <v>421121.46</v>
      </c>
      <c r="F88" s="100">
        <f>381031.46+40090</f>
        <v>421121.46</v>
      </c>
      <c r="G88" s="100">
        <f>312921.65+32840</f>
        <v>345761.65</v>
      </c>
      <c r="H88" s="100"/>
      <c r="I88" s="100"/>
      <c r="J88" s="100">
        <f t="shared" si="34"/>
        <v>0</v>
      </c>
      <c r="K88" s="100"/>
      <c r="L88" s="100"/>
      <c r="M88" s="100"/>
      <c r="N88" s="100"/>
      <c r="O88" s="100"/>
      <c r="P88" s="100">
        <f t="shared" si="35"/>
        <v>421121.46</v>
      </c>
      <c r="Q88" s="30"/>
      <c r="R88" s="3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</row>
    <row r="89" spans="1:527" s="24" customFormat="1" ht="31.5" x14ac:dyDescent="0.25">
      <c r="A89" s="59" t="s">
        <v>529</v>
      </c>
      <c r="B89" s="92">
        <v>1061</v>
      </c>
      <c r="C89" s="59" t="s">
        <v>51</v>
      </c>
      <c r="D89" s="36" t="s">
        <v>503</v>
      </c>
      <c r="E89" s="98">
        <f t="shared" si="33"/>
        <v>1064017.6000000001</v>
      </c>
      <c r="F89" s="98">
        <f>947017.6+117000</f>
        <v>1064017.6000000001</v>
      </c>
      <c r="G89" s="100"/>
      <c r="H89" s="100"/>
      <c r="I89" s="100"/>
      <c r="J89" s="98">
        <f t="shared" si="32"/>
        <v>5993725.1799999997</v>
      </c>
      <c r="K89" s="98">
        <f>6110725.18-117000</f>
        <v>5993725.1799999997</v>
      </c>
      <c r="L89" s="98"/>
      <c r="M89" s="98"/>
      <c r="N89" s="98"/>
      <c r="O89" s="98">
        <f>6110725.18-117000</f>
        <v>5993725.1799999997</v>
      </c>
      <c r="P89" s="98">
        <f t="shared" si="31"/>
        <v>7057742.7799999993</v>
      </c>
      <c r="Q89" s="30"/>
      <c r="R89" s="3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</row>
    <row r="90" spans="1:527" s="24" customFormat="1" ht="46.5" customHeight="1" x14ac:dyDescent="0.25">
      <c r="A90" s="83"/>
      <c r="B90" s="110"/>
      <c r="C90" s="83"/>
      <c r="D90" s="86" t="s">
        <v>543</v>
      </c>
      <c r="E90" s="100">
        <f>F90+I90</f>
        <v>363000</v>
      </c>
      <c r="F90" s="100">
        <f>246000+117000</f>
        <v>363000</v>
      </c>
      <c r="G90" s="100"/>
      <c r="H90" s="100"/>
      <c r="I90" s="100"/>
      <c r="J90" s="100">
        <f>L90+O90</f>
        <v>1637000</v>
      </c>
      <c r="K90" s="100">
        <f>1754000-117000</f>
        <v>1637000</v>
      </c>
      <c r="L90" s="100"/>
      <c r="M90" s="100"/>
      <c r="N90" s="100"/>
      <c r="O90" s="100">
        <f>1754000-117000</f>
        <v>1637000</v>
      </c>
      <c r="P90" s="100">
        <f t="shared" si="31"/>
        <v>2000000</v>
      </c>
      <c r="Q90" s="30"/>
      <c r="R90" s="3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</row>
    <row r="91" spans="1:527" s="24" customFormat="1" ht="31.5" x14ac:dyDescent="0.25">
      <c r="A91" s="83"/>
      <c r="B91" s="110"/>
      <c r="C91" s="83"/>
      <c r="D91" s="86" t="s">
        <v>540</v>
      </c>
      <c r="E91" s="100">
        <f t="shared" ref="E91:E93" si="36">F91+I91</f>
        <v>701017.59999999998</v>
      </c>
      <c r="F91" s="100">
        <v>701017.59999999998</v>
      </c>
      <c r="G91" s="100"/>
      <c r="H91" s="100"/>
      <c r="I91" s="100"/>
      <c r="J91" s="100">
        <f t="shared" ref="J91" si="37">L91+O91</f>
        <v>4356725.18</v>
      </c>
      <c r="K91" s="100">
        <v>4356725.18</v>
      </c>
      <c r="L91" s="100"/>
      <c r="M91" s="100"/>
      <c r="N91" s="100"/>
      <c r="O91" s="100">
        <v>4356725.18</v>
      </c>
      <c r="P91" s="100">
        <f t="shared" si="31"/>
        <v>5057742.7799999993</v>
      </c>
      <c r="Q91" s="30"/>
      <c r="R91" s="3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</row>
    <row r="92" spans="1:527" s="24" customFormat="1" ht="63" x14ac:dyDescent="0.25">
      <c r="A92" s="59" t="s">
        <v>535</v>
      </c>
      <c r="B92" s="92">
        <v>1062</v>
      </c>
      <c r="C92" s="59" t="s">
        <v>55</v>
      </c>
      <c r="D92" s="60" t="s">
        <v>504</v>
      </c>
      <c r="E92" s="98">
        <f t="shared" si="33"/>
        <v>40000</v>
      </c>
      <c r="F92" s="98">
        <v>40000</v>
      </c>
      <c r="G92" s="100"/>
      <c r="H92" s="100"/>
      <c r="I92" s="100"/>
      <c r="J92" s="98">
        <f>L92+O92</f>
        <v>0</v>
      </c>
      <c r="K92" s="100"/>
      <c r="L92" s="100"/>
      <c r="M92" s="100"/>
      <c r="N92" s="100"/>
      <c r="O92" s="100"/>
      <c r="P92" s="98">
        <f t="shared" si="31"/>
        <v>40000</v>
      </c>
      <c r="Q92" s="30"/>
      <c r="R92" s="3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</row>
    <row r="93" spans="1:527" s="24" customFormat="1" ht="31.5" x14ac:dyDescent="0.25">
      <c r="A93" s="83"/>
      <c r="B93" s="110"/>
      <c r="C93" s="83"/>
      <c r="D93" s="86" t="s">
        <v>540</v>
      </c>
      <c r="E93" s="100">
        <f t="shared" si="36"/>
        <v>40000</v>
      </c>
      <c r="F93" s="100">
        <v>40000</v>
      </c>
      <c r="G93" s="100"/>
      <c r="H93" s="100"/>
      <c r="I93" s="100"/>
      <c r="J93" s="100">
        <f>L93+O93</f>
        <v>0</v>
      </c>
      <c r="K93" s="100"/>
      <c r="L93" s="100"/>
      <c r="M93" s="100"/>
      <c r="N93" s="100"/>
      <c r="O93" s="100"/>
      <c r="P93" s="100">
        <f t="shared" si="31"/>
        <v>40000</v>
      </c>
      <c r="Q93" s="30"/>
      <c r="R93" s="3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  <c r="TF93" s="30"/>
      <c r="TG93" s="30"/>
    </row>
    <row r="94" spans="1:527" s="22" customFormat="1" ht="47.25" x14ac:dyDescent="0.25">
      <c r="A94" s="59" t="s">
        <v>476</v>
      </c>
      <c r="B94" s="59" t="s">
        <v>54</v>
      </c>
      <c r="C94" s="59" t="s">
        <v>57</v>
      </c>
      <c r="D94" s="60" t="s">
        <v>365</v>
      </c>
      <c r="E94" s="98">
        <f t="shared" si="30"/>
        <v>36446395</v>
      </c>
      <c r="F94" s="98">
        <f>35044945+407200+25850+900500+67900</f>
        <v>36446395</v>
      </c>
      <c r="G94" s="98">
        <f>25836800+348600</f>
        <v>26185400</v>
      </c>
      <c r="H94" s="98">
        <f>2805445+900500+67900</f>
        <v>3773845</v>
      </c>
      <c r="I94" s="98"/>
      <c r="J94" s="98">
        <f t="shared" si="32"/>
        <v>112500</v>
      </c>
      <c r="K94" s="98">
        <v>112500</v>
      </c>
      <c r="L94" s="98"/>
      <c r="M94" s="98"/>
      <c r="N94" s="98"/>
      <c r="O94" s="98">
        <v>112500</v>
      </c>
      <c r="P94" s="98">
        <f t="shared" si="31"/>
        <v>36558895</v>
      </c>
      <c r="Q94" s="23"/>
      <c r="R94" s="32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  <c r="TF94" s="23"/>
      <c r="TG94" s="23"/>
    </row>
    <row r="95" spans="1:527" s="22" customFormat="1" ht="31.5" x14ac:dyDescent="0.25">
      <c r="A95" s="59" t="s">
        <v>477</v>
      </c>
      <c r="B95" s="59" t="s">
        <v>478</v>
      </c>
      <c r="C95" s="59" t="s">
        <v>58</v>
      </c>
      <c r="D95" s="36" t="s">
        <v>510</v>
      </c>
      <c r="E95" s="98">
        <f t="shared" si="30"/>
        <v>11570150</v>
      </c>
      <c r="F95" s="98">
        <f>11387250+175200+7700</f>
        <v>11570150</v>
      </c>
      <c r="G95" s="98">
        <v>8331500</v>
      </c>
      <c r="H95" s="98">
        <f>585250+175200+7700</f>
        <v>768150</v>
      </c>
      <c r="I95" s="98"/>
      <c r="J95" s="98">
        <f t="shared" si="32"/>
        <v>0</v>
      </c>
      <c r="K95" s="98">
        <v>0</v>
      </c>
      <c r="L95" s="98"/>
      <c r="M95" s="98"/>
      <c r="N95" s="98"/>
      <c r="O95" s="98">
        <v>0</v>
      </c>
      <c r="P95" s="98">
        <f t="shared" si="31"/>
        <v>11570150</v>
      </c>
      <c r="Q95" s="23"/>
      <c r="R95" s="32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  <c r="TG95" s="23"/>
    </row>
    <row r="96" spans="1:527" s="22" customFormat="1" ht="18" customHeight="1" x14ac:dyDescent="0.25">
      <c r="A96" s="59" t="s">
        <v>479</v>
      </c>
      <c r="B96" s="59" t="s">
        <v>480</v>
      </c>
      <c r="C96" s="59" t="s">
        <v>58</v>
      </c>
      <c r="D96" s="36" t="s">
        <v>281</v>
      </c>
      <c r="E96" s="98">
        <f t="shared" si="30"/>
        <v>113000</v>
      </c>
      <c r="F96" s="98">
        <v>113000</v>
      </c>
      <c r="G96" s="98"/>
      <c r="H96" s="98"/>
      <c r="I96" s="98"/>
      <c r="J96" s="98">
        <f t="shared" ref="J96" si="38">L96+O96</f>
        <v>0</v>
      </c>
      <c r="K96" s="98"/>
      <c r="L96" s="98"/>
      <c r="M96" s="98"/>
      <c r="N96" s="98"/>
      <c r="O96" s="98"/>
      <c r="P96" s="98">
        <f t="shared" ref="P96" si="39">E96+J96</f>
        <v>113000</v>
      </c>
      <c r="Q96" s="23"/>
      <c r="R96" s="32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</row>
    <row r="97" spans="1:527" s="22" customFormat="1" ht="31.5" x14ac:dyDescent="0.25">
      <c r="A97" s="59" t="s">
        <v>481</v>
      </c>
      <c r="B97" s="59" t="s">
        <v>482</v>
      </c>
      <c r="C97" s="59" t="s">
        <v>58</v>
      </c>
      <c r="D97" s="60" t="s">
        <v>483</v>
      </c>
      <c r="E97" s="98">
        <f t="shared" si="30"/>
        <v>135033</v>
      </c>
      <c r="F97" s="98">
        <f>445933-324800+13900</f>
        <v>135033</v>
      </c>
      <c r="G97" s="98">
        <f>266200-266200</f>
        <v>0</v>
      </c>
      <c r="H97" s="98">
        <f>66733+13900</f>
        <v>80633</v>
      </c>
      <c r="I97" s="98"/>
      <c r="J97" s="98">
        <f t="shared" si="32"/>
        <v>0</v>
      </c>
      <c r="K97" s="98"/>
      <c r="L97" s="98"/>
      <c r="M97" s="98"/>
      <c r="N97" s="98"/>
      <c r="O97" s="98"/>
      <c r="P97" s="98">
        <f t="shared" si="31"/>
        <v>135033</v>
      </c>
      <c r="Q97" s="23"/>
      <c r="R97" s="32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  <c r="TF97" s="23"/>
      <c r="TG97" s="23"/>
    </row>
    <row r="98" spans="1:527" s="22" customFormat="1" ht="45.75" customHeight="1" x14ac:dyDescent="0.25">
      <c r="A98" s="59" t="s">
        <v>484</v>
      </c>
      <c r="B98" s="59" t="s">
        <v>485</v>
      </c>
      <c r="C98" s="59" t="str">
        <f>'дод 7'!B64</f>
        <v>0990</v>
      </c>
      <c r="D98" s="60" t="s">
        <v>505</v>
      </c>
      <c r="E98" s="98">
        <f t="shared" si="30"/>
        <v>1499036</v>
      </c>
      <c r="F98" s="98">
        <v>1499036</v>
      </c>
      <c r="G98" s="98">
        <v>1228720</v>
      </c>
      <c r="H98" s="98"/>
      <c r="I98" s="98"/>
      <c r="J98" s="98">
        <f t="shared" si="32"/>
        <v>0</v>
      </c>
      <c r="K98" s="98"/>
      <c r="L98" s="98"/>
      <c r="M98" s="98"/>
      <c r="N98" s="98"/>
      <c r="O98" s="98"/>
      <c r="P98" s="98">
        <f t="shared" si="31"/>
        <v>1499036</v>
      </c>
      <c r="Q98" s="23"/>
      <c r="R98" s="32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  <c r="SQ98" s="23"/>
      <c r="SR98" s="23"/>
      <c r="SS98" s="23"/>
      <c r="ST98" s="23"/>
      <c r="SU98" s="23"/>
      <c r="SV98" s="23"/>
      <c r="SW98" s="23"/>
      <c r="SX98" s="23"/>
      <c r="SY98" s="23"/>
      <c r="SZ98" s="23"/>
      <c r="TA98" s="23"/>
      <c r="TB98" s="23"/>
      <c r="TC98" s="23"/>
      <c r="TD98" s="23"/>
      <c r="TE98" s="23"/>
      <c r="TF98" s="23"/>
      <c r="TG98" s="23"/>
    </row>
    <row r="99" spans="1:527" s="24" customFormat="1" ht="45.75" customHeight="1" x14ac:dyDescent="0.25">
      <c r="A99" s="83"/>
      <c r="B99" s="83"/>
      <c r="C99" s="83"/>
      <c r="D99" s="86" t="s">
        <v>384</v>
      </c>
      <c r="E99" s="100">
        <f t="shared" si="30"/>
        <v>1499036</v>
      </c>
      <c r="F99" s="100">
        <v>1499036</v>
      </c>
      <c r="G99" s="100">
        <v>1228720</v>
      </c>
      <c r="H99" s="100"/>
      <c r="I99" s="100"/>
      <c r="J99" s="100">
        <f t="shared" si="32"/>
        <v>0</v>
      </c>
      <c r="K99" s="100"/>
      <c r="L99" s="100"/>
      <c r="M99" s="100"/>
      <c r="N99" s="100"/>
      <c r="O99" s="100"/>
      <c r="P99" s="100">
        <f t="shared" si="31"/>
        <v>1499036</v>
      </c>
      <c r="Q99" s="30"/>
      <c r="R99" s="3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</row>
    <row r="100" spans="1:527" s="22" customFormat="1" ht="36" customHeight="1" x14ac:dyDescent="0.25">
      <c r="A100" s="59" t="s">
        <v>486</v>
      </c>
      <c r="B100" s="59" t="s">
        <v>487</v>
      </c>
      <c r="C100" s="59" t="str">
        <f>'дод 7'!B65</f>
        <v>0990</v>
      </c>
      <c r="D100" s="60" t="s">
        <v>488</v>
      </c>
      <c r="E100" s="98">
        <f t="shared" si="30"/>
        <v>2552577</v>
      </c>
      <c r="F100" s="98">
        <f>2521377+9000+22200</f>
        <v>2552577</v>
      </c>
      <c r="G100" s="98">
        <f>1880000-3000</f>
        <v>1877000</v>
      </c>
      <c r="H100" s="98">
        <f>92977+22200</f>
        <v>115177</v>
      </c>
      <c r="I100" s="98"/>
      <c r="J100" s="98">
        <f t="shared" si="32"/>
        <v>41000</v>
      </c>
      <c r="K100" s="98">
        <f>50000-9000</f>
        <v>41000</v>
      </c>
      <c r="L100" s="98"/>
      <c r="M100" s="98"/>
      <c r="N100" s="98"/>
      <c r="O100" s="98">
        <f>50000-9000</f>
        <v>41000</v>
      </c>
      <c r="P100" s="98">
        <f t="shared" si="31"/>
        <v>2593577</v>
      </c>
      <c r="Q100" s="23"/>
      <c r="R100" s="32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  <c r="TF100" s="23"/>
      <c r="TG100" s="23"/>
    </row>
    <row r="101" spans="1:527" s="22" customFormat="1" ht="66" customHeight="1" x14ac:dyDescent="0.25">
      <c r="A101" s="59" t="s">
        <v>566</v>
      </c>
      <c r="B101" s="59" t="s">
        <v>567</v>
      </c>
      <c r="C101" s="59" t="s">
        <v>58</v>
      </c>
      <c r="D101" s="60" t="s">
        <v>570</v>
      </c>
      <c r="E101" s="98">
        <f t="shared" si="30"/>
        <v>0</v>
      </c>
      <c r="F101" s="98"/>
      <c r="G101" s="98"/>
      <c r="H101" s="98"/>
      <c r="I101" s="98"/>
      <c r="J101" s="98">
        <f t="shared" si="32"/>
        <v>1522670</v>
      </c>
      <c r="K101" s="98">
        <f>1610670-88000</f>
        <v>1522670</v>
      </c>
      <c r="L101" s="98"/>
      <c r="M101" s="98"/>
      <c r="N101" s="98"/>
      <c r="O101" s="98">
        <f>1610670-88000</f>
        <v>1522670</v>
      </c>
      <c r="P101" s="98">
        <f t="shared" si="31"/>
        <v>1522670</v>
      </c>
      <c r="Q101" s="23"/>
      <c r="R101" s="32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  <c r="TF101" s="23"/>
      <c r="TG101" s="23"/>
    </row>
    <row r="102" spans="1:527" s="22" customFormat="1" ht="63" x14ac:dyDescent="0.25">
      <c r="A102" s="59" t="s">
        <v>555</v>
      </c>
      <c r="B102" s="59" t="s">
        <v>557</v>
      </c>
      <c r="C102" s="59" t="s">
        <v>58</v>
      </c>
      <c r="D102" s="60" t="s">
        <v>617</v>
      </c>
      <c r="E102" s="98">
        <f t="shared" si="30"/>
        <v>287772</v>
      </c>
      <c r="F102" s="98">
        <v>287772</v>
      </c>
      <c r="G102" s="98"/>
      <c r="H102" s="98"/>
      <c r="I102" s="98"/>
      <c r="J102" s="98">
        <f t="shared" si="32"/>
        <v>2859728</v>
      </c>
      <c r="K102" s="98">
        <v>2859728</v>
      </c>
      <c r="L102" s="98"/>
      <c r="M102" s="98"/>
      <c r="N102" s="98"/>
      <c r="O102" s="98">
        <v>2859728</v>
      </c>
      <c r="P102" s="98">
        <f t="shared" si="31"/>
        <v>3147500</v>
      </c>
      <c r="Q102" s="23"/>
      <c r="R102" s="32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  <c r="TF102" s="23"/>
      <c r="TG102" s="23"/>
    </row>
    <row r="103" spans="1:527" s="24" customFormat="1" ht="52.5" customHeight="1" x14ac:dyDescent="0.25">
      <c r="A103" s="83"/>
      <c r="B103" s="83"/>
      <c r="C103" s="83"/>
      <c r="D103" s="86" t="s">
        <v>602</v>
      </c>
      <c r="E103" s="100">
        <f t="shared" si="30"/>
        <v>287772</v>
      </c>
      <c r="F103" s="100">
        <v>287772</v>
      </c>
      <c r="G103" s="100"/>
      <c r="H103" s="100"/>
      <c r="I103" s="100"/>
      <c r="J103" s="100">
        <f t="shared" si="32"/>
        <v>2859728</v>
      </c>
      <c r="K103" s="100">
        <v>2859728</v>
      </c>
      <c r="L103" s="100"/>
      <c r="M103" s="100"/>
      <c r="N103" s="100"/>
      <c r="O103" s="100">
        <v>2859728</v>
      </c>
      <c r="P103" s="100">
        <f t="shared" si="31"/>
        <v>3147500</v>
      </c>
      <c r="Q103" s="30"/>
      <c r="R103" s="32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</row>
    <row r="104" spans="1:527" s="22" customFormat="1" ht="78.75" x14ac:dyDescent="0.25">
      <c r="A104" s="59" t="s">
        <v>568</v>
      </c>
      <c r="B104" s="59" t="s">
        <v>569</v>
      </c>
      <c r="C104" s="59" t="s">
        <v>58</v>
      </c>
      <c r="D104" s="60" t="s">
        <v>595</v>
      </c>
      <c r="E104" s="98">
        <f t="shared" si="30"/>
        <v>2092093.9</v>
      </c>
      <c r="F104" s="98">
        <f>2037825+54276+11295.9-11303</f>
        <v>2092093.9</v>
      </c>
      <c r="G104" s="98"/>
      <c r="H104" s="98"/>
      <c r="I104" s="98"/>
      <c r="J104" s="98">
        <f t="shared" si="32"/>
        <v>364158.1</v>
      </c>
      <c r="K104" s="98">
        <f>330427+88000-54276-11295.9+11303</f>
        <v>364158.1</v>
      </c>
      <c r="L104" s="98"/>
      <c r="M104" s="98"/>
      <c r="N104" s="98"/>
      <c r="O104" s="98">
        <f>330427+88000-54276-11295.9+11303</f>
        <v>364158.1</v>
      </c>
      <c r="P104" s="98">
        <f t="shared" si="31"/>
        <v>2456252</v>
      </c>
      <c r="Q104" s="23"/>
      <c r="R104" s="32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  <c r="TG104" s="23"/>
    </row>
    <row r="105" spans="1:527" s="22" customFormat="1" ht="15.75" x14ac:dyDescent="0.25">
      <c r="A105" s="59"/>
      <c r="B105" s="59"/>
      <c r="C105" s="59"/>
      <c r="D105" s="86" t="s">
        <v>395</v>
      </c>
      <c r="E105" s="100">
        <f t="shared" si="30"/>
        <v>150000</v>
      </c>
      <c r="F105" s="100">
        <v>150000</v>
      </c>
      <c r="G105" s="98"/>
      <c r="H105" s="98"/>
      <c r="I105" s="98"/>
      <c r="J105" s="100">
        <f t="shared" si="32"/>
        <v>0</v>
      </c>
      <c r="K105" s="98"/>
      <c r="L105" s="98"/>
      <c r="M105" s="98"/>
      <c r="N105" s="98"/>
      <c r="O105" s="98"/>
      <c r="P105" s="100">
        <f t="shared" si="31"/>
        <v>150000</v>
      </c>
      <c r="Q105" s="23"/>
      <c r="R105" s="32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  <c r="TF105" s="23"/>
      <c r="TG105" s="23"/>
    </row>
    <row r="106" spans="1:527" s="22" customFormat="1" ht="78.75" x14ac:dyDescent="0.25">
      <c r="A106" s="59" t="s">
        <v>556</v>
      </c>
      <c r="B106" s="59" t="s">
        <v>558</v>
      </c>
      <c r="C106" s="59" t="s">
        <v>58</v>
      </c>
      <c r="D106" s="60" t="s">
        <v>603</v>
      </c>
      <c r="E106" s="98">
        <f t="shared" si="30"/>
        <v>6262701.0999999996</v>
      </c>
      <c r="F106" s="98">
        <f>6109696+126648+26357.1</f>
        <v>6262701.0999999996</v>
      </c>
      <c r="G106" s="98">
        <v>57829</v>
      </c>
      <c r="H106" s="98"/>
      <c r="I106" s="98"/>
      <c r="J106" s="98">
        <f t="shared" si="32"/>
        <v>644361.9</v>
      </c>
      <c r="K106" s="98">
        <f>797367-126648-26357.1</f>
        <v>644361.9</v>
      </c>
      <c r="L106" s="98"/>
      <c r="M106" s="98"/>
      <c r="N106" s="98"/>
      <c r="O106" s="98">
        <f>797367-126648-26357.1</f>
        <v>644361.9</v>
      </c>
      <c r="P106" s="98">
        <f t="shared" si="31"/>
        <v>6907063</v>
      </c>
      <c r="Q106" s="23"/>
      <c r="R106" s="32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  <c r="PA106" s="23"/>
      <c r="PB106" s="23"/>
      <c r="PC106" s="23"/>
      <c r="PD106" s="23"/>
      <c r="PE106" s="23"/>
      <c r="PF106" s="23"/>
      <c r="PG106" s="23"/>
      <c r="PH106" s="23"/>
      <c r="PI106" s="23"/>
      <c r="PJ106" s="23"/>
      <c r="PK106" s="23"/>
      <c r="PL106" s="23"/>
      <c r="PM106" s="23"/>
      <c r="PN106" s="23"/>
      <c r="PO106" s="23"/>
      <c r="PP106" s="23"/>
      <c r="PQ106" s="23"/>
      <c r="PR106" s="23"/>
      <c r="PS106" s="23"/>
      <c r="PT106" s="23"/>
      <c r="PU106" s="23"/>
      <c r="PV106" s="23"/>
      <c r="PW106" s="23"/>
      <c r="PX106" s="23"/>
      <c r="PY106" s="23"/>
      <c r="PZ106" s="23"/>
      <c r="QA106" s="23"/>
      <c r="QB106" s="23"/>
      <c r="QC106" s="23"/>
      <c r="QD106" s="23"/>
      <c r="QE106" s="23"/>
      <c r="QF106" s="23"/>
      <c r="QG106" s="23"/>
      <c r="QH106" s="23"/>
      <c r="QI106" s="23"/>
      <c r="QJ106" s="23"/>
      <c r="QK106" s="23"/>
      <c r="QL106" s="23"/>
      <c r="QM106" s="23"/>
      <c r="QN106" s="23"/>
      <c r="QO106" s="23"/>
      <c r="QP106" s="23"/>
      <c r="QQ106" s="23"/>
      <c r="QR106" s="23"/>
      <c r="QS106" s="23"/>
      <c r="QT106" s="23"/>
      <c r="QU106" s="23"/>
      <c r="QV106" s="23"/>
      <c r="QW106" s="23"/>
      <c r="QX106" s="23"/>
      <c r="QY106" s="23"/>
      <c r="QZ106" s="23"/>
      <c r="RA106" s="23"/>
      <c r="RB106" s="23"/>
      <c r="RC106" s="23"/>
      <c r="RD106" s="23"/>
      <c r="RE106" s="23"/>
      <c r="RF106" s="23"/>
      <c r="RG106" s="23"/>
      <c r="RH106" s="23"/>
      <c r="RI106" s="23"/>
      <c r="RJ106" s="23"/>
      <c r="RK106" s="23"/>
      <c r="RL106" s="23"/>
      <c r="RM106" s="23"/>
      <c r="RN106" s="23"/>
      <c r="RO106" s="23"/>
      <c r="RP106" s="23"/>
      <c r="RQ106" s="23"/>
      <c r="RR106" s="23"/>
      <c r="RS106" s="23"/>
      <c r="RT106" s="23"/>
      <c r="RU106" s="23"/>
      <c r="RV106" s="23"/>
      <c r="RW106" s="23"/>
      <c r="RX106" s="23"/>
      <c r="RY106" s="23"/>
      <c r="RZ106" s="23"/>
      <c r="SA106" s="23"/>
      <c r="SB106" s="23"/>
      <c r="SC106" s="23"/>
      <c r="SD106" s="23"/>
      <c r="SE106" s="23"/>
      <c r="SF106" s="23"/>
      <c r="SG106" s="23"/>
      <c r="SH106" s="23"/>
      <c r="SI106" s="23"/>
      <c r="SJ106" s="23"/>
      <c r="SK106" s="23"/>
      <c r="SL106" s="23"/>
      <c r="SM106" s="23"/>
      <c r="SN106" s="23"/>
      <c r="SO106" s="23"/>
      <c r="SP106" s="23"/>
      <c r="SQ106" s="23"/>
      <c r="SR106" s="23"/>
      <c r="SS106" s="23"/>
      <c r="ST106" s="23"/>
      <c r="SU106" s="23"/>
      <c r="SV106" s="23"/>
      <c r="SW106" s="23"/>
      <c r="SX106" s="23"/>
      <c r="SY106" s="23"/>
      <c r="SZ106" s="23"/>
      <c r="TA106" s="23"/>
      <c r="TB106" s="23"/>
      <c r="TC106" s="23"/>
      <c r="TD106" s="23"/>
      <c r="TE106" s="23"/>
      <c r="TF106" s="23"/>
      <c r="TG106" s="23"/>
    </row>
    <row r="107" spans="1:527" s="24" customFormat="1" ht="79.5" customHeight="1" x14ac:dyDescent="0.25">
      <c r="A107" s="83"/>
      <c r="B107" s="83"/>
      <c r="C107" s="83"/>
      <c r="D107" s="86" t="s">
        <v>559</v>
      </c>
      <c r="E107" s="100">
        <f t="shared" si="30"/>
        <v>6262701.0999999996</v>
      </c>
      <c r="F107" s="100">
        <f>6109696+126648+26357.1</f>
        <v>6262701.0999999996</v>
      </c>
      <c r="G107" s="100">
        <v>57829</v>
      </c>
      <c r="H107" s="100"/>
      <c r="I107" s="100"/>
      <c r="J107" s="100">
        <f t="shared" si="32"/>
        <v>644361.9</v>
      </c>
      <c r="K107" s="100">
        <f>797367-126648-26357.1</f>
        <v>644361.9</v>
      </c>
      <c r="L107" s="100"/>
      <c r="M107" s="100"/>
      <c r="N107" s="100"/>
      <c r="O107" s="100">
        <f>797367-126648-26357.1</f>
        <v>644361.9</v>
      </c>
      <c r="P107" s="100">
        <f t="shared" si="31"/>
        <v>6907063</v>
      </c>
      <c r="Q107" s="30"/>
      <c r="R107" s="32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</row>
    <row r="108" spans="1:527" s="22" customFormat="1" ht="65.25" customHeight="1" x14ac:dyDescent="0.25">
      <c r="A108" s="59" t="s">
        <v>489</v>
      </c>
      <c r="B108" s="59" t="s">
        <v>490</v>
      </c>
      <c r="C108" s="59" t="s">
        <v>58</v>
      </c>
      <c r="D108" s="93" t="s">
        <v>506</v>
      </c>
      <c r="E108" s="98">
        <f t="shared" si="30"/>
        <v>2417470</v>
      </c>
      <c r="F108" s="98">
        <f>2612700-195230</f>
        <v>2417470</v>
      </c>
      <c r="G108" s="98">
        <f>1459720-160025</f>
        <v>1299695</v>
      </c>
      <c r="H108" s="98"/>
      <c r="I108" s="98"/>
      <c r="J108" s="98">
        <f t="shared" si="32"/>
        <v>72000</v>
      </c>
      <c r="K108" s="98">
        <v>72000</v>
      </c>
      <c r="L108" s="98"/>
      <c r="M108" s="98"/>
      <c r="N108" s="98"/>
      <c r="O108" s="98">
        <v>72000</v>
      </c>
      <c r="P108" s="98">
        <f t="shared" si="31"/>
        <v>2489470</v>
      </c>
      <c r="Q108" s="23"/>
      <c r="R108" s="32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  <c r="TF108" s="23"/>
      <c r="TG108" s="23"/>
    </row>
    <row r="109" spans="1:527" s="24" customFormat="1" ht="63" x14ac:dyDescent="0.25">
      <c r="A109" s="83"/>
      <c r="B109" s="110"/>
      <c r="C109" s="110"/>
      <c r="D109" s="86" t="s">
        <v>383</v>
      </c>
      <c r="E109" s="100">
        <f t="shared" si="30"/>
        <v>2417470</v>
      </c>
      <c r="F109" s="100">
        <f>2612700-195230</f>
        <v>2417470</v>
      </c>
      <c r="G109" s="100">
        <f>1459720-160025</f>
        <v>1299695</v>
      </c>
      <c r="H109" s="100"/>
      <c r="I109" s="100"/>
      <c r="J109" s="100">
        <f t="shared" si="32"/>
        <v>72000</v>
      </c>
      <c r="K109" s="100">
        <v>72000</v>
      </c>
      <c r="L109" s="100"/>
      <c r="M109" s="100"/>
      <c r="N109" s="100"/>
      <c r="O109" s="100">
        <v>72000</v>
      </c>
      <c r="P109" s="100">
        <f t="shared" si="31"/>
        <v>2489470</v>
      </c>
      <c r="Q109" s="30"/>
      <c r="R109" s="3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</row>
    <row r="110" spans="1:527" s="24" customFormat="1" ht="78.75" x14ac:dyDescent="0.25">
      <c r="A110" s="59" t="s">
        <v>521</v>
      </c>
      <c r="B110" s="92">
        <v>1210</v>
      </c>
      <c r="C110" s="59" t="s">
        <v>58</v>
      </c>
      <c r="D110" s="36" t="s">
        <v>522</v>
      </c>
      <c r="E110" s="98">
        <f t="shared" si="30"/>
        <v>1315285.79</v>
      </c>
      <c r="F110" s="98">
        <f>1174231+141054.79</f>
        <v>1315285.79</v>
      </c>
      <c r="G110" s="98">
        <f>962484+72136</f>
        <v>1034620</v>
      </c>
      <c r="H110" s="100"/>
      <c r="I110" s="100"/>
      <c r="J110" s="98">
        <f t="shared" si="32"/>
        <v>0</v>
      </c>
      <c r="K110" s="100"/>
      <c r="L110" s="100"/>
      <c r="M110" s="100"/>
      <c r="N110" s="100"/>
      <c r="O110" s="100"/>
      <c r="P110" s="98">
        <f t="shared" si="31"/>
        <v>1315285.79</v>
      </c>
      <c r="Q110" s="30"/>
      <c r="R110" s="3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</row>
    <row r="111" spans="1:527" s="24" customFormat="1" ht="75.75" customHeight="1" x14ac:dyDescent="0.25">
      <c r="A111" s="83"/>
      <c r="B111" s="110"/>
      <c r="C111" s="110"/>
      <c r="D111" s="86" t="s">
        <v>523</v>
      </c>
      <c r="E111" s="100">
        <f t="shared" si="30"/>
        <v>1315285.79</v>
      </c>
      <c r="F111" s="100">
        <f>1174231+141054.79</f>
        <v>1315285.79</v>
      </c>
      <c r="G111" s="100">
        <f>962484+72136</f>
        <v>1034620</v>
      </c>
      <c r="H111" s="100"/>
      <c r="I111" s="100"/>
      <c r="J111" s="100">
        <f t="shared" si="32"/>
        <v>0</v>
      </c>
      <c r="K111" s="100"/>
      <c r="L111" s="100"/>
      <c r="M111" s="100"/>
      <c r="N111" s="100"/>
      <c r="O111" s="100"/>
      <c r="P111" s="100">
        <f t="shared" si="31"/>
        <v>1315285.79</v>
      </c>
      <c r="Q111" s="30"/>
      <c r="R111" s="3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</row>
    <row r="112" spans="1:527" s="24" customFormat="1" ht="64.5" customHeight="1" x14ac:dyDescent="0.25">
      <c r="A112" s="59" t="s">
        <v>491</v>
      </c>
      <c r="B112" s="92">
        <v>3140</v>
      </c>
      <c r="C112" s="92">
        <v>1040</v>
      </c>
      <c r="D112" s="6" t="s">
        <v>20</v>
      </c>
      <c r="E112" s="98">
        <f t="shared" si="30"/>
        <v>5500000</v>
      </c>
      <c r="F112" s="98">
        <v>5500000</v>
      </c>
      <c r="G112" s="98"/>
      <c r="H112" s="98"/>
      <c r="I112" s="98"/>
      <c r="J112" s="98">
        <f t="shared" si="32"/>
        <v>0</v>
      </c>
      <c r="K112" s="100"/>
      <c r="L112" s="100"/>
      <c r="M112" s="100"/>
      <c r="N112" s="100"/>
      <c r="O112" s="100"/>
      <c r="P112" s="98">
        <f t="shared" si="31"/>
        <v>5500000</v>
      </c>
      <c r="Q112" s="30"/>
      <c r="R112" s="3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  <c r="TF112" s="30"/>
      <c r="TG112" s="30"/>
    </row>
    <row r="113" spans="1:527" s="24" customFormat="1" ht="31.5" x14ac:dyDescent="0.25">
      <c r="A113" s="59" t="s">
        <v>492</v>
      </c>
      <c r="B113" s="92">
        <v>3242</v>
      </c>
      <c r="C113" s="92">
        <v>1090</v>
      </c>
      <c r="D113" s="36" t="s">
        <v>412</v>
      </c>
      <c r="E113" s="98">
        <f t="shared" si="30"/>
        <v>59730</v>
      </c>
      <c r="F113" s="98">
        <f>54300+5430</f>
        <v>59730</v>
      </c>
      <c r="G113" s="98"/>
      <c r="H113" s="98"/>
      <c r="I113" s="98"/>
      <c r="J113" s="98">
        <f t="shared" si="32"/>
        <v>0</v>
      </c>
      <c r="K113" s="100"/>
      <c r="L113" s="100"/>
      <c r="M113" s="100"/>
      <c r="N113" s="100"/>
      <c r="O113" s="100"/>
      <c r="P113" s="98">
        <f t="shared" si="31"/>
        <v>59730</v>
      </c>
      <c r="Q113" s="30"/>
      <c r="R113" s="3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  <c r="TG113" s="30"/>
    </row>
    <row r="114" spans="1:527" s="24" customFormat="1" ht="47.25" x14ac:dyDescent="0.25">
      <c r="A114" s="59" t="s">
        <v>494</v>
      </c>
      <c r="B114" s="92">
        <v>5031</v>
      </c>
      <c r="C114" s="59" t="s">
        <v>80</v>
      </c>
      <c r="D114" s="3" t="s">
        <v>562</v>
      </c>
      <c r="E114" s="98">
        <f t="shared" si="30"/>
        <v>8855725</v>
      </c>
      <c r="F114" s="98">
        <f>8813255+70500-25700+3100-5430</f>
        <v>8855725</v>
      </c>
      <c r="G114" s="98">
        <v>6510800</v>
      </c>
      <c r="H114" s="98">
        <f>202167+70500+3100</f>
        <v>275767</v>
      </c>
      <c r="I114" s="98"/>
      <c r="J114" s="98">
        <f t="shared" si="32"/>
        <v>0</v>
      </c>
      <c r="K114" s="100"/>
      <c r="L114" s="100"/>
      <c r="M114" s="100"/>
      <c r="N114" s="100"/>
      <c r="O114" s="100"/>
      <c r="P114" s="98">
        <f t="shared" si="31"/>
        <v>8855725</v>
      </c>
      <c r="Q114" s="30"/>
      <c r="R114" s="3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  <c r="TF114" s="30"/>
      <c r="TG114" s="30"/>
    </row>
    <row r="115" spans="1:527" s="24" customFormat="1" ht="23.25" customHeight="1" x14ac:dyDescent="0.25">
      <c r="A115" s="83"/>
      <c r="B115" s="110"/>
      <c r="C115" s="83"/>
      <c r="D115" s="86" t="s">
        <v>395</v>
      </c>
      <c r="E115" s="100">
        <f t="shared" si="30"/>
        <v>134064</v>
      </c>
      <c r="F115" s="100">
        <v>134064</v>
      </c>
      <c r="G115" s="100"/>
      <c r="H115" s="100"/>
      <c r="I115" s="100"/>
      <c r="J115" s="100">
        <f t="shared" si="32"/>
        <v>0</v>
      </c>
      <c r="K115" s="100"/>
      <c r="L115" s="100"/>
      <c r="M115" s="100"/>
      <c r="N115" s="100"/>
      <c r="O115" s="100"/>
      <c r="P115" s="100">
        <f t="shared" si="31"/>
        <v>134064</v>
      </c>
      <c r="Q115" s="30"/>
      <c r="R115" s="3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  <c r="TF115" s="30"/>
      <c r="TG115" s="30"/>
    </row>
    <row r="116" spans="1:527" s="24" customFormat="1" ht="34.5" x14ac:dyDescent="0.25">
      <c r="A116" s="59" t="s">
        <v>495</v>
      </c>
      <c r="B116" s="92">
        <v>7321</v>
      </c>
      <c r="C116" s="59" t="s">
        <v>111</v>
      </c>
      <c r="D116" s="6" t="s">
        <v>609</v>
      </c>
      <c r="E116" s="98">
        <f t="shared" si="30"/>
        <v>0</v>
      </c>
      <c r="F116" s="98"/>
      <c r="G116" s="98"/>
      <c r="H116" s="98"/>
      <c r="I116" s="98"/>
      <c r="J116" s="98">
        <f t="shared" si="32"/>
        <v>24543487.5</v>
      </c>
      <c r="K116" s="98">
        <f>24799566-17200+12502+204100+323280+207900+392634+299500-700000-276038.5-36286-588880-77590</f>
        <v>24543487.5</v>
      </c>
      <c r="L116" s="98"/>
      <c r="M116" s="98"/>
      <c r="N116" s="98"/>
      <c r="O116" s="98">
        <f>24799566-17200+12502+204100+323280+207900+392634+299500-700000-276038.5-36286-588880-77590</f>
        <v>24543487.5</v>
      </c>
      <c r="P116" s="98">
        <f t="shared" si="31"/>
        <v>24543487.5</v>
      </c>
      <c r="Q116" s="30"/>
      <c r="R116" s="3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  <c r="TF116" s="30"/>
      <c r="TG116" s="30"/>
    </row>
    <row r="117" spans="1:527" s="24" customFormat="1" ht="15.75" x14ac:dyDescent="0.25">
      <c r="A117" s="59"/>
      <c r="B117" s="92"/>
      <c r="C117" s="59"/>
      <c r="D117" s="86" t="s">
        <v>395</v>
      </c>
      <c r="E117" s="100">
        <f t="shared" si="30"/>
        <v>0</v>
      </c>
      <c r="F117" s="98"/>
      <c r="G117" s="98"/>
      <c r="H117" s="98"/>
      <c r="I117" s="98"/>
      <c r="J117" s="100">
        <f t="shared" si="32"/>
        <v>250000</v>
      </c>
      <c r="K117" s="100">
        <v>250000</v>
      </c>
      <c r="L117" s="98"/>
      <c r="M117" s="98"/>
      <c r="N117" s="98"/>
      <c r="O117" s="100">
        <v>250000</v>
      </c>
      <c r="P117" s="100">
        <f t="shared" si="31"/>
        <v>250000</v>
      </c>
      <c r="Q117" s="30"/>
      <c r="R117" s="3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  <c r="TF117" s="30"/>
      <c r="TG117" s="30"/>
    </row>
    <row r="118" spans="1:527" s="24" customFormat="1" ht="51" customHeight="1" x14ac:dyDescent="0.25">
      <c r="A118" s="59" t="s">
        <v>552</v>
      </c>
      <c r="B118" s="92">
        <v>7363</v>
      </c>
      <c r="C118" s="59" t="s">
        <v>82</v>
      </c>
      <c r="D118" s="6" t="s">
        <v>398</v>
      </c>
      <c r="E118" s="98">
        <f t="shared" si="30"/>
        <v>0</v>
      </c>
      <c r="F118" s="98"/>
      <c r="G118" s="98"/>
      <c r="H118" s="98"/>
      <c r="I118" s="98"/>
      <c r="J118" s="98">
        <f t="shared" si="32"/>
        <v>20939667</v>
      </c>
      <c r="K118" s="98">
        <f>11792250+6755557+25000+700000+197000+100000+320000+40000-3149560+588880+77590</f>
        <v>17446717</v>
      </c>
      <c r="L118" s="98"/>
      <c r="M118" s="98"/>
      <c r="N118" s="98"/>
      <c r="O118" s="98">
        <f>15285200+6755557+25000+700000+197000+100000+320000+40000-3149560+588880+77590</f>
        <v>20939667</v>
      </c>
      <c r="P118" s="98">
        <f t="shared" si="31"/>
        <v>20939667</v>
      </c>
      <c r="Q118" s="30"/>
      <c r="R118" s="3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  <c r="TF118" s="30"/>
      <c r="TG118" s="30"/>
    </row>
    <row r="119" spans="1:527" s="24" customFormat="1" ht="47.25" x14ac:dyDescent="0.25">
      <c r="A119" s="83"/>
      <c r="B119" s="110"/>
      <c r="C119" s="83"/>
      <c r="D119" s="80" t="s">
        <v>563</v>
      </c>
      <c r="E119" s="100">
        <f t="shared" si="30"/>
        <v>0</v>
      </c>
      <c r="F119" s="100"/>
      <c r="G119" s="100"/>
      <c r="H119" s="100"/>
      <c r="I119" s="100"/>
      <c r="J119" s="100">
        <f t="shared" si="32"/>
        <v>13762433</v>
      </c>
      <c r="K119" s="100">
        <f>6006486+6755557-2492560</f>
        <v>10269483</v>
      </c>
      <c r="L119" s="100"/>
      <c r="M119" s="100"/>
      <c r="N119" s="100"/>
      <c r="O119" s="100">
        <f>9499436+6755557-2492560</f>
        <v>13762433</v>
      </c>
      <c r="P119" s="100">
        <f t="shared" si="31"/>
        <v>13762433</v>
      </c>
      <c r="Q119" s="30"/>
      <c r="R119" s="3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  <c r="TF119" s="30"/>
      <c r="TG119" s="30"/>
    </row>
    <row r="120" spans="1:527" s="24" customFormat="1" ht="15.75" x14ac:dyDescent="0.25">
      <c r="A120" s="59" t="s">
        <v>496</v>
      </c>
      <c r="B120" s="92">
        <v>7640</v>
      </c>
      <c r="C120" s="59" t="s">
        <v>86</v>
      </c>
      <c r="D120" s="3" t="s">
        <v>422</v>
      </c>
      <c r="E120" s="98">
        <f t="shared" si="30"/>
        <v>665150</v>
      </c>
      <c r="F120" s="98">
        <f>691000-25850</f>
        <v>665150</v>
      </c>
      <c r="G120" s="98"/>
      <c r="H120" s="98"/>
      <c r="I120" s="98"/>
      <c r="J120" s="98">
        <f t="shared" si="32"/>
        <v>11580816</v>
      </c>
      <c r="K120" s="98">
        <f>11554696-53880+80000</f>
        <v>11580816</v>
      </c>
      <c r="L120" s="98"/>
      <c r="M120" s="98"/>
      <c r="N120" s="98"/>
      <c r="O120" s="98">
        <f>11554696-53880+80000</f>
        <v>11580816</v>
      </c>
      <c r="P120" s="98">
        <f t="shared" si="31"/>
        <v>12245966</v>
      </c>
      <c r="Q120" s="30"/>
      <c r="R120" s="3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  <c r="TF120" s="30"/>
      <c r="TG120" s="30"/>
    </row>
    <row r="121" spans="1:527" s="24" customFormat="1" ht="47.25" x14ac:dyDescent="0.25">
      <c r="A121" s="59" t="s">
        <v>499</v>
      </c>
      <c r="B121" s="92">
        <v>7700</v>
      </c>
      <c r="C121" s="59" t="s">
        <v>93</v>
      </c>
      <c r="D121" s="3" t="s">
        <v>362</v>
      </c>
      <c r="E121" s="98">
        <f t="shared" si="30"/>
        <v>0</v>
      </c>
      <c r="F121" s="98"/>
      <c r="G121" s="98"/>
      <c r="H121" s="98"/>
      <c r="I121" s="98"/>
      <c r="J121" s="98">
        <f t="shared" si="32"/>
        <v>630000</v>
      </c>
      <c r="K121" s="98"/>
      <c r="L121" s="98"/>
      <c r="M121" s="98"/>
      <c r="N121" s="98"/>
      <c r="O121" s="98">
        <v>630000</v>
      </c>
      <c r="P121" s="98">
        <f t="shared" si="31"/>
        <v>630000</v>
      </c>
      <c r="Q121" s="30"/>
      <c r="R121" s="3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  <c r="TF121" s="30"/>
      <c r="TG121" s="30"/>
    </row>
    <row r="122" spans="1:527" s="24" customFormat="1" ht="37.5" customHeight="1" x14ac:dyDescent="0.25">
      <c r="A122" s="59" t="s">
        <v>497</v>
      </c>
      <c r="B122" s="92">
        <v>8340</v>
      </c>
      <c r="C122" s="59" t="s">
        <v>92</v>
      </c>
      <c r="D122" s="3" t="s">
        <v>10</v>
      </c>
      <c r="E122" s="98">
        <f t="shared" si="30"/>
        <v>0</v>
      </c>
      <c r="F122" s="98"/>
      <c r="G122" s="98"/>
      <c r="H122" s="98"/>
      <c r="I122" s="98"/>
      <c r="J122" s="98">
        <f t="shared" si="32"/>
        <v>625000</v>
      </c>
      <c r="K122" s="98"/>
      <c r="L122" s="98">
        <v>575100</v>
      </c>
      <c r="M122" s="98"/>
      <c r="N122" s="98"/>
      <c r="O122" s="98">
        <v>49900</v>
      </c>
      <c r="P122" s="98">
        <f t="shared" si="31"/>
        <v>625000</v>
      </c>
      <c r="Q122" s="30"/>
      <c r="R122" s="3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  <c r="TF122" s="30"/>
      <c r="TG122" s="30"/>
    </row>
    <row r="123" spans="1:527" s="24" customFormat="1" ht="47.25" x14ac:dyDescent="0.25">
      <c r="A123" s="59" t="s">
        <v>536</v>
      </c>
      <c r="B123" s="92">
        <v>9320</v>
      </c>
      <c r="C123" s="59" t="s">
        <v>45</v>
      </c>
      <c r="D123" s="6" t="s">
        <v>610</v>
      </c>
      <c r="E123" s="98">
        <f t="shared" si="30"/>
        <v>693000</v>
      </c>
      <c r="F123" s="98">
        <v>693000</v>
      </c>
      <c r="G123" s="98"/>
      <c r="H123" s="98"/>
      <c r="I123" s="98"/>
      <c r="J123" s="98">
        <f t="shared" si="32"/>
        <v>3307000</v>
      </c>
      <c r="K123" s="98">
        <v>3307000</v>
      </c>
      <c r="L123" s="98"/>
      <c r="M123" s="98"/>
      <c r="N123" s="98"/>
      <c r="O123" s="98">
        <v>3307000</v>
      </c>
      <c r="P123" s="98">
        <f t="shared" si="31"/>
        <v>4000000</v>
      </c>
      <c r="Q123" s="30"/>
      <c r="R123" s="3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  <c r="TF123" s="30"/>
      <c r="TG123" s="30"/>
    </row>
    <row r="124" spans="1:527" s="24" customFormat="1" ht="31.5" x14ac:dyDescent="0.25">
      <c r="A124" s="83"/>
      <c r="B124" s="110"/>
      <c r="C124" s="83"/>
      <c r="D124" s="86" t="s">
        <v>531</v>
      </c>
      <c r="E124" s="100">
        <f t="shared" si="30"/>
        <v>693000</v>
      </c>
      <c r="F124" s="100">
        <v>693000</v>
      </c>
      <c r="G124" s="100"/>
      <c r="H124" s="100"/>
      <c r="I124" s="100"/>
      <c r="J124" s="100">
        <f t="shared" si="32"/>
        <v>3307000</v>
      </c>
      <c r="K124" s="100">
        <v>3307000</v>
      </c>
      <c r="L124" s="100"/>
      <c r="M124" s="100"/>
      <c r="N124" s="100"/>
      <c r="O124" s="100">
        <v>3307000</v>
      </c>
      <c r="P124" s="100">
        <f t="shared" si="31"/>
        <v>4000000</v>
      </c>
      <c r="Q124" s="30"/>
      <c r="R124" s="3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</row>
    <row r="125" spans="1:527" s="24" customFormat="1" ht="22.5" customHeight="1" x14ac:dyDescent="0.25">
      <c r="A125" s="59" t="s">
        <v>498</v>
      </c>
      <c r="B125" s="92">
        <v>9770</v>
      </c>
      <c r="C125" s="59" t="s">
        <v>45</v>
      </c>
      <c r="D125" s="6" t="s">
        <v>356</v>
      </c>
      <c r="E125" s="98">
        <f t="shared" ref="E125" si="40">F125+I125</f>
        <v>72650000</v>
      </c>
      <c r="F125" s="98">
        <f>67650000+5000000</f>
        <v>72650000</v>
      </c>
      <c r="G125" s="98"/>
      <c r="H125" s="98"/>
      <c r="I125" s="98"/>
      <c r="J125" s="98">
        <f t="shared" ref="J125" si="41">L125+O125</f>
        <v>1256508</v>
      </c>
      <c r="K125" s="98">
        <v>1256508</v>
      </c>
      <c r="L125" s="98"/>
      <c r="M125" s="98"/>
      <c r="N125" s="98"/>
      <c r="O125" s="98">
        <v>1256508</v>
      </c>
      <c r="P125" s="98">
        <f t="shared" ref="P125" si="42">E125+J125</f>
        <v>73906508</v>
      </c>
      <c r="Q125" s="30"/>
      <c r="R125" s="3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  <c r="TF125" s="30"/>
      <c r="TG125" s="30"/>
    </row>
    <row r="126" spans="1:527" s="24" customFormat="1" ht="48.75" customHeight="1" x14ac:dyDescent="0.25">
      <c r="A126" s="59" t="s">
        <v>526</v>
      </c>
      <c r="B126" s="92">
        <v>9800</v>
      </c>
      <c r="C126" s="59" t="s">
        <v>45</v>
      </c>
      <c r="D126" s="6" t="s">
        <v>367</v>
      </c>
      <c r="E126" s="98">
        <f t="shared" si="30"/>
        <v>58930</v>
      </c>
      <c r="F126" s="98">
        <f>49600+9330</f>
        <v>58930</v>
      </c>
      <c r="G126" s="98"/>
      <c r="H126" s="98"/>
      <c r="I126" s="98"/>
      <c r="J126" s="98">
        <f t="shared" si="32"/>
        <v>0</v>
      </c>
      <c r="K126" s="98"/>
      <c r="L126" s="98"/>
      <c r="M126" s="98"/>
      <c r="N126" s="98"/>
      <c r="O126" s="98"/>
      <c r="P126" s="98">
        <f t="shared" si="31"/>
        <v>58930</v>
      </c>
      <c r="Q126" s="30"/>
      <c r="R126" s="3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</row>
    <row r="127" spans="1:527" s="27" customFormat="1" ht="33.75" customHeight="1" x14ac:dyDescent="0.25">
      <c r="A127" s="109" t="s">
        <v>169</v>
      </c>
      <c r="B127" s="111"/>
      <c r="C127" s="111"/>
      <c r="D127" s="106" t="s">
        <v>462</v>
      </c>
      <c r="E127" s="94">
        <f>E128</f>
        <v>100187977.40000001</v>
      </c>
      <c r="F127" s="94">
        <f t="shared" ref="F127:P127" si="43">F128</f>
        <v>100187977.40000001</v>
      </c>
      <c r="G127" s="94">
        <f t="shared" si="43"/>
        <v>4343800</v>
      </c>
      <c r="H127" s="94">
        <f t="shared" si="43"/>
        <v>119268</v>
      </c>
      <c r="I127" s="94">
        <f t="shared" si="43"/>
        <v>0</v>
      </c>
      <c r="J127" s="94">
        <f t="shared" si="43"/>
        <v>156063805.37</v>
      </c>
      <c r="K127" s="94">
        <f t="shared" si="43"/>
        <v>156063805.37</v>
      </c>
      <c r="L127" s="94">
        <f t="shared" si="43"/>
        <v>0</v>
      </c>
      <c r="M127" s="94">
        <f t="shared" si="43"/>
        <v>0</v>
      </c>
      <c r="N127" s="94">
        <f t="shared" si="43"/>
        <v>0</v>
      </c>
      <c r="O127" s="94">
        <f t="shared" si="43"/>
        <v>156063805.37</v>
      </c>
      <c r="P127" s="94">
        <f t="shared" si="43"/>
        <v>256251782.77000001</v>
      </c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  <c r="IU127" s="32"/>
      <c r="IV127" s="32"/>
      <c r="IW127" s="32"/>
      <c r="IX127" s="32"/>
      <c r="IY127" s="32"/>
      <c r="IZ127" s="32"/>
      <c r="JA127" s="32"/>
      <c r="JB127" s="32"/>
      <c r="JC127" s="32"/>
      <c r="JD127" s="32"/>
      <c r="JE127" s="32"/>
      <c r="JF127" s="32"/>
      <c r="JG127" s="32"/>
      <c r="JH127" s="32"/>
      <c r="JI127" s="32"/>
      <c r="JJ127" s="32"/>
      <c r="JK127" s="32"/>
      <c r="JL127" s="32"/>
      <c r="JM127" s="32"/>
      <c r="JN127" s="32"/>
      <c r="JO127" s="32"/>
      <c r="JP127" s="32"/>
      <c r="JQ127" s="32"/>
      <c r="JR127" s="32"/>
      <c r="JS127" s="32"/>
      <c r="JT127" s="32"/>
      <c r="JU127" s="32"/>
      <c r="JV127" s="32"/>
      <c r="JW127" s="32"/>
      <c r="JX127" s="32"/>
      <c r="JY127" s="32"/>
      <c r="JZ127" s="32"/>
      <c r="KA127" s="32"/>
      <c r="KB127" s="32"/>
      <c r="KC127" s="32"/>
      <c r="KD127" s="32"/>
      <c r="KE127" s="32"/>
      <c r="KF127" s="32"/>
      <c r="KG127" s="32"/>
      <c r="KH127" s="32"/>
      <c r="KI127" s="32"/>
      <c r="KJ127" s="32"/>
      <c r="KK127" s="32"/>
      <c r="KL127" s="32"/>
      <c r="KM127" s="32"/>
      <c r="KN127" s="32"/>
      <c r="KO127" s="32"/>
      <c r="KP127" s="32"/>
      <c r="KQ127" s="32"/>
      <c r="KR127" s="32"/>
      <c r="KS127" s="32"/>
      <c r="KT127" s="32"/>
      <c r="KU127" s="32"/>
      <c r="KV127" s="32"/>
      <c r="KW127" s="32"/>
      <c r="KX127" s="32"/>
      <c r="KY127" s="32"/>
      <c r="KZ127" s="32"/>
      <c r="LA127" s="32"/>
      <c r="LB127" s="32"/>
      <c r="LC127" s="32"/>
      <c r="LD127" s="32"/>
      <c r="LE127" s="32"/>
      <c r="LF127" s="32"/>
      <c r="LG127" s="32"/>
      <c r="LH127" s="32"/>
      <c r="LI127" s="32"/>
      <c r="LJ127" s="32"/>
      <c r="LK127" s="32"/>
      <c r="LL127" s="32"/>
      <c r="LM127" s="32"/>
      <c r="LN127" s="32"/>
      <c r="LO127" s="32"/>
      <c r="LP127" s="32"/>
      <c r="LQ127" s="32"/>
      <c r="LR127" s="32"/>
      <c r="LS127" s="32"/>
      <c r="LT127" s="32"/>
      <c r="LU127" s="32"/>
      <c r="LV127" s="32"/>
      <c r="LW127" s="32"/>
      <c r="LX127" s="32"/>
      <c r="LY127" s="32"/>
      <c r="LZ127" s="32"/>
      <c r="MA127" s="32"/>
      <c r="MB127" s="32"/>
      <c r="MC127" s="32"/>
      <c r="MD127" s="32"/>
      <c r="ME127" s="32"/>
      <c r="MF127" s="32"/>
      <c r="MG127" s="32"/>
      <c r="MH127" s="32"/>
      <c r="MI127" s="32"/>
      <c r="MJ127" s="32"/>
      <c r="MK127" s="32"/>
      <c r="ML127" s="32"/>
      <c r="MM127" s="32"/>
      <c r="MN127" s="32"/>
      <c r="MO127" s="32"/>
      <c r="MP127" s="32"/>
      <c r="MQ127" s="32"/>
      <c r="MR127" s="32"/>
      <c r="MS127" s="32"/>
      <c r="MT127" s="32"/>
      <c r="MU127" s="32"/>
      <c r="MV127" s="32"/>
      <c r="MW127" s="32"/>
      <c r="MX127" s="32"/>
      <c r="MY127" s="32"/>
      <c r="MZ127" s="32"/>
      <c r="NA127" s="32"/>
      <c r="NB127" s="32"/>
      <c r="NC127" s="32"/>
      <c r="ND127" s="32"/>
      <c r="NE127" s="32"/>
      <c r="NF127" s="32"/>
      <c r="NG127" s="32"/>
      <c r="NH127" s="32"/>
      <c r="NI127" s="32"/>
      <c r="NJ127" s="32"/>
      <c r="NK127" s="32"/>
      <c r="NL127" s="32"/>
      <c r="NM127" s="32"/>
      <c r="NN127" s="32"/>
      <c r="NO127" s="32"/>
      <c r="NP127" s="32"/>
      <c r="NQ127" s="32"/>
      <c r="NR127" s="32"/>
      <c r="NS127" s="32"/>
      <c r="NT127" s="32"/>
      <c r="NU127" s="32"/>
      <c r="NV127" s="32"/>
      <c r="NW127" s="32"/>
      <c r="NX127" s="32"/>
      <c r="NY127" s="32"/>
      <c r="NZ127" s="32"/>
      <c r="OA127" s="32"/>
      <c r="OB127" s="32"/>
      <c r="OC127" s="32"/>
      <c r="OD127" s="32"/>
      <c r="OE127" s="32"/>
      <c r="OF127" s="32"/>
      <c r="OG127" s="32"/>
      <c r="OH127" s="32"/>
      <c r="OI127" s="32"/>
      <c r="OJ127" s="32"/>
      <c r="OK127" s="32"/>
      <c r="OL127" s="32"/>
      <c r="OM127" s="32"/>
      <c r="ON127" s="32"/>
      <c r="OO127" s="32"/>
      <c r="OP127" s="32"/>
      <c r="OQ127" s="32"/>
      <c r="OR127" s="32"/>
      <c r="OS127" s="32"/>
      <c r="OT127" s="32"/>
      <c r="OU127" s="32"/>
      <c r="OV127" s="32"/>
      <c r="OW127" s="32"/>
      <c r="OX127" s="32"/>
      <c r="OY127" s="32"/>
      <c r="OZ127" s="32"/>
      <c r="PA127" s="32"/>
      <c r="PB127" s="32"/>
      <c r="PC127" s="32"/>
      <c r="PD127" s="32"/>
      <c r="PE127" s="32"/>
      <c r="PF127" s="32"/>
      <c r="PG127" s="32"/>
      <c r="PH127" s="32"/>
      <c r="PI127" s="32"/>
      <c r="PJ127" s="32"/>
      <c r="PK127" s="32"/>
      <c r="PL127" s="32"/>
      <c r="PM127" s="32"/>
      <c r="PN127" s="32"/>
      <c r="PO127" s="32"/>
      <c r="PP127" s="32"/>
      <c r="PQ127" s="32"/>
      <c r="PR127" s="32"/>
      <c r="PS127" s="32"/>
      <c r="PT127" s="32"/>
      <c r="PU127" s="32"/>
      <c r="PV127" s="32"/>
      <c r="PW127" s="32"/>
      <c r="PX127" s="32"/>
      <c r="PY127" s="32"/>
      <c r="PZ127" s="32"/>
      <c r="QA127" s="32"/>
      <c r="QB127" s="32"/>
      <c r="QC127" s="32"/>
      <c r="QD127" s="32"/>
      <c r="QE127" s="32"/>
      <c r="QF127" s="32"/>
      <c r="QG127" s="32"/>
      <c r="QH127" s="32"/>
      <c r="QI127" s="32"/>
      <c r="QJ127" s="32"/>
      <c r="QK127" s="32"/>
      <c r="QL127" s="32"/>
      <c r="QM127" s="32"/>
      <c r="QN127" s="32"/>
      <c r="QO127" s="32"/>
      <c r="QP127" s="32"/>
      <c r="QQ127" s="32"/>
      <c r="QR127" s="32"/>
      <c r="QS127" s="32"/>
      <c r="QT127" s="32"/>
      <c r="QU127" s="32"/>
      <c r="QV127" s="32"/>
      <c r="QW127" s="32"/>
      <c r="QX127" s="32"/>
      <c r="QY127" s="32"/>
      <c r="QZ127" s="32"/>
      <c r="RA127" s="32"/>
      <c r="RB127" s="32"/>
      <c r="RC127" s="32"/>
      <c r="RD127" s="32"/>
      <c r="RE127" s="32"/>
      <c r="RF127" s="32"/>
      <c r="RG127" s="32"/>
      <c r="RH127" s="32"/>
      <c r="RI127" s="32"/>
      <c r="RJ127" s="32"/>
      <c r="RK127" s="32"/>
      <c r="RL127" s="32"/>
      <c r="RM127" s="32"/>
      <c r="RN127" s="32"/>
      <c r="RO127" s="32"/>
      <c r="RP127" s="32"/>
      <c r="RQ127" s="32"/>
      <c r="RR127" s="32"/>
      <c r="RS127" s="32"/>
      <c r="RT127" s="32"/>
      <c r="RU127" s="32"/>
      <c r="RV127" s="32"/>
      <c r="RW127" s="32"/>
      <c r="RX127" s="32"/>
      <c r="RY127" s="32"/>
      <c r="RZ127" s="32"/>
      <c r="SA127" s="32"/>
      <c r="SB127" s="32"/>
      <c r="SC127" s="32"/>
      <c r="SD127" s="32"/>
      <c r="SE127" s="32"/>
      <c r="SF127" s="32"/>
      <c r="SG127" s="32"/>
      <c r="SH127" s="32"/>
      <c r="SI127" s="32"/>
      <c r="SJ127" s="32"/>
      <c r="SK127" s="32"/>
      <c r="SL127" s="32"/>
      <c r="SM127" s="32"/>
      <c r="SN127" s="32"/>
      <c r="SO127" s="32"/>
      <c r="SP127" s="32"/>
      <c r="SQ127" s="32"/>
      <c r="SR127" s="32"/>
      <c r="SS127" s="32"/>
      <c r="ST127" s="32"/>
      <c r="SU127" s="32"/>
      <c r="SV127" s="32"/>
      <c r="SW127" s="32"/>
      <c r="SX127" s="32"/>
      <c r="SY127" s="32"/>
      <c r="SZ127" s="32"/>
      <c r="TA127" s="32"/>
      <c r="TB127" s="32"/>
      <c r="TC127" s="32"/>
      <c r="TD127" s="32"/>
      <c r="TE127" s="32"/>
      <c r="TF127" s="32"/>
      <c r="TG127" s="32"/>
    </row>
    <row r="128" spans="1:527" s="34" customFormat="1" ht="33" customHeight="1" x14ac:dyDescent="0.25">
      <c r="A128" s="95" t="s">
        <v>170</v>
      </c>
      <c r="B128" s="108"/>
      <c r="C128" s="108"/>
      <c r="D128" s="76" t="s">
        <v>468</v>
      </c>
      <c r="E128" s="97">
        <f>E137+E138+E143+E145+E147+E149+E152+E153+E154+E156+E157+E159+E161+E162+E142</f>
        <v>100187977.40000001</v>
      </c>
      <c r="F128" s="97">
        <f t="shared" ref="F128:P128" si="44">F137+F138+F143+F145+F147+F149+F152+F153+F154+F156+F157+F159+F161+F162+F142</f>
        <v>100187977.40000001</v>
      </c>
      <c r="G128" s="97">
        <f t="shared" si="44"/>
        <v>4343800</v>
      </c>
      <c r="H128" s="97">
        <f t="shared" si="44"/>
        <v>119268</v>
      </c>
      <c r="I128" s="97">
        <f t="shared" si="44"/>
        <v>0</v>
      </c>
      <c r="J128" s="97">
        <f t="shared" si="44"/>
        <v>156063805.37</v>
      </c>
      <c r="K128" s="97">
        <f>K137+K138+K143+K145+K147+K149+K152+K153+K154+K156+K157+K159+K161+K162+K142</f>
        <v>156063805.37</v>
      </c>
      <c r="L128" s="97">
        <f t="shared" si="44"/>
        <v>0</v>
      </c>
      <c r="M128" s="97">
        <f t="shared" si="44"/>
        <v>0</v>
      </c>
      <c r="N128" s="97">
        <f t="shared" si="44"/>
        <v>0</v>
      </c>
      <c r="O128" s="97">
        <f t="shared" si="44"/>
        <v>156063805.37</v>
      </c>
      <c r="P128" s="97">
        <f t="shared" si="44"/>
        <v>256251782.77000001</v>
      </c>
      <c r="Q128" s="33"/>
      <c r="R128" s="32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</row>
    <row r="129" spans="1:527" s="34" customFormat="1" ht="31.5" hidden="1" customHeight="1" x14ac:dyDescent="0.25">
      <c r="A129" s="95"/>
      <c r="B129" s="108"/>
      <c r="C129" s="108"/>
      <c r="D129" s="76" t="s">
        <v>390</v>
      </c>
      <c r="E129" s="97">
        <f>E139+E144+E146</f>
        <v>0</v>
      </c>
      <c r="F129" s="97">
        <f t="shared" ref="F129:P129" si="45">F139+F144+F146</f>
        <v>0</v>
      </c>
      <c r="G129" s="97">
        <f t="shared" si="45"/>
        <v>0</v>
      </c>
      <c r="H129" s="97">
        <f t="shared" si="45"/>
        <v>0</v>
      </c>
      <c r="I129" s="97">
        <f t="shared" si="45"/>
        <v>0</v>
      </c>
      <c r="J129" s="97">
        <f t="shared" si="45"/>
        <v>0</v>
      </c>
      <c r="K129" s="97">
        <f t="shared" si="45"/>
        <v>0</v>
      </c>
      <c r="L129" s="97">
        <f t="shared" si="45"/>
        <v>0</v>
      </c>
      <c r="M129" s="97">
        <f t="shared" si="45"/>
        <v>0</v>
      </c>
      <c r="N129" s="97">
        <f t="shared" si="45"/>
        <v>0</v>
      </c>
      <c r="O129" s="97">
        <f t="shared" si="45"/>
        <v>0</v>
      </c>
      <c r="P129" s="97">
        <f t="shared" si="45"/>
        <v>0</v>
      </c>
      <c r="Q129" s="33"/>
      <c r="R129" s="32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  <c r="SQ129" s="33"/>
      <c r="SR129" s="33"/>
      <c r="SS129" s="33"/>
      <c r="ST129" s="33"/>
      <c r="SU129" s="33"/>
      <c r="SV129" s="33"/>
      <c r="SW129" s="33"/>
      <c r="SX129" s="33"/>
      <c r="SY129" s="33"/>
      <c r="SZ129" s="33"/>
      <c r="TA129" s="33"/>
      <c r="TB129" s="33"/>
      <c r="TC129" s="33"/>
      <c r="TD129" s="33"/>
      <c r="TE129" s="33"/>
      <c r="TF129" s="33"/>
      <c r="TG129" s="33"/>
    </row>
    <row r="130" spans="1:527" s="34" customFormat="1" ht="63" hidden="1" customHeight="1" x14ac:dyDescent="0.25">
      <c r="A130" s="95"/>
      <c r="B130" s="108"/>
      <c r="C130" s="108"/>
      <c r="D130" s="76" t="s">
        <v>388</v>
      </c>
      <c r="E130" s="97">
        <f>E158</f>
        <v>0</v>
      </c>
      <c r="F130" s="97">
        <f>F158</f>
        <v>0</v>
      </c>
      <c r="G130" s="97">
        <f t="shared" ref="G130:I130" si="46">G158</f>
        <v>0</v>
      </c>
      <c r="H130" s="97">
        <f t="shared" si="46"/>
        <v>0</v>
      </c>
      <c r="I130" s="97">
        <f t="shared" si="46"/>
        <v>0</v>
      </c>
      <c r="J130" s="97">
        <f>J158</f>
        <v>4580860</v>
      </c>
      <c r="K130" s="97">
        <f t="shared" ref="K130:P130" si="47">K158</f>
        <v>4580860</v>
      </c>
      <c r="L130" s="97">
        <f t="shared" si="47"/>
        <v>0</v>
      </c>
      <c r="M130" s="97">
        <f t="shared" si="47"/>
        <v>0</v>
      </c>
      <c r="N130" s="97">
        <f t="shared" si="47"/>
        <v>0</v>
      </c>
      <c r="O130" s="97">
        <f t="shared" si="47"/>
        <v>4580860</v>
      </c>
      <c r="P130" s="97">
        <f t="shared" si="47"/>
        <v>4580860</v>
      </c>
      <c r="Q130" s="33"/>
      <c r="R130" s="32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  <c r="TG130" s="33"/>
    </row>
    <row r="131" spans="1:527" s="34" customFormat="1" ht="47.25" hidden="1" customHeight="1" x14ac:dyDescent="0.25">
      <c r="A131" s="95"/>
      <c r="B131" s="108"/>
      <c r="C131" s="108"/>
      <c r="D131" s="76" t="s">
        <v>391</v>
      </c>
      <c r="E131" s="97">
        <f>E140+E150</f>
        <v>0</v>
      </c>
      <c r="F131" s="97">
        <f t="shared" ref="F131:P131" si="48">F140+F150</f>
        <v>0</v>
      </c>
      <c r="G131" s="97">
        <f t="shared" si="48"/>
        <v>0</v>
      </c>
      <c r="H131" s="97">
        <f t="shared" si="48"/>
        <v>0</v>
      </c>
      <c r="I131" s="97">
        <f t="shared" si="48"/>
        <v>0</v>
      </c>
      <c r="J131" s="97">
        <f t="shared" si="48"/>
        <v>0</v>
      </c>
      <c r="K131" s="97">
        <f t="shared" si="48"/>
        <v>0</v>
      </c>
      <c r="L131" s="97">
        <f t="shared" si="48"/>
        <v>0</v>
      </c>
      <c r="M131" s="97">
        <f t="shared" si="48"/>
        <v>0</v>
      </c>
      <c r="N131" s="97">
        <f t="shared" si="48"/>
        <v>0</v>
      </c>
      <c r="O131" s="97">
        <f t="shared" si="48"/>
        <v>0</v>
      </c>
      <c r="P131" s="97">
        <f t="shared" si="48"/>
        <v>0</v>
      </c>
      <c r="Q131" s="33"/>
      <c r="R131" s="32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</row>
    <row r="132" spans="1:527" s="34" customFormat="1" ht="63" x14ac:dyDescent="0.25">
      <c r="A132" s="95"/>
      <c r="B132" s="108"/>
      <c r="C132" s="108"/>
      <c r="D132" s="76" t="s">
        <v>392</v>
      </c>
      <c r="E132" s="97">
        <f>E148+E151</f>
        <v>11403700</v>
      </c>
      <c r="F132" s="97">
        <f>F148+F151</f>
        <v>11403700</v>
      </c>
      <c r="G132" s="97">
        <f t="shared" ref="G132:P132" si="49">G148+G151</f>
        <v>0</v>
      </c>
      <c r="H132" s="97">
        <f t="shared" si="49"/>
        <v>0</v>
      </c>
      <c r="I132" s="97">
        <f t="shared" si="49"/>
        <v>0</v>
      </c>
      <c r="J132" s="97">
        <f t="shared" si="49"/>
        <v>0</v>
      </c>
      <c r="K132" s="97">
        <f>K148+K151</f>
        <v>0</v>
      </c>
      <c r="L132" s="97">
        <f t="shared" si="49"/>
        <v>0</v>
      </c>
      <c r="M132" s="97">
        <f t="shared" si="49"/>
        <v>0</v>
      </c>
      <c r="N132" s="97">
        <f t="shared" si="49"/>
        <v>0</v>
      </c>
      <c r="O132" s="97">
        <f t="shared" si="49"/>
        <v>0</v>
      </c>
      <c r="P132" s="97">
        <f t="shared" si="49"/>
        <v>11403700</v>
      </c>
      <c r="Q132" s="33"/>
      <c r="R132" s="32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  <c r="TF132" s="33"/>
      <c r="TG132" s="33"/>
    </row>
    <row r="133" spans="1:527" s="34" customFormat="1" ht="49.5" customHeight="1" x14ac:dyDescent="0.25">
      <c r="A133" s="95"/>
      <c r="B133" s="108"/>
      <c r="C133" s="108"/>
      <c r="D133" s="76" t="s">
        <v>388</v>
      </c>
      <c r="E133" s="97">
        <f>E158</f>
        <v>0</v>
      </c>
      <c r="F133" s="97">
        <f t="shared" ref="F133:P133" si="50">F158</f>
        <v>0</v>
      </c>
      <c r="G133" s="97">
        <f t="shared" si="50"/>
        <v>0</v>
      </c>
      <c r="H133" s="97">
        <f t="shared" si="50"/>
        <v>0</v>
      </c>
      <c r="I133" s="97">
        <f t="shared" si="50"/>
        <v>0</v>
      </c>
      <c r="J133" s="97">
        <f t="shared" si="50"/>
        <v>4580860</v>
      </c>
      <c r="K133" s="97">
        <f t="shared" si="50"/>
        <v>4580860</v>
      </c>
      <c r="L133" s="97">
        <f t="shared" si="50"/>
        <v>0</v>
      </c>
      <c r="M133" s="97">
        <f t="shared" si="50"/>
        <v>0</v>
      </c>
      <c r="N133" s="97">
        <f t="shared" si="50"/>
        <v>0</v>
      </c>
      <c r="O133" s="97">
        <f t="shared" si="50"/>
        <v>4580860</v>
      </c>
      <c r="P133" s="97">
        <f t="shared" si="50"/>
        <v>4580860</v>
      </c>
      <c r="Q133" s="33"/>
      <c r="R133" s="32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  <c r="TF133" s="33"/>
      <c r="TG133" s="33"/>
    </row>
    <row r="134" spans="1:527" s="34" customFormat="1" ht="78.75" x14ac:dyDescent="0.25">
      <c r="A134" s="95"/>
      <c r="B134" s="108"/>
      <c r="C134" s="108"/>
      <c r="D134" s="134" t="s">
        <v>620</v>
      </c>
      <c r="E134" s="97">
        <f>E155</f>
        <v>0</v>
      </c>
      <c r="F134" s="97">
        <f t="shared" ref="F134:P134" si="51">F155</f>
        <v>0</v>
      </c>
      <c r="G134" s="97">
        <f t="shared" si="51"/>
        <v>0</v>
      </c>
      <c r="H134" s="97">
        <f t="shared" si="51"/>
        <v>0</v>
      </c>
      <c r="I134" s="97">
        <f t="shared" si="51"/>
        <v>0</v>
      </c>
      <c r="J134" s="97">
        <f t="shared" si="51"/>
        <v>1530600</v>
      </c>
      <c r="K134" s="97">
        <f t="shared" si="51"/>
        <v>1530600</v>
      </c>
      <c r="L134" s="97">
        <f t="shared" si="51"/>
        <v>0</v>
      </c>
      <c r="M134" s="97">
        <f t="shared" si="51"/>
        <v>0</v>
      </c>
      <c r="N134" s="97">
        <f t="shared" si="51"/>
        <v>0</v>
      </c>
      <c r="O134" s="97">
        <f t="shared" si="51"/>
        <v>1530600</v>
      </c>
      <c r="P134" s="97">
        <f t="shared" si="51"/>
        <v>1530600</v>
      </c>
      <c r="Q134" s="33"/>
      <c r="R134" s="32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  <c r="SQ134" s="33"/>
      <c r="SR134" s="33"/>
      <c r="SS134" s="33"/>
      <c r="ST134" s="33"/>
      <c r="SU134" s="33"/>
      <c r="SV134" s="33"/>
      <c r="SW134" s="33"/>
      <c r="SX134" s="33"/>
      <c r="SY134" s="33"/>
      <c r="SZ134" s="33"/>
      <c r="TA134" s="33"/>
      <c r="TB134" s="33"/>
      <c r="TC134" s="33"/>
      <c r="TD134" s="33"/>
      <c r="TE134" s="33"/>
      <c r="TF134" s="33"/>
      <c r="TG134" s="33"/>
    </row>
    <row r="135" spans="1:527" s="34" customFormat="1" ht="15.75" x14ac:dyDescent="0.25">
      <c r="A135" s="95"/>
      <c r="B135" s="108"/>
      <c r="C135" s="108"/>
      <c r="D135" s="76" t="s">
        <v>393</v>
      </c>
      <c r="E135" s="97">
        <f>E141</f>
        <v>124646</v>
      </c>
      <c r="F135" s="97">
        <f>F141</f>
        <v>124646</v>
      </c>
      <c r="G135" s="97">
        <f t="shared" ref="G135:O135" si="52">G141</f>
        <v>0</v>
      </c>
      <c r="H135" s="97">
        <f t="shared" si="52"/>
        <v>0</v>
      </c>
      <c r="I135" s="97">
        <f t="shared" si="52"/>
        <v>0</v>
      </c>
      <c r="J135" s="97">
        <f t="shared" si="52"/>
        <v>5750000</v>
      </c>
      <c r="K135" s="97">
        <f t="shared" si="52"/>
        <v>5750000</v>
      </c>
      <c r="L135" s="97">
        <f t="shared" si="52"/>
        <v>0</v>
      </c>
      <c r="M135" s="97">
        <f t="shared" si="52"/>
        <v>0</v>
      </c>
      <c r="N135" s="97">
        <f t="shared" si="52"/>
        <v>0</v>
      </c>
      <c r="O135" s="97">
        <f t="shared" si="52"/>
        <v>5750000</v>
      </c>
      <c r="P135" s="97">
        <f>P141</f>
        <v>5874646</v>
      </c>
      <c r="Q135" s="33"/>
      <c r="R135" s="32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  <c r="TF135" s="33"/>
      <c r="TG135" s="33"/>
    </row>
    <row r="136" spans="1:527" s="34" customFormat="1" ht="15.75" x14ac:dyDescent="0.25">
      <c r="A136" s="95"/>
      <c r="B136" s="108"/>
      <c r="C136" s="108"/>
      <c r="D136" s="82" t="s">
        <v>419</v>
      </c>
      <c r="E136" s="97">
        <f>E160</f>
        <v>0</v>
      </c>
      <c r="F136" s="97">
        <f t="shared" ref="F136:P136" si="53">F160</f>
        <v>0</v>
      </c>
      <c r="G136" s="97">
        <f t="shared" si="53"/>
        <v>0</v>
      </c>
      <c r="H136" s="97">
        <f t="shared" si="53"/>
        <v>0</v>
      </c>
      <c r="I136" s="97">
        <f t="shared" si="53"/>
        <v>0</v>
      </c>
      <c r="J136" s="97">
        <f t="shared" si="53"/>
        <v>4662070.12</v>
      </c>
      <c r="K136" s="97">
        <f t="shared" si="53"/>
        <v>4662070.12</v>
      </c>
      <c r="L136" s="97">
        <f t="shared" si="53"/>
        <v>0</v>
      </c>
      <c r="M136" s="97">
        <f t="shared" si="53"/>
        <v>0</v>
      </c>
      <c r="N136" s="97">
        <f t="shared" si="53"/>
        <v>0</v>
      </c>
      <c r="O136" s="97">
        <f t="shared" si="53"/>
        <v>4662070.12</v>
      </c>
      <c r="P136" s="97">
        <f t="shared" si="53"/>
        <v>4662070.12</v>
      </c>
      <c r="Q136" s="33"/>
      <c r="R136" s="32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  <c r="SQ136" s="33"/>
      <c r="SR136" s="33"/>
      <c r="SS136" s="33"/>
      <c r="ST136" s="33"/>
      <c r="SU136" s="33"/>
      <c r="SV136" s="33"/>
      <c r="SW136" s="33"/>
      <c r="SX136" s="33"/>
      <c r="SY136" s="33"/>
      <c r="SZ136" s="33"/>
      <c r="TA136" s="33"/>
      <c r="TB136" s="33"/>
      <c r="TC136" s="33"/>
      <c r="TD136" s="33"/>
      <c r="TE136" s="33"/>
      <c r="TF136" s="33"/>
      <c r="TG136" s="33"/>
    </row>
    <row r="137" spans="1:527" s="22" customFormat="1" ht="48" customHeight="1" x14ac:dyDescent="0.25">
      <c r="A137" s="59" t="s">
        <v>171</v>
      </c>
      <c r="B137" s="92" t="str">
        <f>'дод 7'!A19</f>
        <v>0160</v>
      </c>
      <c r="C137" s="92" t="str">
        <f>'дод 7'!B19</f>
        <v>0111</v>
      </c>
      <c r="D137" s="36" t="s">
        <v>493</v>
      </c>
      <c r="E137" s="98">
        <f t="shared" ref="E137:E162" si="54">F137+I137</f>
        <v>2564384</v>
      </c>
      <c r="F137" s="98">
        <v>2564384</v>
      </c>
      <c r="G137" s="98">
        <v>1956200</v>
      </c>
      <c r="H137" s="98">
        <f>35584+8500</f>
        <v>44084</v>
      </c>
      <c r="I137" s="98"/>
      <c r="J137" s="98">
        <f>L137+O137</f>
        <v>600000</v>
      </c>
      <c r="K137" s="98">
        <v>600000</v>
      </c>
      <c r="L137" s="98"/>
      <c r="M137" s="98"/>
      <c r="N137" s="98"/>
      <c r="O137" s="98">
        <v>600000</v>
      </c>
      <c r="P137" s="98">
        <f t="shared" ref="P137:P162" si="55">E137+J137</f>
        <v>3164384</v>
      </c>
      <c r="Q137" s="23"/>
      <c r="R137" s="32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</row>
    <row r="138" spans="1:527" s="22" customFormat="1" ht="33" customHeight="1" x14ac:dyDescent="0.25">
      <c r="A138" s="59" t="s">
        <v>172</v>
      </c>
      <c r="B138" s="92" t="str">
        <f>'дод 7'!A84</f>
        <v>2010</v>
      </c>
      <c r="C138" s="92" t="str">
        <f>'дод 7'!B84</f>
        <v>0731</v>
      </c>
      <c r="D138" s="6" t="s">
        <v>611</v>
      </c>
      <c r="E138" s="98">
        <f t="shared" si="54"/>
        <v>46532713.399999999</v>
      </c>
      <c r="F138" s="98">
        <f>45832353.4+24939+6281+230000+439140</f>
        <v>46532713.399999999</v>
      </c>
      <c r="G138" s="98"/>
      <c r="H138" s="98"/>
      <c r="I138" s="112"/>
      <c r="J138" s="98">
        <f t="shared" ref="J138:J162" si="56">L138+O138</f>
        <v>53545966.82</v>
      </c>
      <c r="K138" s="98">
        <f>45245966.82+1300000+7000000</f>
        <v>53545966.82</v>
      </c>
      <c r="L138" s="98"/>
      <c r="M138" s="98"/>
      <c r="N138" s="98"/>
      <c r="O138" s="98">
        <f>45245966.82+1300000+7000000</f>
        <v>53545966.82</v>
      </c>
      <c r="P138" s="98">
        <f t="shared" si="55"/>
        <v>100078680.22</v>
      </c>
      <c r="Q138" s="23"/>
      <c r="R138" s="32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</row>
    <row r="139" spans="1:527" s="24" customFormat="1" ht="30" hidden="1" customHeight="1" x14ac:dyDescent="0.25">
      <c r="A139" s="83"/>
      <c r="B139" s="110"/>
      <c r="C139" s="110"/>
      <c r="D139" s="86" t="s">
        <v>390</v>
      </c>
      <c r="E139" s="100">
        <f t="shared" si="54"/>
        <v>0</v>
      </c>
      <c r="F139" s="100"/>
      <c r="G139" s="100"/>
      <c r="H139" s="100"/>
      <c r="I139" s="113"/>
      <c r="J139" s="100">
        <f t="shared" si="56"/>
        <v>0</v>
      </c>
      <c r="K139" s="100"/>
      <c r="L139" s="100"/>
      <c r="M139" s="100"/>
      <c r="N139" s="100"/>
      <c r="O139" s="100"/>
      <c r="P139" s="100">
        <f t="shared" si="55"/>
        <v>0</v>
      </c>
      <c r="Q139" s="30"/>
      <c r="R139" s="32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  <c r="SO139" s="30"/>
      <c r="SP139" s="30"/>
      <c r="SQ139" s="30"/>
      <c r="SR139" s="30"/>
      <c r="SS139" s="30"/>
      <c r="ST139" s="30"/>
      <c r="SU139" s="30"/>
      <c r="SV139" s="30"/>
      <c r="SW139" s="30"/>
      <c r="SX139" s="30"/>
      <c r="SY139" s="30"/>
      <c r="SZ139" s="30"/>
      <c r="TA139" s="30"/>
      <c r="TB139" s="30"/>
      <c r="TC139" s="30"/>
      <c r="TD139" s="30"/>
      <c r="TE139" s="30"/>
      <c r="TF139" s="30"/>
      <c r="TG139" s="30"/>
    </row>
    <row r="140" spans="1:527" s="24" customFormat="1" ht="47.25" hidden="1" x14ac:dyDescent="0.25">
      <c r="A140" s="83"/>
      <c r="B140" s="110"/>
      <c r="C140" s="110"/>
      <c r="D140" s="86" t="s">
        <v>391</v>
      </c>
      <c r="E140" s="100">
        <f t="shared" si="54"/>
        <v>0</v>
      </c>
      <c r="F140" s="100"/>
      <c r="G140" s="100"/>
      <c r="H140" s="100"/>
      <c r="I140" s="100"/>
      <c r="J140" s="100">
        <f t="shared" si="56"/>
        <v>0</v>
      </c>
      <c r="K140" s="100"/>
      <c r="L140" s="100"/>
      <c r="M140" s="100"/>
      <c r="N140" s="100"/>
      <c r="O140" s="100"/>
      <c r="P140" s="100">
        <f t="shared" si="55"/>
        <v>0</v>
      </c>
      <c r="Q140" s="30"/>
      <c r="R140" s="32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  <c r="SQ140" s="30"/>
      <c r="SR140" s="30"/>
      <c r="SS140" s="30"/>
      <c r="ST140" s="30"/>
      <c r="SU140" s="30"/>
      <c r="SV140" s="30"/>
      <c r="SW140" s="30"/>
      <c r="SX140" s="30"/>
      <c r="SY140" s="30"/>
      <c r="SZ140" s="30"/>
      <c r="TA140" s="30"/>
      <c r="TB140" s="30"/>
      <c r="TC140" s="30"/>
      <c r="TD140" s="30"/>
      <c r="TE140" s="30"/>
      <c r="TF140" s="30"/>
      <c r="TG140" s="30"/>
    </row>
    <row r="141" spans="1:527" s="24" customFormat="1" ht="15.75" x14ac:dyDescent="0.25">
      <c r="A141" s="83"/>
      <c r="B141" s="110"/>
      <c r="C141" s="110"/>
      <c r="D141" s="86" t="s">
        <v>393</v>
      </c>
      <c r="E141" s="100">
        <f t="shared" si="54"/>
        <v>124646</v>
      </c>
      <c r="F141" s="100">
        <f>93426+24939+6281</f>
        <v>124646</v>
      </c>
      <c r="G141" s="100"/>
      <c r="H141" s="100"/>
      <c r="I141" s="113"/>
      <c r="J141" s="100">
        <f t="shared" si="56"/>
        <v>5750000</v>
      </c>
      <c r="K141" s="100">
        <v>5750000</v>
      </c>
      <c r="L141" s="100"/>
      <c r="M141" s="100"/>
      <c r="N141" s="100"/>
      <c r="O141" s="100">
        <v>5750000</v>
      </c>
      <c r="P141" s="100">
        <f t="shared" si="55"/>
        <v>5874646</v>
      </c>
      <c r="Q141" s="30"/>
      <c r="R141" s="32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  <c r="SO141" s="30"/>
      <c r="SP141" s="30"/>
      <c r="SQ141" s="30"/>
      <c r="SR141" s="30"/>
      <c r="SS141" s="30"/>
      <c r="ST141" s="30"/>
      <c r="SU141" s="30"/>
      <c r="SV141" s="30"/>
      <c r="SW141" s="30"/>
      <c r="SX141" s="30"/>
      <c r="SY141" s="30"/>
      <c r="SZ141" s="30"/>
      <c r="TA141" s="30"/>
      <c r="TB141" s="30"/>
      <c r="TC141" s="30"/>
      <c r="TD141" s="30"/>
      <c r="TE141" s="30"/>
      <c r="TF141" s="30"/>
      <c r="TG141" s="30"/>
    </row>
    <row r="142" spans="1:527" s="22" customFormat="1" ht="31.5" x14ac:dyDescent="0.25">
      <c r="A142" s="59" t="s">
        <v>446</v>
      </c>
      <c r="B142" s="92">
        <v>2020</v>
      </c>
      <c r="C142" s="59" t="s">
        <v>447</v>
      </c>
      <c r="D142" s="60" t="str">
        <f>'дод 7'!C88</f>
        <v xml:space="preserve"> Спеціалізована стаціонарна медична допомога населенню</v>
      </c>
      <c r="E142" s="98">
        <f t="shared" si="54"/>
        <v>90000</v>
      </c>
      <c r="F142" s="98">
        <v>90000</v>
      </c>
      <c r="G142" s="112"/>
      <c r="H142" s="112"/>
      <c r="I142" s="112"/>
      <c r="J142" s="98">
        <f t="shared" si="56"/>
        <v>0</v>
      </c>
      <c r="K142" s="98"/>
      <c r="L142" s="98"/>
      <c r="M142" s="98"/>
      <c r="N142" s="98"/>
      <c r="O142" s="98"/>
      <c r="P142" s="98">
        <f t="shared" si="55"/>
        <v>90000</v>
      </c>
      <c r="Q142" s="23"/>
      <c r="R142" s="32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  <c r="IW142" s="23"/>
      <c r="IX142" s="23"/>
      <c r="IY142" s="23"/>
      <c r="IZ142" s="23"/>
      <c r="JA142" s="23"/>
      <c r="JB142" s="23"/>
      <c r="JC142" s="23"/>
      <c r="JD142" s="23"/>
      <c r="JE142" s="23"/>
      <c r="JF142" s="23"/>
      <c r="JG142" s="23"/>
      <c r="JH142" s="23"/>
      <c r="JI142" s="23"/>
      <c r="JJ142" s="23"/>
      <c r="JK142" s="23"/>
      <c r="JL142" s="23"/>
      <c r="JM142" s="23"/>
      <c r="JN142" s="23"/>
      <c r="JO142" s="23"/>
      <c r="JP142" s="23"/>
      <c r="JQ142" s="23"/>
      <c r="JR142" s="23"/>
      <c r="JS142" s="23"/>
      <c r="JT142" s="23"/>
      <c r="JU142" s="23"/>
      <c r="JV142" s="23"/>
      <c r="JW142" s="23"/>
      <c r="JX142" s="23"/>
      <c r="JY142" s="23"/>
      <c r="JZ142" s="23"/>
      <c r="KA142" s="23"/>
      <c r="KB142" s="23"/>
      <c r="KC142" s="23"/>
      <c r="KD142" s="23"/>
      <c r="KE142" s="23"/>
      <c r="KF142" s="23"/>
      <c r="KG142" s="23"/>
      <c r="KH142" s="23"/>
      <c r="KI142" s="23"/>
      <c r="KJ142" s="23"/>
      <c r="KK142" s="23"/>
      <c r="KL142" s="23"/>
      <c r="KM142" s="23"/>
      <c r="KN142" s="23"/>
      <c r="KO142" s="23"/>
      <c r="KP142" s="23"/>
      <c r="KQ142" s="23"/>
      <c r="KR142" s="23"/>
      <c r="KS142" s="23"/>
      <c r="KT142" s="23"/>
      <c r="KU142" s="23"/>
      <c r="KV142" s="23"/>
      <c r="KW142" s="23"/>
      <c r="KX142" s="23"/>
      <c r="KY142" s="23"/>
      <c r="KZ142" s="23"/>
      <c r="LA142" s="23"/>
      <c r="LB142" s="23"/>
      <c r="LC142" s="23"/>
      <c r="LD142" s="23"/>
      <c r="LE142" s="23"/>
      <c r="LF142" s="23"/>
      <c r="LG142" s="23"/>
      <c r="LH142" s="23"/>
      <c r="LI142" s="23"/>
      <c r="LJ142" s="23"/>
      <c r="LK142" s="23"/>
      <c r="LL142" s="23"/>
      <c r="LM142" s="23"/>
      <c r="LN142" s="23"/>
      <c r="LO142" s="23"/>
      <c r="LP142" s="23"/>
      <c r="LQ142" s="23"/>
      <c r="LR142" s="23"/>
      <c r="LS142" s="23"/>
      <c r="LT142" s="23"/>
      <c r="LU142" s="23"/>
      <c r="LV142" s="23"/>
      <c r="LW142" s="23"/>
      <c r="LX142" s="23"/>
      <c r="LY142" s="23"/>
      <c r="LZ142" s="23"/>
      <c r="MA142" s="23"/>
      <c r="MB142" s="23"/>
      <c r="MC142" s="23"/>
      <c r="MD142" s="23"/>
      <c r="ME142" s="23"/>
      <c r="MF142" s="23"/>
      <c r="MG142" s="23"/>
      <c r="MH142" s="23"/>
      <c r="MI142" s="23"/>
      <c r="MJ142" s="23"/>
      <c r="MK142" s="23"/>
      <c r="ML142" s="23"/>
      <c r="MM142" s="23"/>
      <c r="MN142" s="23"/>
      <c r="MO142" s="23"/>
      <c r="MP142" s="23"/>
      <c r="MQ142" s="23"/>
      <c r="MR142" s="23"/>
      <c r="MS142" s="23"/>
      <c r="MT142" s="23"/>
      <c r="MU142" s="23"/>
      <c r="MV142" s="23"/>
      <c r="MW142" s="23"/>
      <c r="MX142" s="23"/>
      <c r="MY142" s="23"/>
      <c r="MZ142" s="23"/>
      <c r="NA142" s="23"/>
      <c r="NB142" s="23"/>
      <c r="NC142" s="23"/>
      <c r="ND142" s="23"/>
      <c r="NE142" s="23"/>
      <c r="NF142" s="23"/>
      <c r="NG142" s="23"/>
      <c r="NH142" s="23"/>
      <c r="NI142" s="23"/>
      <c r="NJ142" s="23"/>
      <c r="NK142" s="23"/>
      <c r="NL142" s="23"/>
      <c r="NM142" s="23"/>
      <c r="NN142" s="23"/>
      <c r="NO142" s="23"/>
      <c r="NP142" s="23"/>
      <c r="NQ142" s="23"/>
      <c r="NR142" s="23"/>
      <c r="NS142" s="23"/>
      <c r="NT142" s="23"/>
      <c r="NU142" s="23"/>
      <c r="NV142" s="23"/>
      <c r="NW142" s="23"/>
      <c r="NX142" s="23"/>
      <c r="NY142" s="23"/>
      <c r="NZ142" s="23"/>
      <c r="OA142" s="23"/>
      <c r="OB142" s="23"/>
      <c r="OC142" s="23"/>
      <c r="OD142" s="23"/>
      <c r="OE142" s="23"/>
      <c r="OF142" s="23"/>
      <c r="OG142" s="23"/>
      <c r="OH142" s="23"/>
      <c r="OI142" s="23"/>
      <c r="OJ142" s="23"/>
      <c r="OK142" s="23"/>
      <c r="OL142" s="23"/>
      <c r="OM142" s="23"/>
      <c r="ON142" s="23"/>
      <c r="OO142" s="23"/>
      <c r="OP142" s="23"/>
      <c r="OQ142" s="23"/>
      <c r="OR142" s="23"/>
      <c r="OS142" s="23"/>
      <c r="OT142" s="23"/>
      <c r="OU142" s="23"/>
      <c r="OV142" s="23"/>
      <c r="OW142" s="23"/>
      <c r="OX142" s="23"/>
      <c r="OY142" s="23"/>
      <c r="OZ142" s="23"/>
      <c r="PA142" s="23"/>
      <c r="PB142" s="23"/>
      <c r="PC142" s="23"/>
      <c r="PD142" s="23"/>
      <c r="PE142" s="23"/>
      <c r="PF142" s="23"/>
      <c r="PG142" s="23"/>
      <c r="PH142" s="23"/>
      <c r="PI142" s="23"/>
      <c r="PJ142" s="23"/>
      <c r="PK142" s="23"/>
      <c r="PL142" s="23"/>
      <c r="PM142" s="23"/>
      <c r="PN142" s="23"/>
      <c r="PO142" s="23"/>
      <c r="PP142" s="23"/>
      <c r="PQ142" s="23"/>
      <c r="PR142" s="23"/>
      <c r="PS142" s="23"/>
      <c r="PT142" s="23"/>
      <c r="PU142" s="23"/>
      <c r="PV142" s="23"/>
      <c r="PW142" s="23"/>
      <c r="PX142" s="23"/>
      <c r="PY142" s="23"/>
      <c r="PZ142" s="23"/>
      <c r="QA142" s="23"/>
      <c r="QB142" s="23"/>
      <c r="QC142" s="23"/>
      <c r="QD142" s="23"/>
      <c r="QE142" s="23"/>
      <c r="QF142" s="23"/>
      <c r="QG142" s="23"/>
      <c r="QH142" s="23"/>
      <c r="QI142" s="23"/>
      <c r="QJ142" s="23"/>
      <c r="QK142" s="23"/>
      <c r="QL142" s="23"/>
      <c r="QM142" s="23"/>
      <c r="QN142" s="23"/>
      <c r="QO142" s="23"/>
      <c r="QP142" s="23"/>
      <c r="QQ142" s="23"/>
      <c r="QR142" s="23"/>
      <c r="QS142" s="23"/>
      <c r="QT142" s="23"/>
      <c r="QU142" s="23"/>
      <c r="QV142" s="23"/>
      <c r="QW142" s="23"/>
      <c r="QX142" s="23"/>
      <c r="QY142" s="23"/>
      <c r="QZ142" s="23"/>
      <c r="RA142" s="23"/>
      <c r="RB142" s="23"/>
      <c r="RC142" s="23"/>
      <c r="RD142" s="23"/>
      <c r="RE142" s="23"/>
      <c r="RF142" s="23"/>
      <c r="RG142" s="23"/>
      <c r="RH142" s="23"/>
      <c r="RI142" s="23"/>
      <c r="RJ142" s="23"/>
      <c r="RK142" s="23"/>
      <c r="RL142" s="23"/>
      <c r="RM142" s="23"/>
      <c r="RN142" s="23"/>
      <c r="RO142" s="23"/>
      <c r="RP142" s="23"/>
      <c r="RQ142" s="23"/>
      <c r="RR142" s="23"/>
      <c r="RS142" s="23"/>
      <c r="RT142" s="23"/>
      <c r="RU142" s="23"/>
      <c r="RV142" s="23"/>
      <c r="RW142" s="23"/>
      <c r="RX142" s="23"/>
      <c r="RY142" s="23"/>
      <c r="RZ142" s="23"/>
      <c r="SA142" s="23"/>
      <c r="SB142" s="23"/>
      <c r="SC142" s="23"/>
      <c r="SD142" s="23"/>
      <c r="SE142" s="23"/>
      <c r="SF142" s="23"/>
      <c r="SG142" s="23"/>
      <c r="SH142" s="23"/>
      <c r="SI142" s="23"/>
      <c r="SJ142" s="23"/>
      <c r="SK142" s="23"/>
      <c r="SL142" s="23"/>
      <c r="SM142" s="23"/>
      <c r="SN142" s="23"/>
      <c r="SO142" s="23"/>
      <c r="SP142" s="23"/>
      <c r="SQ142" s="23"/>
      <c r="SR142" s="23"/>
      <c r="SS142" s="23"/>
      <c r="ST142" s="23"/>
      <c r="SU142" s="23"/>
      <c r="SV142" s="23"/>
      <c r="SW142" s="23"/>
      <c r="SX142" s="23"/>
      <c r="SY142" s="23"/>
      <c r="SZ142" s="23"/>
      <c r="TA142" s="23"/>
      <c r="TB142" s="23"/>
      <c r="TC142" s="23"/>
      <c r="TD142" s="23"/>
      <c r="TE142" s="23"/>
      <c r="TF142" s="23"/>
      <c r="TG142" s="23"/>
    </row>
    <row r="143" spans="1:527" s="22" customFormat="1" ht="36.75" customHeight="1" x14ac:dyDescent="0.25">
      <c r="A143" s="59" t="s">
        <v>177</v>
      </c>
      <c r="B143" s="92" t="str">
        <f>'дод 7'!A89</f>
        <v>2030</v>
      </c>
      <c r="C143" s="92" t="str">
        <f>'дод 7'!B89</f>
        <v>0733</v>
      </c>
      <c r="D143" s="60" t="s">
        <v>463</v>
      </c>
      <c r="E143" s="98">
        <f t="shared" si="54"/>
        <v>4498159</v>
      </c>
      <c r="F143" s="98">
        <v>4498159</v>
      </c>
      <c r="G143" s="114"/>
      <c r="H143" s="114"/>
      <c r="I143" s="112"/>
      <c r="J143" s="98">
        <f t="shared" si="56"/>
        <v>5100000</v>
      </c>
      <c r="K143" s="98">
        <v>5100000</v>
      </c>
      <c r="L143" s="98"/>
      <c r="M143" s="98"/>
      <c r="N143" s="98"/>
      <c r="O143" s="98">
        <v>5100000</v>
      </c>
      <c r="P143" s="98">
        <f t="shared" si="55"/>
        <v>9598159</v>
      </c>
      <c r="Q143" s="23"/>
      <c r="R143" s="32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  <c r="TG143" s="23"/>
    </row>
    <row r="144" spans="1:527" s="24" customFormat="1" ht="30" hidden="1" customHeight="1" x14ac:dyDescent="0.25">
      <c r="A144" s="83"/>
      <c r="B144" s="110"/>
      <c r="C144" s="110"/>
      <c r="D144" s="86" t="s">
        <v>390</v>
      </c>
      <c r="E144" s="100">
        <f t="shared" si="54"/>
        <v>0</v>
      </c>
      <c r="F144" s="100"/>
      <c r="G144" s="113"/>
      <c r="H144" s="113"/>
      <c r="I144" s="113"/>
      <c r="J144" s="100"/>
      <c r="K144" s="100"/>
      <c r="L144" s="100"/>
      <c r="M144" s="100"/>
      <c r="N144" s="100"/>
      <c r="O144" s="100"/>
      <c r="P144" s="100">
        <f t="shared" si="55"/>
        <v>0</v>
      </c>
      <c r="Q144" s="30"/>
      <c r="R144" s="32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  <c r="SO144" s="30"/>
      <c r="SP144" s="30"/>
      <c r="SQ144" s="30"/>
      <c r="SR144" s="30"/>
      <c r="SS144" s="30"/>
      <c r="ST144" s="30"/>
      <c r="SU144" s="30"/>
      <c r="SV144" s="30"/>
      <c r="SW144" s="30"/>
      <c r="SX144" s="30"/>
      <c r="SY144" s="30"/>
      <c r="SZ144" s="30"/>
      <c r="TA144" s="30"/>
      <c r="TB144" s="30"/>
      <c r="TC144" s="30"/>
      <c r="TD144" s="30"/>
      <c r="TE144" s="30"/>
      <c r="TF144" s="30"/>
      <c r="TG144" s="30"/>
    </row>
    <row r="145" spans="1:527" s="22" customFormat="1" ht="24" customHeight="1" x14ac:dyDescent="0.25">
      <c r="A145" s="59" t="s">
        <v>176</v>
      </c>
      <c r="B145" s="92" t="str">
        <f>'дод 7'!A91</f>
        <v>2100</v>
      </c>
      <c r="C145" s="92" t="str">
        <f>'дод 7'!B91</f>
        <v>0722</v>
      </c>
      <c r="D145" s="60" t="str">
        <f>'дод 7'!C91</f>
        <v>Стоматологічна допомога населенню</v>
      </c>
      <c r="E145" s="98">
        <f t="shared" si="54"/>
        <v>7745106</v>
      </c>
      <c r="F145" s="98">
        <v>7745106</v>
      </c>
      <c r="G145" s="114"/>
      <c r="H145" s="114"/>
      <c r="I145" s="112"/>
      <c r="J145" s="98">
        <f t="shared" si="56"/>
        <v>0</v>
      </c>
      <c r="K145" s="98"/>
      <c r="L145" s="98"/>
      <c r="M145" s="98"/>
      <c r="N145" s="98"/>
      <c r="O145" s="98"/>
      <c r="P145" s="98">
        <f t="shared" si="55"/>
        <v>7745106</v>
      </c>
      <c r="Q145" s="23"/>
      <c r="R145" s="32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  <c r="SQ145" s="23"/>
      <c r="SR145" s="23"/>
      <c r="SS145" s="23"/>
      <c r="ST145" s="23"/>
      <c r="SU145" s="23"/>
      <c r="SV145" s="23"/>
      <c r="SW145" s="23"/>
      <c r="SX145" s="23"/>
      <c r="SY145" s="23"/>
      <c r="SZ145" s="23"/>
      <c r="TA145" s="23"/>
      <c r="TB145" s="23"/>
      <c r="TC145" s="23"/>
      <c r="TD145" s="23"/>
      <c r="TE145" s="23"/>
      <c r="TF145" s="23"/>
      <c r="TG145" s="23"/>
    </row>
    <row r="146" spans="1:527" s="24" customFormat="1" ht="30" hidden="1" customHeight="1" x14ac:dyDescent="0.25">
      <c r="A146" s="83"/>
      <c r="B146" s="110"/>
      <c r="C146" s="110"/>
      <c r="D146" s="86" t="s">
        <v>390</v>
      </c>
      <c r="E146" s="100">
        <f t="shared" si="54"/>
        <v>0</v>
      </c>
      <c r="F146" s="100"/>
      <c r="G146" s="113"/>
      <c r="H146" s="113"/>
      <c r="I146" s="113"/>
      <c r="J146" s="100">
        <f t="shared" si="56"/>
        <v>0</v>
      </c>
      <c r="K146" s="100"/>
      <c r="L146" s="100"/>
      <c r="M146" s="100"/>
      <c r="N146" s="100"/>
      <c r="O146" s="100"/>
      <c r="P146" s="100">
        <f t="shared" si="55"/>
        <v>0</v>
      </c>
      <c r="Q146" s="30"/>
      <c r="R146" s="32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30"/>
      <c r="JA146" s="30"/>
      <c r="JB146" s="30"/>
      <c r="JC146" s="30"/>
      <c r="JD146" s="30"/>
      <c r="JE146" s="30"/>
      <c r="JF146" s="30"/>
      <c r="JG146" s="30"/>
      <c r="JH146" s="30"/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/>
      <c r="JY146" s="30"/>
      <c r="JZ146" s="30"/>
      <c r="KA146" s="30"/>
      <c r="KB146" s="30"/>
      <c r="KC146" s="30"/>
      <c r="KD146" s="30"/>
      <c r="KE146" s="30"/>
      <c r="KF146" s="30"/>
      <c r="KG146" s="30"/>
      <c r="KH146" s="30"/>
      <c r="KI146" s="30"/>
      <c r="KJ146" s="30"/>
      <c r="KK146" s="30"/>
      <c r="KL146" s="30"/>
      <c r="KM146" s="30"/>
      <c r="KN146" s="30"/>
      <c r="KO146" s="30"/>
      <c r="KP146" s="30"/>
      <c r="KQ146" s="30"/>
      <c r="KR146" s="30"/>
      <c r="KS146" s="30"/>
      <c r="KT146" s="30"/>
      <c r="KU146" s="30"/>
      <c r="KV146" s="30"/>
      <c r="KW146" s="30"/>
      <c r="KX146" s="30"/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/>
      <c r="LK146" s="30"/>
      <c r="LL146" s="30"/>
      <c r="LM146" s="30"/>
      <c r="LN146" s="30"/>
      <c r="LO146" s="30"/>
      <c r="LP146" s="30"/>
      <c r="LQ146" s="30"/>
      <c r="LR146" s="30"/>
      <c r="LS146" s="30"/>
      <c r="LT146" s="30"/>
      <c r="LU146" s="30"/>
      <c r="LV146" s="30"/>
      <c r="LW146" s="30"/>
      <c r="LX146" s="30"/>
      <c r="LY146" s="30"/>
      <c r="LZ146" s="30"/>
      <c r="MA146" s="30"/>
      <c r="MB146" s="30"/>
      <c r="MC146" s="30"/>
      <c r="MD146" s="30"/>
      <c r="ME146" s="30"/>
      <c r="MF146" s="30"/>
      <c r="MG146" s="30"/>
      <c r="MH146" s="30"/>
      <c r="MI146" s="30"/>
      <c r="MJ146" s="30"/>
      <c r="MK146" s="30"/>
      <c r="ML146" s="30"/>
      <c r="MM146" s="30"/>
      <c r="MN146" s="30"/>
      <c r="MO146" s="30"/>
      <c r="MP146" s="30"/>
      <c r="MQ146" s="30"/>
      <c r="MR146" s="30"/>
      <c r="MS146" s="30"/>
      <c r="MT146" s="30"/>
      <c r="MU146" s="30"/>
      <c r="MV146" s="30"/>
      <c r="MW146" s="30"/>
      <c r="MX146" s="30"/>
      <c r="MY146" s="30"/>
      <c r="MZ146" s="30"/>
      <c r="NA146" s="30"/>
      <c r="NB146" s="30"/>
      <c r="NC146" s="30"/>
      <c r="ND146" s="30"/>
      <c r="NE146" s="30"/>
      <c r="NF146" s="30"/>
      <c r="NG146" s="30"/>
      <c r="NH146" s="30"/>
      <c r="NI146" s="30"/>
      <c r="NJ146" s="30"/>
      <c r="NK146" s="30"/>
      <c r="NL146" s="30"/>
      <c r="NM146" s="30"/>
      <c r="NN146" s="30"/>
      <c r="NO146" s="30"/>
      <c r="NP146" s="30"/>
      <c r="NQ146" s="30"/>
      <c r="NR146" s="30"/>
      <c r="NS146" s="30"/>
      <c r="NT146" s="30"/>
      <c r="NU146" s="30"/>
      <c r="NV146" s="30"/>
      <c r="NW146" s="30"/>
      <c r="NX146" s="30"/>
      <c r="NY146" s="30"/>
      <c r="NZ146" s="30"/>
      <c r="OA146" s="30"/>
      <c r="OB146" s="30"/>
      <c r="OC146" s="30"/>
      <c r="OD146" s="30"/>
      <c r="OE146" s="30"/>
      <c r="OF146" s="30"/>
      <c r="OG146" s="30"/>
      <c r="OH146" s="30"/>
      <c r="OI146" s="30"/>
      <c r="OJ146" s="30"/>
      <c r="OK146" s="30"/>
      <c r="OL146" s="30"/>
      <c r="OM146" s="30"/>
      <c r="ON146" s="30"/>
      <c r="OO146" s="30"/>
      <c r="OP146" s="30"/>
      <c r="OQ146" s="30"/>
      <c r="OR146" s="30"/>
      <c r="OS146" s="30"/>
      <c r="OT146" s="30"/>
      <c r="OU146" s="30"/>
      <c r="OV146" s="30"/>
      <c r="OW146" s="30"/>
      <c r="OX146" s="30"/>
      <c r="OY146" s="30"/>
      <c r="OZ146" s="30"/>
      <c r="PA146" s="30"/>
      <c r="PB146" s="30"/>
      <c r="PC146" s="30"/>
      <c r="PD146" s="30"/>
      <c r="PE146" s="30"/>
      <c r="PF146" s="30"/>
      <c r="PG146" s="30"/>
      <c r="PH146" s="30"/>
      <c r="PI146" s="30"/>
      <c r="PJ146" s="30"/>
      <c r="PK146" s="30"/>
      <c r="PL146" s="30"/>
      <c r="PM146" s="30"/>
      <c r="PN146" s="30"/>
      <c r="PO146" s="30"/>
      <c r="PP146" s="30"/>
      <c r="PQ146" s="30"/>
      <c r="PR146" s="30"/>
      <c r="PS146" s="30"/>
      <c r="PT146" s="30"/>
      <c r="PU146" s="30"/>
      <c r="PV146" s="30"/>
      <c r="PW146" s="30"/>
      <c r="PX146" s="30"/>
      <c r="PY146" s="30"/>
      <c r="PZ146" s="30"/>
      <c r="QA146" s="30"/>
      <c r="QB146" s="30"/>
      <c r="QC146" s="30"/>
      <c r="QD146" s="30"/>
      <c r="QE146" s="30"/>
      <c r="QF146" s="30"/>
      <c r="QG146" s="30"/>
      <c r="QH146" s="30"/>
      <c r="QI146" s="30"/>
      <c r="QJ146" s="30"/>
      <c r="QK146" s="30"/>
      <c r="QL146" s="30"/>
      <c r="QM146" s="30"/>
      <c r="QN146" s="30"/>
      <c r="QO146" s="30"/>
      <c r="QP146" s="30"/>
      <c r="QQ146" s="30"/>
      <c r="QR146" s="30"/>
      <c r="QS146" s="30"/>
      <c r="QT146" s="30"/>
      <c r="QU146" s="30"/>
      <c r="QV146" s="30"/>
      <c r="QW146" s="30"/>
      <c r="QX146" s="30"/>
      <c r="QY146" s="30"/>
      <c r="QZ146" s="30"/>
      <c r="RA146" s="30"/>
      <c r="RB146" s="30"/>
      <c r="RC146" s="30"/>
      <c r="RD146" s="30"/>
      <c r="RE146" s="30"/>
      <c r="RF146" s="30"/>
      <c r="RG146" s="30"/>
      <c r="RH146" s="30"/>
      <c r="RI146" s="30"/>
      <c r="RJ146" s="30"/>
      <c r="RK146" s="30"/>
      <c r="RL146" s="30"/>
      <c r="RM146" s="30"/>
      <c r="RN146" s="30"/>
      <c r="RO146" s="30"/>
      <c r="RP146" s="30"/>
      <c r="RQ146" s="30"/>
      <c r="RR146" s="30"/>
      <c r="RS146" s="30"/>
      <c r="RT146" s="30"/>
      <c r="RU146" s="30"/>
      <c r="RV146" s="30"/>
      <c r="RW146" s="30"/>
      <c r="RX146" s="30"/>
      <c r="RY146" s="30"/>
      <c r="RZ146" s="30"/>
      <c r="SA146" s="30"/>
      <c r="SB146" s="30"/>
      <c r="SC146" s="30"/>
      <c r="SD146" s="30"/>
      <c r="SE146" s="30"/>
      <c r="SF146" s="30"/>
      <c r="SG146" s="30"/>
      <c r="SH146" s="30"/>
      <c r="SI146" s="30"/>
      <c r="SJ146" s="30"/>
      <c r="SK146" s="30"/>
      <c r="SL146" s="30"/>
      <c r="SM146" s="30"/>
      <c r="SN146" s="30"/>
      <c r="SO146" s="30"/>
      <c r="SP146" s="30"/>
      <c r="SQ146" s="30"/>
      <c r="SR146" s="30"/>
      <c r="SS146" s="30"/>
      <c r="ST146" s="30"/>
      <c r="SU146" s="30"/>
      <c r="SV146" s="30"/>
      <c r="SW146" s="30"/>
      <c r="SX146" s="30"/>
      <c r="SY146" s="30"/>
      <c r="SZ146" s="30"/>
      <c r="TA146" s="30"/>
      <c r="TB146" s="30"/>
      <c r="TC146" s="30"/>
      <c r="TD146" s="30"/>
      <c r="TE146" s="30"/>
      <c r="TF146" s="30"/>
      <c r="TG146" s="30"/>
    </row>
    <row r="147" spans="1:527" s="22" customFormat="1" ht="48" customHeight="1" x14ac:dyDescent="0.25">
      <c r="A147" s="59" t="s">
        <v>175</v>
      </c>
      <c r="B147" s="92" t="str">
        <f>'дод 7'!A93</f>
        <v>2111</v>
      </c>
      <c r="C147" s="92" t="str">
        <f>'дод 7'!B93</f>
        <v>0726</v>
      </c>
      <c r="D147" s="60" t="str">
        <f>'дод 7'!C93</f>
        <v>Первинна медична допомога населенню, що надається центрами первинної медичної (медико-санітарної) допомоги</v>
      </c>
      <c r="E147" s="98">
        <f t="shared" si="54"/>
        <v>3732831</v>
      </c>
      <c r="F147" s="98">
        <f>3962831-230000</f>
        <v>3732831</v>
      </c>
      <c r="G147" s="112"/>
      <c r="H147" s="114"/>
      <c r="I147" s="112"/>
      <c r="J147" s="98">
        <f t="shared" si="56"/>
        <v>0</v>
      </c>
      <c r="K147" s="98"/>
      <c r="L147" s="98"/>
      <c r="M147" s="98"/>
      <c r="N147" s="98"/>
      <c r="O147" s="98"/>
      <c r="P147" s="98">
        <f t="shared" si="55"/>
        <v>3732831</v>
      </c>
      <c r="Q147" s="23"/>
      <c r="R147" s="32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  <c r="SQ147" s="23"/>
      <c r="SR147" s="23"/>
      <c r="SS147" s="23"/>
      <c r="ST147" s="23"/>
      <c r="SU147" s="23"/>
      <c r="SV147" s="23"/>
      <c r="SW147" s="23"/>
      <c r="SX147" s="23"/>
      <c r="SY147" s="23"/>
      <c r="SZ147" s="23"/>
      <c r="TA147" s="23"/>
      <c r="TB147" s="23"/>
      <c r="TC147" s="23"/>
      <c r="TD147" s="23"/>
      <c r="TE147" s="23"/>
      <c r="TF147" s="23"/>
      <c r="TG147" s="23"/>
    </row>
    <row r="148" spans="1:527" s="24" customFormat="1" ht="63" hidden="1" x14ac:dyDescent="0.25">
      <c r="A148" s="83"/>
      <c r="B148" s="110"/>
      <c r="C148" s="110"/>
      <c r="D148" s="84" t="s">
        <v>392</v>
      </c>
      <c r="E148" s="100">
        <f t="shared" si="54"/>
        <v>0</v>
      </c>
      <c r="F148" s="100"/>
      <c r="G148" s="113"/>
      <c r="H148" s="113"/>
      <c r="I148" s="113"/>
      <c r="J148" s="100">
        <f t="shared" si="56"/>
        <v>0</v>
      </c>
      <c r="K148" s="100"/>
      <c r="L148" s="100"/>
      <c r="M148" s="100"/>
      <c r="N148" s="100"/>
      <c r="O148" s="100"/>
      <c r="P148" s="100">
        <f t="shared" si="55"/>
        <v>0</v>
      </c>
      <c r="Q148" s="30"/>
      <c r="R148" s="32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  <c r="LU148" s="30"/>
      <c r="LV148" s="30"/>
      <c r="LW148" s="30"/>
      <c r="LX148" s="30"/>
      <c r="LY148" s="30"/>
      <c r="LZ148" s="30"/>
      <c r="MA148" s="30"/>
      <c r="MB148" s="30"/>
      <c r="MC148" s="30"/>
      <c r="MD148" s="30"/>
      <c r="ME148" s="30"/>
      <c r="MF148" s="30"/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30"/>
      <c r="MW148" s="30"/>
      <c r="MX148" s="30"/>
      <c r="MY148" s="30"/>
      <c r="MZ148" s="30"/>
      <c r="NA148" s="30"/>
      <c r="NB148" s="30"/>
      <c r="NC148" s="30"/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0"/>
      <c r="NR148" s="30"/>
      <c r="NS148" s="30"/>
      <c r="NT148" s="30"/>
      <c r="NU148" s="30"/>
      <c r="NV148" s="30"/>
      <c r="NW148" s="30"/>
      <c r="NX148" s="30"/>
      <c r="NY148" s="30"/>
      <c r="NZ148" s="30"/>
      <c r="OA148" s="30"/>
      <c r="OB148" s="30"/>
      <c r="OC148" s="30"/>
      <c r="OD148" s="30"/>
      <c r="OE148" s="30"/>
      <c r="OF148" s="30"/>
      <c r="OG148" s="30"/>
      <c r="OH148" s="30"/>
      <c r="OI148" s="30"/>
      <c r="OJ148" s="30"/>
      <c r="OK148" s="30"/>
      <c r="OL148" s="30"/>
      <c r="OM148" s="30"/>
      <c r="ON148" s="30"/>
      <c r="OO148" s="30"/>
      <c r="OP148" s="30"/>
      <c r="OQ148" s="30"/>
      <c r="OR148" s="30"/>
      <c r="OS148" s="30"/>
      <c r="OT148" s="30"/>
      <c r="OU148" s="30"/>
      <c r="OV148" s="30"/>
      <c r="OW148" s="30"/>
      <c r="OX148" s="30"/>
      <c r="OY148" s="30"/>
      <c r="OZ148" s="30"/>
      <c r="PA148" s="30"/>
      <c r="PB148" s="30"/>
      <c r="PC148" s="30"/>
      <c r="PD148" s="30"/>
      <c r="PE148" s="30"/>
      <c r="PF148" s="30"/>
      <c r="PG148" s="30"/>
      <c r="PH148" s="30"/>
      <c r="PI148" s="30"/>
      <c r="PJ148" s="30"/>
      <c r="PK148" s="30"/>
      <c r="PL148" s="30"/>
      <c r="PM148" s="30"/>
      <c r="PN148" s="30"/>
      <c r="PO148" s="30"/>
      <c r="PP148" s="30"/>
      <c r="PQ148" s="30"/>
      <c r="PR148" s="30"/>
      <c r="PS148" s="30"/>
      <c r="PT148" s="30"/>
      <c r="PU148" s="30"/>
      <c r="PV148" s="30"/>
      <c r="PW148" s="30"/>
      <c r="PX148" s="30"/>
      <c r="PY148" s="30"/>
      <c r="PZ148" s="30"/>
      <c r="QA148" s="30"/>
      <c r="QB148" s="30"/>
      <c r="QC148" s="30"/>
      <c r="QD148" s="30"/>
      <c r="QE148" s="30"/>
      <c r="QF148" s="30"/>
      <c r="QG148" s="30"/>
      <c r="QH148" s="30"/>
      <c r="QI148" s="30"/>
      <c r="QJ148" s="30"/>
      <c r="QK148" s="30"/>
      <c r="QL148" s="30"/>
      <c r="QM148" s="30"/>
      <c r="QN148" s="30"/>
      <c r="QO148" s="30"/>
      <c r="QP148" s="30"/>
      <c r="QQ148" s="30"/>
      <c r="QR148" s="30"/>
      <c r="QS148" s="30"/>
      <c r="QT148" s="30"/>
      <c r="QU148" s="30"/>
      <c r="QV148" s="30"/>
      <c r="QW148" s="30"/>
      <c r="QX148" s="30"/>
      <c r="QY148" s="30"/>
      <c r="QZ148" s="30"/>
      <c r="RA148" s="30"/>
      <c r="RB148" s="30"/>
      <c r="RC148" s="30"/>
      <c r="RD148" s="30"/>
      <c r="RE148" s="30"/>
      <c r="RF148" s="30"/>
      <c r="RG148" s="30"/>
      <c r="RH148" s="30"/>
      <c r="RI148" s="30"/>
      <c r="RJ148" s="30"/>
      <c r="RK148" s="30"/>
      <c r="RL148" s="30"/>
      <c r="RM148" s="30"/>
      <c r="RN148" s="30"/>
      <c r="RO148" s="30"/>
      <c r="RP148" s="30"/>
      <c r="RQ148" s="30"/>
      <c r="RR148" s="30"/>
      <c r="RS148" s="30"/>
      <c r="RT148" s="30"/>
      <c r="RU148" s="30"/>
      <c r="RV148" s="30"/>
      <c r="RW148" s="30"/>
      <c r="RX148" s="30"/>
      <c r="RY148" s="30"/>
      <c r="RZ148" s="30"/>
      <c r="SA148" s="30"/>
      <c r="SB148" s="30"/>
      <c r="SC148" s="30"/>
      <c r="SD148" s="30"/>
      <c r="SE148" s="30"/>
      <c r="SF148" s="30"/>
      <c r="SG148" s="30"/>
      <c r="SH148" s="30"/>
      <c r="SI148" s="30"/>
      <c r="SJ148" s="30"/>
      <c r="SK148" s="30"/>
      <c r="SL148" s="30"/>
      <c r="SM148" s="30"/>
      <c r="SN148" s="30"/>
      <c r="SO148" s="30"/>
      <c r="SP148" s="30"/>
      <c r="SQ148" s="30"/>
      <c r="SR148" s="30"/>
      <c r="SS148" s="30"/>
      <c r="ST148" s="30"/>
      <c r="SU148" s="30"/>
      <c r="SV148" s="30"/>
      <c r="SW148" s="30"/>
      <c r="SX148" s="30"/>
      <c r="SY148" s="30"/>
      <c r="SZ148" s="30"/>
      <c r="TA148" s="30"/>
      <c r="TB148" s="30"/>
      <c r="TC148" s="30"/>
      <c r="TD148" s="30"/>
      <c r="TE148" s="30"/>
      <c r="TF148" s="30"/>
      <c r="TG148" s="30"/>
    </row>
    <row r="149" spans="1:527" s="22" customFormat="1" ht="31.5" x14ac:dyDescent="0.25">
      <c r="A149" s="59" t="s">
        <v>174</v>
      </c>
      <c r="B149" s="92">
        <f>'дод 7'!A95</f>
        <v>2144</v>
      </c>
      <c r="C149" s="92" t="str">
        <f>'дод 7'!B95</f>
        <v>0763</v>
      </c>
      <c r="D149" s="122" t="str">
        <f>'дод 7'!C95</f>
        <v>Централізовані заходи з лікування хворих на цукровий та нецукровий діабет, у т.ч. за рахунок:</v>
      </c>
      <c r="E149" s="98">
        <f t="shared" si="54"/>
        <v>11403700</v>
      </c>
      <c r="F149" s="98">
        <v>11403700</v>
      </c>
      <c r="G149" s="112"/>
      <c r="H149" s="112"/>
      <c r="I149" s="112"/>
      <c r="J149" s="98">
        <f t="shared" si="56"/>
        <v>0</v>
      </c>
      <c r="K149" s="98"/>
      <c r="L149" s="98"/>
      <c r="M149" s="98"/>
      <c r="N149" s="98"/>
      <c r="O149" s="98"/>
      <c r="P149" s="98">
        <f t="shared" si="55"/>
        <v>11403700</v>
      </c>
      <c r="Q149" s="23"/>
      <c r="R149" s="32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  <c r="OX149" s="23"/>
      <c r="OY149" s="23"/>
      <c r="OZ149" s="23"/>
      <c r="PA149" s="23"/>
      <c r="PB149" s="23"/>
      <c r="PC149" s="23"/>
      <c r="PD149" s="23"/>
      <c r="PE149" s="23"/>
      <c r="PF149" s="23"/>
      <c r="PG149" s="23"/>
      <c r="PH149" s="23"/>
      <c r="PI149" s="23"/>
      <c r="PJ149" s="23"/>
      <c r="PK149" s="23"/>
      <c r="PL149" s="23"/>
      <c r="PM149" s="23"/>
      <c r="PN149" s="23"/>
      <c r="PO149" s="23"/>
      <c r="PP149" s="23"/>
      <c r="PQ149" s="23"/>
      <c r="PR149" s="23"/>
      <c r="PS149" s="23"/>
      <c r="PT149" s="23"/>
      <c r="PU149" s="23"/>
      <c r="PV149" s="23"/>
      <c r="PW149" s="23"/>
      <c r="PX149" s="23"/>
      <c r="PY149" s="23"/>
      <c r="PZ149" s="23"/>
      <c r="QA149" s="23"/>
      <c r="QB149" s="23"/>
      <c r="QC149" s="23"/>
      <c r="QD149" s="23"/>
      <c r="QE149" s="23"/>
      <c r="QF149" s="23"/>
      <c r="QG149" s="23"/>
      <c r="QH149" s="23"/>
      <c r="QI149" s="23"/>
      <c r="QJ149" s="23"/>
      <c r="QK149" s="23"/>
      <c r="QL149" s="23"/>
      <c r="QM149" s="23"/>
      <c r="QN149" s="23"/>
      <c r="QO149" s="23"/>
      <c r="QP149" s="23"/>
      <c r="QQ149" s="23"/>
      <c r="QR149" s="23"/>
      <c r="QS149" s="23"/>
      <c r="QT149" s="23"/>
      <c r="QU149" s="23"/>
      <c r="QV149" s="23"/>
      <c r="QW149" s="23"/>
      <c r="QX149" s="23"/>
      <c r="QY149" s="23"/>
      <c r="QZ149" s="23"/>
      <c r="RA149" s="23"/>
      <c r="RB149" s="23"/>
      <c r="RC149" s="23"/>
      <c r="RD149" s="23"/>
      <c r="RE149" s="23"/>
      <c r="RF149" s="23"/>
      <c r="RG149" s="23"/>
      <c r="RH149" s="23"/>
      <c r="RI149" s="23"/>
      <c r="RJ149" s="23"/>
      <c r="RK149" s="23"/>
      <c r="RL149" s="23"/>
      <c r="RM149" s="23"/>
      <c r="RN149" s="23"/>
      <c r="RO149" s="23"/>
      <c r="RP149" s="23"/>
      <c r="RQ149" s="23"/>
      <c r="RR149" s="23"/>
      <c r="RS149" s="23"/>
      <c r="RT149" s="23"/>
      <c r="RU149" s="23"/>
      <c r="RV149" s="23"/>
      <c r="RW149" s="23"/>
      <c r="RX149" s="23"/>
      <c r="RY149" s="23"/>
      <c r="RZ149" s="23"/>
      <c r="SA149" s="23"/>
      <c r="SB149" s="23"/>
      <c r="SC149" s="23"/>
      <c r="SD149" s="23"/>
      <c r="SE149" s="23"/>
      <c r="SF149" s="23"/>
      <c r="SG149" s="23"/>
      <c r="SH149" s="23"/>
      <c r="SI149" s="23"/>
      <c r="SJ149" s="23"/>
      <c r="SK149" s="23"/>
      <c r="SL149" s="23"/>
      <c r="SM149" s="23"/>
      <c r="SN149" s="23"/>
      <c r="SO149" s="23"/>
      <c r="SP149" s="23"/>
      <c r="SQ149" s="23"/>
      <c r="SR149" s="23"/>
      <c r="SS149" s="23"/>
      <c r="ST149" s="23"/>
      <c r="SU149" s="23"/>
      <c r="SV149" s="23"/>
      <c r="SW149" s="23"/>
      <c r="SX149" s="23"/>
      <c r="SY149" s="23"/>
      <c r="SZ149" s="23"/>
      <c r="TA149" s="23"/>
      <c r="TB149" s="23"/>
      <c r="TC149" s="23"/>
      <c r="TD149" s="23"/>
      <c r="TE149" s="23"/>
      <c r="TF149" s="23"/>
      <c r="TG149" s="23"/>
    </row>
    <row r="150" spans="1:527" s="24" customFormat="1" ht="47.25" hidden="1" customHeight="1" x14ac:dyDescent="0.25">
      <c r="A150" s="83"/>
      <c r="B150" s="110"/>
      <c r="C150" s="110"/>
      <c r="D150" s="123" t="s">
        <v>391</v>
      </c>
      <c r="E150" s="100">
        <f t="shared" si="54"/>
        <v>0</v>
      </c>
      <c r="F150" s="100"/>
      <c r="G150" s="100"/>
      <c r="H150" s="100"/>
      <c r="I150" s="100"/>
      <c r="J150" s="100">
        <f t="shared" si="56"/>
        <v>0</v>
      </c>
      <c r="K150" s="100"/>
      <c r="L150" s="100"/>
      <c r="M150" s="100"/>
      <c r="N150" s="100"/>
      <c r="O150" s="100"/>
      <c r="P150" s="100">
        <f t="shared" si="55"/>
        <v>0</v>
      </c>
      <c r="Q150" s="30"/>
      <c r="R150" s="32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  <c r="LU150" s="30"/>
      <c r="LV150" s="30"/>
      <c r="LW150" s="30"/>
      <c r="LX150" s="30"/>
      <c r="LY150" s="30"/>
      <c r="LZ150" s="30"/>
      <c r="MA150" s="30"/>
      <c r="MB150" s="30"/>
      <c r="MC150" s="30"/>
      <c r="MD150" s="30"/>
      <c r="ME150" s="30"/>
      <c r="MF150" s="30"/>
      <c r="MG150" s="30"/>
      <c r="MH150" s="30"/>
      <c r="MI150" s="30"/>
      <c r="MJ150" s="30"/>
      <c r="MK150" s="30"/>
      <c r="ML150" s="30"/>
      <c r="MM150" s="30"/>
      <c r="MN150" s="30"/>
      <c r="MO150" s="30"/>
      <c r="MP150" s="30"/>
      <c r="MQ150" s="30"/>
      <c r="MR150" s="30"/>
      <c r="MS150" s="30"/>
      <c r="MT150" s="30"/>
      <c r="MU150" s="30"/>
      <c r="MV150" s="30"/>
      <c r="MW150" s="30"/>
      <c r="MX150" s="30"/>
      <c r="MY150" s="30"/>
      <c r="MZ150" s="30"/>
      <c r="NA150" s="30"/>
      <c r="NB150" s="30"/>
      <c r="NC150" s="30"/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0"/>
      <c r="NR150" s="30"/>
      <c r="NS150" s="30"/>
      <c r="NT150" s="30"/>
      <c r="NU150" s="30"/>
      <c r="NV150" s="30"/>
      <c r="NW150" s="30"/>
      <c r="NX150" s="30"/>
      <c r="NY150" s="30"/>
      <c r="NZ150" s="30"/>
      <c r="OA150" s="30"/>
      <c r="OB150" s="30"/>
      <c r="OC150" s="30"/>
      <c r="OD150" s="30"/>
      <c r="OE150" s="30"/>
      <c r="OF150" s="30"/>
      <c r="OG150" s="30"/>
      <c r="OH150" s="30"/>
      <c r="OI150" s="30"/>
      <c r="OJ150" s="30"/>
      <c r="OK150" s="30"/>
      <c r="OL150" s="30"/>
      <c r="OM150" s="30"/>
      <c r="ON150" s="30"/>
      <c r="OO150" s="30"/>
      <c r="OP150" s="30"/>
      <c r="OQ150" s="30"/>
      <c r="OR150" s="30"/>
      <c r="OS150" s="30"/>
      <c r="OT150" s="30"/>
      <c r="OU150" s="30"/>
      <c r="OV150" s="30"/>
      <c r="OW150" s="30"/>
      <c r="OX150" s="30"/>
      <c r="OY150" s="30"/>
      <c r="OZ150" s="30"/>
      <c r="PA150" s="30"/>
      <c r="PB150" s="30"/>
      <c r="PC150" s="30"/>
      <c r="PD150" s="30"/>
      <c r="PE150" s="30"/>
      <c r="PF150" s="30"/>
      <c r="PG150" s="30"/>
      <c r="PH150" s="30"/>
      <c r="PI150" s="30"/>
      <c r="PJ150" s="30"/>
      <c r="PK150" s="30"/>
      <c r="PL150" s="30"/>
      <c r="PM150" s="30"/>
      <c r="PN150" s="30"/>
      <c r="PO150" s="30"/>
      <c r="PP150" s="30"/>
      <c r="PQ150" s="30"/>
      <c r="PR150" s="30"/>
      <c r="PS150" s="30"/>
      <c r="PT150" s="30"/>
      <c r="PU150" s="30"/>
      <c r="PV150" s="30"/>
      <c r="PW150" s="30"/>
      <c r="PX150" s="30"/>
      <c r="PY150" s="30"/>
      <c r="PZ150" s="30"/>
      <c r="QA150" s="30"/>
      <c r="QB150" s="30"/>
      <c r="QC150" s="30"/>
      <c r="QD150" s="30"/>
      <c r="QE150" s="30"/>
      <c r="QF150" s="30"/>
      <c r="QG150" s="30"/>
      <c r="QH150" s="30"/>
      <c r="QI150" s="30"/>
      <c r="QJ150" s="30"/>
      <c r="QK150" s="30"/>
      <c r="QL150" s="30"/>
      <c r="QM150" s="30"/>
      <c r="QN150" s="30"/>
      <c r="QO150" s="30"/>
      <c r="QP150" s="30"/>
      <c r="QQ150" s="30"/>
      <c r="QR150" s="30"/>
      <c r="QS150" s="30"/>
      <c r="QT150" s="30"/>
      <c r="QU150" s="30"/>
      <c r="QV150" s="30"/>
      <c r="QW150" s="30"/>
      <c r="QX150" s="30"/>
      <c r="QY150" s="30"/>
      <c r="QZ150" s="30"/>
      <c r="RA150" s="30"/>
      <c r="RB150" s="30"/>
      <c r="RC150" s="30"/>
      <c r="RD150" s="30"/>
      <c r="RE150" s="30"/>
      <c r="RF150" s="30"/>
      <c r="RG150" s="30"/>
      <c r="RH150" s="30"/>
      <c r="RI150" s="30"/>
      <c r="RJ150" s="30"/>
      <c r="RK150" s="30"/>
      <c r="RL150" s="30"/>
      <c r="RM150" s="30"/>
      <c r="RN150" s="30"/>
      <c r="RO150" s="30"/>
      <c r="RP150" s="30"/>
      <c r="RQ150" s="30"/>
      <c r="RR150" s="30"/>
      <c r="RS150" s="30"/>
      <c r="RT150" s="30"/>
      <c r="RU150" s="30"/>
      <c r="RV150" s="30"/>
      <c r="RW150" s="30"/>
      <c r="RX150" s="30"/>
      <c r="RY150" s="30"/>
      <c r="RZ150" s="30"/>
      <c r="SA150" s="30"/>
      <c r="SB150" s="30"/>
      <c r="SC150" s="30"/>
      <c r="SD150" s="30"/>
      <c r="SE150" s="30"/>
      <c r="SF150" s="30"/>
      <c r="SG150" s="30"/>
      <c r="SH150" s="30"/>
      <c r="SI150" s="30"/>
      <c r="SJ150" s="30"/>
      <c r="SK150" s="30"/>
      <c r="SL150" s="30"/>
      <c r="SM150" s="30"/>
      <c r="SN150" s="30"/>
      <c r="SO150" s="30"/>
      <c r="SP150" s="30"/>
      <c r="SQ150" s="30"/>
      <c r="SR150" s="30"/>
      <c r="SS150" s="30"/>
      <c r="ST150" s="30"/>
      <c r="SU150" s="30"/>
      <c r="SV150" s="30"/>
      <c r="SW150" s="30"/>
      <c r="SX150" s="30"/>
      <c r="SY150" s="30"/>
      <c r="SZ150" s="30"/>
      <c r="TA150" s="30"/>
      <c r="TB150" s="30"/>
      <c r="TC150" s="30"/>
      <c r="TD150" s="30"/>
      <c r="TE150" s="30"/>
      <c r="TF150" s="30"/>
      <c r="TG150" s="30"/>
    </row>
    <row r="151" spans="1:527" s="24" customFormat="1" ht="63" x14ac:dyDescent="0.25">
      <c r="A151" s="83"/>
      <c r="B151" s="110"/>
      <c r="C151" s="110"/>
      <c r="D151" s="123" t="s">
        <v>392</v>
      </c>
      <c r="E151" s="100">
        <f t="shared" si="54"/>
        <v>11403700</v>
      </c>
      <c r="F151" s="100">
        <v>11403700</v>
      </c>
      <c r="G151" s="113"/>
      <c r="H151" s="113"/>
      <c r="I151" s="113"/>
      <c r="J151" s="100">
        <f t="shared" si="56"/>
        <v>0</v>
      </c>
      <c r="K151" s="100"/>
      <c r="L151" s="100"/>
      <c r="M151" s="100"/>
      <c r="N151" s="100"/>
      <c r="O151" s="100"/>
      <c r="P151" s="100">
        <f t="shared" si="55"/>
        <v>11403700</v>
      </c>
      <c r="Q151" s="30"/>
      <c r="R151" s="32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/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30"/>
      <c r="MW151" s="30"/>
      <c r="MX151" s="30"/>
      <c r="MY151" s="30"/>
      <c r="MZ151" s="30"/>
      <c r="NA151" s="30"/>
      <c r="NB151" s="30"/>
      <c r="NC151" s="30"/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0"/>
      <c r="NR151" s="30"/>
      <c r="NS151" s="30"/>
      <c r="NT151" s="30"/>
      <c r="NU151" s="30"/>
      <c r="NV151" s="30"/>
      <c r="NW151" s="30"/>
      <c r="NX151" s="30"/>
      <c r="NY151" s="30"/>
      <c r="NZ151" s="30"/>
      <c r="OA151" s="30"/>
      <c r="OB151" s="30"/>
      <c r="OC151" s="30"/>
      <c r="OD151" s="30"/>
      <c r="OE151" s="30"/>
      <c r="OF151" s="30"/>
      <c r="OG151" s="30"/>
      <c r="OH151" s="30"/>
      <c r="OI151" s="30"/>
      <c r="OJ151" s="30"/>
      <c r="OK151" s="30"/>
      <c r="OL151" s="30"/>
      <c r="OM151" s="30"/>
      <c r="ON151" s="30"/>
      <c r="OO151" s="30"/>
      <c r="OP151" s="30"/>
      <c r="OQ151" s="30"/>
      <c r="OR151" s="30"/>
      <c r="OS151" s="30"/>
      <c r="OT151" s="30"/>
      <c r="OU151" s="30"/>
      <c r="OV151" s="30"/>
      <c r="OW151" s="30"/>
      <c r="OX151" s="30"/>
      <c r="OY151" s="30"/>
      <c r="OZ151" s="30"/>
      <c r="PA151" s="30"/>
      <c r="PB151" s="30"/>
      <c r="PC151" s="30"/>
      <c r="PD151" s="30"/>
      <c r="PE151" s="30"/>
      <c r="PF151" s="30"/>
      <c r="PG151" s="30"/>
      <c r="PH151" s="30"/>
      <c r="PI151" s="30"/>
      <c r="PJ151" s="30"/>
      <c r="PK151" s="30"/>
      <c r="PL151" s="30"/>
      <c r="PM151" s="30"/>
      <c r="PN151" s="30"/>
      <c r="PO151" s="30"/>
      <c r="PP151" s="30"/>
      <c r="PQ151" s="30"/>
      <c r="PR151" s="30"/>
      <c r="PS151" s="30"/>
      <c r="PT151" s="30"/>
      <c r="PU151" s="30"/>
      <c r="PV151" s="30"/>
      <c r="PW151" s="30"/>
      <c r="PX151" s="30"/>
      <c r="PY151" s="30"/>
      <c r="PZ151" s="30"/>
      <c r="QA151" s="30"/>
      <c r="QB151" s="30"/>
      <c r="QC151" s="30"/>
      <c r="QD151" s="30"/>
      <c r="QE151" s="30"/>
      <c r="QF151" s="30"/>
      <c r="QG151" s="30"/>
      <c r="QH151" s="30"/>
      <c r="QI151" s="30"/>
      <c r="QJ151" s="30"/>
      <c r="QK151" s="30"/>
      <c r="QL151" s="30"/>
      <c r="QM151" s="30"/>
      <c r="QN151" s="30"/>
      <c r="QO151" s="30"/>
      <c r="QP151" s="30"/>
      <c r="QQ151" s="30"/>
      <c r="QR151" s="30"/>
      <c r="QS151" s="30"/>
      <c r="QT151" s="30"/>
      <c r="QU151" s="30"/>
      <c r="QV151" s="30"/>
      <c r="QW151" s="30"/>
      <c r="QX151" s="30"/>
      <c r="QY151" s="30"/>
      <c r="QZ151" s="30"/>
      <c r="RA151" s="30"/>
      <c r="RB151" s="30"/>
      <c r="RC151" s="30"/>
      <c r="RD151" s="30"/>
      <c r="RE151" s="30"/>
      <c r="RF151" s="30"/>
      <c r="RG151" s="30"/>
      <c r="RH151" s="30"/>
      <c r="RI151" s="30"/>
      <c r="RJ151" s="30"/>
      <c r="RK151" s="30"/>
      <c r="RL151" s="30"/>
      <c r="RM151" s="30"/>
      <c r="RN151" s="30"/>
      <c r="RO151" s="30"/>
      <c r="RP151" s="30"/>
      <c r="RQ151" s="30"/>
      <c r="RR151" s="30"/>
      <c r="RS151" s="30"/>
      <c r="RT151" s="30"/>
      <c r="RU151" s="30"/>
      <c r="RV151" s="30"/>
      <c r="RW151" s="30"/>
      <c r="RX151" s="30"/>
      <c r="RY151" s="30"/>
      <c r="RZ151" s="30"/>
      <c r="SA151" s="30"/>
      <c r="SB151" s="30"/>
      <c r="SC151" s="30"/>
      <c r="SD151" s="30"/>
      <c r="SE151" s="30"/>
      <c r="SF151" s="30"/>
      <c r="SG151" s="30"/>
      <c r="SH151" s="30"/>
      <c r="SI151" s="30"/>
      <c r="SJ151" s="30"/>
      <c r="SK151" s="30"/>
      <c r="SL151" s="30"/>
      <c r="SM151" s="30"/>
      <c r="SN151" s="30"/>
      <c r="SO151" s="30"/>
      <c r="SP151" s="30"/>
      <c r="SQ151" s="30"/>
      <c r="SR151" s="30"/>
      <c r="SS151" s="30"/>
      <c r="ST151" s="30"/>
      <c r="SU151" s="30"/>
      <c r="SV151" s="30"/>
      <c r="SW151" s="30"/>
      <c r="SX151" s="30"/>
      <c r="SY151" s="30"/>
      <c r="SZ151" s="30"/>
      <c r="TA151" s="30"/>
      <c r="TB151" s="30"/>
      <c r="TC151" s="30"/>
      <c r="TD151" s="30"/>
      <c r="TE151" s="30"/>
      <c r="TF151" s="30"/>
      <c r="TG151" s="30"/>
    </row>
    <row r="152" spans="1:527" s="22" customFormat="1" ht="30" customHeight="1" x14ac:dyDescent="0.25">
      <c r="A152" s="59" t="s">
        <v>325</v>
      </c>
      <c r="B152" s="42" t="str">
        <f>'дод 7'!A98</f>
        <v>2151</v>
      </c>
      <c r="C152" s="42" t="str">
        <f>'дод 7'!B98</f>
        <v>0763</v>
      </c>
      <c r="D152" s="60" t="str">
        <f>'дод 7'!C98</f>
        <v>Забезпечення діяльності інших закладів у сфері охорони здоров’я</v>
      </c>
      <c r="E152" s="98">
        <f t="shared" si="54"/>
        <v>3075784</v>
      </c>
      <c r="F152" s="98">
        <f>3069484+6300</f>
        <v>3075784</v>
      </c>
      <c r="G152" s="114">
        <v>2387600</v>
      </c>
      <c r="H152" s="114">
        <f>68884+6300</f>
        <v>75184</v>
      </c>
      <c r="I152" s="112"/>
      <c r="J152" s="98">
        <f t="shared" si="56"/>
        <v>0</v>
      </c>
      <c r="K152" s="98"/>
      <c r="L152" s="98"/>
      <c r="M152" s="98"/>
      <c r="N152" s="98"/>
      <c r="O152" s="98"/>
      <c r="P152" s="98">
        <f t="shared" si="55"/>
        <v>3075784</v>
      </c>
      <c r="Q152" s="23"/>
      <c r="R152" s="32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  <c r="TF152" s="23"/>
      <c r="TG152" s="23"/>
    </row>
    <row r="153" spans="1:527" s="22" customFormat="1" ht="24.75" customHeight="1" x14ac:dyDescent="0.25">
      <c r="A153" s="59" t="s">
        <v>326</v>
      </c>
      <c r="B153" s="42" t="str">
        <f>'дод 7'!A99</f>
        <v>2152</v>
      </c>
      <c r="C153" s="42" t="str">
        <f>'дод 7'!B99</f>
        <v>0763</v>
      </c>
      <c r="D153" s="36" t="str">
        <f>'дод 7'!C99</f>
        <v>Інші програми та заходи у сфері охорони здоров’я</v>
      </c>
      <c r="E153" s="98">
        <f>F153+I153</f>
        <v>20438800</v>
      </c>
      <c r="F153" s="98">
        <v>20438800</v>
      </c>
      <c r="G153" s="98"/>
      <c r="H153" s="98"/>
      <c r="I153" s="98"/>
      <c r="J153" s="98">
        <f t="shared" si="56"/>
        <v>39891354</v>
      </c>
      <c r="K153" s="98">
        <f>23031354+13000000+3860000</f>
        <v>39891354</v>
      </c>
      <c r="L153" s="98"/>
      <c r="M153" s="98"/>
      <c r="N153" s="98"/>
      <c r="O153" s="98">
        <f>23031354+13000000+3860000</f>
        <v>39891354</v>
      </c>
      <c r="P153" s="98">
        <f t="shared" si="55"/>
        <v>60330154</v>
      </c>
      <c r="Q153" s="23"/>
      <c r="R153" s="32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</row>
    <row r="154" spans="1:527" s="22" customFormat="1" ht="24.75" customHeight="1" x14ac:dyDescent="0.25">
      <c r="A154" s="59" t="s">
        <v>416</v>
      </c>
      <c r="B154" s="42">
        <v>7322</v>
      </c>
      <c r="C154" s="102" t="s">
        <v>111</v>
      </c>
      <c r="D154" s="6" t="s">
        <v>548</v>
      </c>
      <c r="E154" s="98">
        <f>F154+I154</f>
        <v>0</v>
      </c>
      <c r="F154" s="98"/>
      <c r="G154" s="98"/>
      <c r="H154" s="98"/>
      <c r="I154" s="98"/>
      <c r="J154" s="98">
        <f t="shared" si="56"/>
        <v>36766572</v>
      </c>
      <c r="K154" s="98">
        <f>31128372-45000+3893200+259400+1530600</f>
        <v>36766572</v>
      </c>
      <c r="L154" s="98"/>
      <c r="M154" s="98"/>
      <c r="N154" s="98"/>
      <c r="O154" s="98">
        <f>31128372-45000+3893200+259400+1530600</f>
        <v>36766572</v>
      </c>
      <c r="P154" s="98">
        <f t="shared" si="55"/>
        <v>36766572</v>
      </c>
      <c r="Q154" s="23"/>
      <c r="R154" s="32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  <c r="TF154" s="23"/>
      <c r="TG154" s="23"/>
    </row>
    <row r="155" spans="1:527" s="24" customFormat="1" ht="78.75" x14ac:dyDescent="0.25">
      <c r="A155" s="83"/>
      <c r="B155" s="87"/>
      <c r="C155" s="104"/>
      <c r="D155" s="80" t="s">
        <v>620</v>
      </c>
      <c r="E155" s="100">
        <f>F155+I155</f>
        <v>0</v>
      </c>
      <c r="F155" s="100"/>
      <c r="G155" s="100"/>
      <c r="H155" s="100"/>
      <c r="I155" s="100"/>
      <c r="J155" s="100">
        <f t="shared" si="56"/>
        <v>1530600</v>
      </c>
      <c r="K155" s="100">
        <v>1530600</v>
      </c>
      <c r="L155" s="100"/>
      <c r="M155" s="100"/>
      <c r="N155" s="100"/>
      <c r="O155" s="100">
        <v>1530600</v>
      </c>
      <c r="P155" s="100">
        <f t="shared" si="55"/>
        <v>1530600</v>
      </c>
      <c r="Q155" s="30"/>
      <c r="R155" s="33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  <c r="IW155" s="30"/>
      <c r="IX155" s="30"/>
      <c r="IY155" s="30"/>
      <c r="IZ155" s="30"/>
      <c r="JA155" s="30"/>
      <c r="JB155" s="30"/>
      <c r="JC155" s="30"/>
      <c r="JD155" s="30"/>
      <c r="JE155" s="30"/>
      <c r="JF155" s="30"/>
      <c r="JG155" s="30"/>
      <c r="JH155" s="30"/>
      <c r="JI155" s="30"/>
      <c r="JJ155" s="30"/>
      <c r="JK155" s="30"/>
      <c r="JL155" s="30"/>
      <c r="JM155" s="30"/>
      <c r="JN155" s="30"/>
      <c r="JO155" s="30"/>
      <c r="JP155" s="30"/>
      <c r="JQ155" s="30"/>
      <c r="JR155" s="30"/>
      <c r="JS155" s="30"/>
      <c r="JT155" s="30"/>
      <c r="JU155" s="30"/>
      <c r="JV155" s="30"/>
      <c r="JW155" s="30"/>
      <c r="JX155" s="30"/>
      <c r="JY155" s="30"/>
      <c r="JZ155" s="30"/>
      <c r="KA155" s="30"/>
      <c r="KB155" s="30"/>
      <c r="KC155" s="30"/>
      <c r="KD155" s="30"/>
      <c r="KE155" s="30"/>
      <c r="KF155" s="30"/>
      <c r="KG155" s="30"/>
      <c r="KH155" s="30"/>
      <c r="KI155" s="30"/>
      <c r="KJ155" s="30"/>
      <c r="KK155" s="30"/>
      <c r="KL155" s="30"/>
      <c r="KM155" s="30"/>
      <c r="KN155" s="30"/>
      <c r="KO155" s="30"/>
      <c r="KP155" s="30"/>
      <c r="KQ155" s="30"/>
      <c r="KR155" s="30"/>
      <c r="KS155" s="30"/>
      <c r="KT155" s="30"/>
      <c r="KU155" s="30"/>
      <c r="KV155" s="30"/>
      <c r="KW155" s="30"/>
      <c r="KX155" s="30"/>
      <c r="KY155" s="30"/>
      <c r="KZ155" s="30"/>
      <c r="LA155" s="30"/>
      <c r="LB155" s="30"/>
      <c r="LC155" s="30"/>
      <c r="LD155" s="30"/>
      <c r="LE155" s="30"/>
      <c r="LF155" s="30"/>
      <c r="LG155" s="30"/>
      <c r="LH155" s="30"/>
      <c r="LI155" s="30"/>
      <c r="LJ155" s="30"/>
      <c r="LK155" s="30"/>
      <c r="LL155" s="30"/>
      <c r="LM155" s="30"/>
      <c r="LN155" s="30"/>
      <c r="LO155" s="30"/>
      <c r="LP155" s="30"/>
      <c r="LQ155" s="30"/>
      <c r="LR155" s="30"/>
      <c r="LS155" s="30"/>
      <c r="LT155" s="30"/>
      <c r="LU155" s="30"/>
      <c r="LV155" s="30"/>
      <c r="LW155" s="30"/>
      <c r="LX155" s="30"/>
      <c r="LY155" s="30"/>
      <c r="LZ155" s="30"/>
      <c r="MA155" s="30"/>
      <c r="MB155" s="30"/>
      <c r="MC155" s="30"/>
      <c r="MD155" s="30"/>
      <c r="ME155" s="30"/>
      <c r="MF155" s="30"/>
      <c r="MG155" s="30"/>
      <c r="MH155" s="30"/>
      <c r="MI155" s="30"/>
      <c r="MJ155" s="30"/>
      <c r="MK155" s="30"/>
      <c r="ML155" s="30"/>
      <c r="MM155" s="30"/>
      <c r="MN155" s="30"/>
      <c r="MO155" s="30"/>
      <c r="MP155" s="30"/>
      <c r="MQ155" s="30"/>
      <c r="MR155" s="30"/>
      <c r="MS155" s="30"/>
      <c r="MT155" s="30"/>
      <c r="MU155" s="30"/>
      <c r="MV155" s="30"/>
      <c r="MW155" s="30"/>
      <c r="MX155" s="30"/>
      <c r="MY155" s="30"/>
      <c r="MZ155" s="30"/>
      <c r="NA155" s="30"/>
      <c r="NB155" s="30"/>
      <c r="NC155" s="30"/>
      <c r="ND155" s="30"/>
      <c r="NE155" s="30"/>
      <c r="NF155" s="30"/>
      <c r="NG155" s="30"/>
      <c r="NH155" s="30"/>
      <c r="NI155" s="30"/>
      <c r="NJ155" s="30"/>
      <c r="NK155" s="30"/>
      <c r="NL155" s="30"/>
      <c r="NM155" s="30"/>
      <c r="NN155" s="30"/>
      <c r="NO155" s="30"/>
      <c r="NP155" s="30"/>
      <c r="NQ155" s="30"/>
      <c r="NR155" s="30"/>
      <c r="NS155" s="30"/>
      <c r="NT155" s="30"/>
      <c r="NU155" s="30"/>
      <c r="NV155" s="30"/>
      <c r="NW155" s="30"/>
      <c r="NX155" s="30"/>
      <c r="NY155" s="30"/>
      <c r="NZ155" s="30"/>
      <c r="OA155" s="30"/>
      <c r="OB155" s="30"/>
      <c r="OC155" s="30"/>
      <c r="OD155" s="30"/>
      <c r="OE155" s="30"/>
      <c r="OF155" s="30"/>
      <c r="OG155" s="30"/>
      <c r="OH155" s="30"/>
      <c r="OI155" s="30"/>
      <c r="OJ155" s="30"/>
      <c r="OK155" s="30"/>
      <c r="OL155" s="30"/>
      <c r="OM155" s="30"/>
      <c r="ON155" s="30"/>
      <c r="OO155" s="30"/>
      <c r="OP155" s="30"/>
      <c r="OQ155" s="30"/>
      <c r="OR155" s="30"/>
      <c r="OS155" s="30"/>
      <c r="OT155" s="30"/>
      <c r="OU155" s="30"/>
      <c r="OV155" s="30"/>
      <c r="OW155" s="30"/>
      <c r="OX155" s="30"/>
      <c r="OY155" s="30"/>
      <c r="OZ155" s="30"/>
      <c r="PA155" s="30"/>
      <c r="PB155" s="30"/>
      <c r="PC155" s="30"/>
      <c r="PD155" s="30"/>
      <c r="PE155" s="30"/>
      <c r="PF155" s="30"/>
      <c r="PG155" s="30"/>
      <c r="PH155" s="30"/>
      <c r="PI155" s="30"/>
      <c r="PJ155" s="30"/>
      <c r="PK155" s="30"/>
      <c r="PL155" s="30"/>
      <c r="PM155" s="30"/>
      <c r="PN155" s="30"/>
      <c r="PO155" s="30"/>
      <c r="PP155" s="30"/>
      <c r="PQ155" s="30"/>
      <c r="PR155" s="30"/>
      <c r="PS155" s="30"/>
      <c r="PT155" s="30"/>
      <c r="PU155" s="30"/>
      <c r="PV155" s="30"/>
      <c r="PW155" s="30"/>
      <c r="PX155" s="30"/>
      <c r="PY155" s="30"/>
      <c r="PZ155" s="30"/>
      <c r="QA155" s="30"/>
      <c r="QB155" s="30"/>
      <c r="QC155" s="30"/>
      <c r="QD155" s="30"/>
      <c r="QE155" s="30"/>
      <c r="QF155" s="30"/>
      <c r="QG155" s="30"/>
      <c r="QH155" s="30"/>
      <c r="QI155" s="30"/>
      <c r="QJ155" s="30"/>
      <c r="QK155" s="30"/>
      <c r="QL155" s="30"/>
      <c r="QM155" s="30"/>
      <c r="QN155" s="30"/>
      <c r="QO155" s="30"/>
      <c r="QP155" s="30"/>
      <c r="QQ155" s="30"/>
      <c r="QR155" s="30"/>
      <c r="QS155" s="30"/>
      <c r="QT155" s="30"/>
      <c r="QU155" s="30"/>
      <c r="QV155" s="30"/>
      <c r="QW155" s="30"/>
      <c r="QX155" s="30"/>
      <c r="QY155" s="30"/>
      <c r="QZ155" s="30"/>
      <c r="RA155" s="30"/>
      <c r="RB155" s="30"/>
      <c r="RC155" s="30"/>
      <c r="RD155" s="30"/>
      <c r="RE155" s="30"/>
      <c r="RF155" s="30"/>
      <c r="RG155" s="30"/>
      <c r="RH155" s="30"/>
      <c r="RI155" s="30"/>
      <c r="RJ155" s="30"/>
      <c r="RK155" s="30"/>
      <c r="RL155" s="30"/>
      <c r="RM155" s="30"/>
      <c r="RN155" s="30"/>
      <c r="RO155" s="30"/>
      <c r="RP155" s="30"/>
      <c r="RQ155" s="30"/>
      <c r="RR155" s="30"/>
      <c r="RS155" s="30"/>
      <c r="RT155" s="30"/>
      <c r="RU155" s="30"/>
      <c r="RV155" s="30"/>
      <c r="RW155" s="30"/>
      <c r="RX155" s="30"/>
      <c r="RY155" s="30"/>
      <c r="RZ155" s="30"/>
      <c r="SA155" s="30"/>
      <c r="SB155" s="30"/>
      <c r="SC155" s="30"/>
      <c r="SD155" s="30"/>
      <c r="SE155" s="30"/>
      <c r="SF155" s="30"/>
      <c r="SG155" s="30"/>
      <c r="SH155" s="30"/>
      <c r="SI155" s="30"/>
      <c r="SJ155" s="30"/>
      <c r="SK155" s="30"/>
      <c r="SL155" s="30"/>
      <c r="SM155" s="30"/>
      <c r="SN155" s="30"/>
      <c r="SO155" s="30"/>
      <c r="SP155" s="30"/>
      <c r="SQ155" s="30"/>
      <c r="SR155" s="30"/>
      <c r="SS155" s="30"/>
      <c r="ST155" s="30"/>
      <c r="SU155" s="30"/>
      <c r="SV155" s="30"/>
      <c r="SW155" s="30"/>
      <c r="SX155" s="30"/>
      <c r="SY155" s="30"/>
      <c r="SZ155" s="30"/>
      <c r="TA155" s="30"/>
      <c r="TB155" s="30"/>
      <c r="TC155" s="30"/>
      <c r="TD155" s="30"/>
      <c r="TE155" s="30"/>
      <c r="TF155" s="30"/>
      <c r="TG155" s="30"/>
    </row>
    <row r="156" spans="1:527" s="22" customFormat="1" ht="47.25" x14ac:dyDescent="0.25">
      <c r="A156" s="59" t="s">
        <v>373</v>
      </c>
      <c r="B156" s="42">
        <f>'дод 7'!A190</f>
        <v>7361</v>
      </c>
      <c r="C156" s="42" t="str">
        <f>'дод 7'!B190</f>
        <v>0490</v>
      </c>
      <c r="D156" s="36" t="str">
        <f>'дод 7'!C190</f>
        <v>Співфінансування інвестиційних проектів, що реалізуються за рахунок коштів державного фонду регіонального розвитку</v>
      </c>
      <c r="E156" s="98">
        <f t="shared" si="54"/>
        <v>0</v>
      </c>
      <c r="F156" s="98"/>
      <c r="G156" s="98"/>
      <c r="H156" s="98"/>
      <c r="I156" s="98"/>
      <c r="J156" s="98">
        <f t="shared" si="56"/>
        <v>5678000</v>
      </c>
      <c r="K156" s="98">
        <f>4289000+1389000</f>
        <v>5678000</v>
      </c>
      <c r="L156" s="98"/>
      <c r="M156" s="98"/>
      <c r="N156" s="98"/>
      <c r="O156" s="98">
        <f>4289000+1389000</f>
        <v>5678000</v>
      </c>
      <c r="P156" s="98">
        <f t="shared" si="55"/>
        <v>5678000</v>
      </c>
      <c r="Q156" s="23"/>
      <c r="R156" s="32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  <c r="TF156" s="23"/>
      <c r="TG156" s="23"/>
    </row>
    <row r="157" spans="1:527" s="22" customFormat="1" ht="47.25" x14ac:dyDescent="0.25">
      <c r="A157" s="59" t="s">
        <v>423</v>
      </c>
      <c r="B157" s="42">
        <v>7363</v>
      </c>
      <c r="C157" s="102" t="s">
        <v>82</v>
      </c>
      <c r="D157" s="60" t="s">
        <v>398</v>
      </c>
      <c r="E157" s="98">
        <f t="shared" si="54"/>
        <v>0</v>
      </c>
      <c r="F157" s="98"/>
      <c r="G157" s="98"/>
      <c r="H157" s="98"/>
      <c r="I157" s="98"/>
      <c r="J157" s="98">
        <f t="shared" si="56"/>
        <v>4580860</v>
      </c>
      <c r="K157" s="98">
        <f>156000+1695000+96300+1000000+1789560-156000</f>
        <v>4580860</v>
      </c>
      <c r="L157" s="98"/>
      <c r="M157" s="98"/>
      <c r="N157" s="98"/>
      <c r="O157" s="98">
        <f>156000+1695000+96300+1000000+1789560-156000</f>
        <v>4580860</v>
      </c>
      <c r="P157" s="98">
        <f t="shared" si="55"/>
        <v>4580860</v>
      </c>
      <c r="Q157" s="23"/>
      <c r="R157" s="32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  <c r="OX157" s="23"/>
      <c r="OY157" s="23"/>
      <c r="OZ157" s="23"/>
      <c r="PA157" s="23"/>
      <c r="PB157" s="23"/>
      <c r="PC157" s="23"/>
      <c r="PD157" s="23"/>
      <c r="PE157" s="23"/>
      <c r="PF157" s="23"/>
      <c r="PG157" s="23"/>
      <c r="PH157" s="23"/>
      <c r="PI157" s="23"/>
      <c r="PJ157" s="23"/>
      <c r="PK157" s="23"/>
      <c r="PL157" s="23"/>
      <c r="PM157" s="23"/>
      <c r="PN157" s="23"/>
      <c r="PO157" s="23"/>
      <c r="PP157" s="23"/>
      <c r="PQ157" s="23"/>
      <c r="PR157" s="23"/>
      <c r="PS157" s="23"/>
      <c r="PT157" s="23"/>
      <c r="PU157" s="23"/>
      <c r="PV157" s="23"/>
      <c r="PW157" s="23"/>
      <c r="PX157" s="23"/>
      <c r="PY157" s="23"/>
      <c r="PZ157" s="23"/>
      <c r="QA157" s="23"/>
      <c r="QB157" s="23"/>
      <c r="QC157" s="23"/>
      <c r="QD157" s="23"/>
      <c r="QE157" s="23"/>
      <c r="QF157" s="23"/>
      <c r="QG157" s="23"/>
      <c r="QH157" s="23"/>
      <c r="QI157" s="23"/>
      <c r="QJ157" s="23"/>
      <c r="QK157" s="23"/>
      <c r="QL157" s="23"/>
      <c r="QM157" s="23"/>
      <c r="QN157" s="23"/>
      <c r="QO157" s="23"/>
      <c r="QP157" s="23"/>
      <c r="QQ157" s="23"/>
      <c r="QR157" s="23"/>
      <c r="QS157" s="23"/>
      <c r="QT157" s="23"/>
      <c r="QU157" s="23"/>
      <c r="QV157" s="23"/>
      <c r="QW157" s="23"/>
      <c r="QX157" s="23"/>
      <c r="QY157" s="23"/>
      <c r="QZ157" s="23"/>
      <c r="RA157" s="23"/>
      <c r="RB157" s="23"/>
      <c r="RC157" s="23"/>
      <c r="RD157" s="23"/>
      <c r="RE157" s="23"/>
      <c r="RF157" s="23"/>
      <c r="RG157" s="23"/>
      <c r="RH157" s="23"/>
      <c r="RI157" s="23"/>
      <c r="RJ157" s="23"/>
      <c r="RK157" s="23"/>
      <c r="RL157" s="23"/>
      <c r="RM157" s="23"/>
      <c r="RN157" s="23"/>
      <c r="RO157" s="23"/>
      <c r="RP157" s="23"/>
      <c r="RQ157" s="23"/>
      <c r="RR157" s="23"/>
      <c r="RS157" s="23"/>
      <c r="RT157" s="23"/>
      <c r="RU157" s="23"/>
      <c r="RV157" s="23"/>
      <c r="RW157" s="23"/>
      <c r="RX157" s="23"/>
      <c r="RY157" s="23"/>
      <c r="RZ157" s="23"/>
      <c r="SA157" s="23"/>
      <c r="SB157" s="23"/>
      <c r="SC157" s="23"/>
      <c r="SD157" s="23"/>
      <c r="SE157" s="23"/>
      <c r="SF157" s="23"/>
      <c r="SG157" s="23"/>
      <c r="SH157" s="23"/>
      <c r="SI157" s="23"/>
      <c r="SJ157" s="23"/>
      <c r="SK157" s="23"/>
      <c r="SL157" s="23"/>
      <c r="SM157" s="23"/>
      <c r="SN157" s="23"/>
      <c r="SO157" s="23"/>
      <c r="SP157" s="23"/>
      <c r="SQ157" s="23"/>
      <c r="SR157" s="23"/>
      <c r="SS157" s="23"/>
      <c r="ST157" s="23"/>
      <c r="SU157" s="23"/>
      <c r="SV157" s="23"/>
      <c r="SW157" s="23"/>
      <c r="SX157" s="23"/>
      <c r="SY157" s="23"/>
      <c r="SZ157" s="23"/>
      <c r="TA157" s="23"/>
      <c r="TB157" s="23"/>
      <c r="TC157" s="23"/>
      <c r="TD157" s="23"/>
      <c r="TE157" s="23"/>
      <c r="TF157" s="23"/>
      <c r="TG157" s="23"/>
    </row>
    <row r="158" spans="1:527" s="22" customFormat="1" ht="47.25" x14ac:dyDescent="0.25">
      <c r="A158" s="59"/>
      <c r="B158" s="42"/>
      <c r="C158" s="42"/>
      <c r="D158" s="86" t="s">
        <v>388</v>
      </c>
      <c r="E158" s="100">
        <f t="shared" si="54"/>
        <v>0</v>
      </c>
      <c r="F158" s="100"/>
      <c r="G158" s="100"/>
      <c r="H158" s="100"/>
      <c r="I158" s="100"/>
      <c r="J158" s="100">
        <f t="shared" si="56"/>
        <v>4580860</v>
      </c>
      <c r="K158" s="100">
        <f>156000+1695000+2729860</f>
        <v>4580860</v>
      </c>
      <c r="L158" s="100"/>
      <c r="M158" s="100"/>
      <c r="N158" s="100"/>
      <c r="O158" s="100">
        <f>156000+1695000+2729860</f>
        <v>4580860</v>
      </c>
      <c r="P158" s="100">
        <f t="shared" si="55"/>
        <v>4580860</v>
      </c>
      <c r="Q158" s="23"/>
      <c r="R158" s="32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  <c r="TF158" s="23"/>
      <c r="TG158" s="23"/>
    </row>
    <row r="159" spans="1:527" s="22" customFormat="1" ht="18.75" customHeight="1" x14ac:dyDescent="0.25">
      <c r="A159" s="59" t="s">
        <v>173</v>
      </c>
      <c r="B159" s="92" t="str">
        <f>'дод 7'!A218</f>
        <v>7640</v>
      </c>
      <c r="C159" s="92" t="str">
        <f>'дод 7'!B218</f>
        <v>0470</v>
      </c>
      <c r="D159" s="60" t="s">
        <v>418</v>
      </c>
      <c r="E159" s="98">
        <f t="shared" si="54"/>
        <v>106500</v>
      </c>
      <c r="F159" s="98">
        <f>121500-15000</f>
        <v>106500</v>
      </c>
      <c r="G159" s="98"/>
      <c r="H159" s="98"/>
      <c r="I159" s="98"/>
      <c r="J159" s="98">
        <f t="shared" si="56"/>
        <v>7080821.1199999992</v>
      </c>
      <c r="K159" s="98">
        <f>10527570.12-3446749</f>
        <v>7080821.1199999992</v>
      </c>
      <c r="L159" s="98"/>
      <c r="M159" s="98"/>
      <c r="N159" s="98"/>
      <c r="O159" s="98">
        <f>10527570.12-3446749</f>
        <v>7080821.1199999992</v>
      </c>
      <c r="P159" s="98">
        <f t="shared" si="55"/>
        <v>7187321.1199999992</v>
      </c>
      <c r="Q159" s="23"/>
      <c r="R159" s="32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  <c r="TF159" s="23"/>
      <c r="TG159" s="23"/>
    </row>
    <row r="160" spans="1:527" s="24" customFormat="1" ht="15" customHeight="1" x14ac:dyDescent="0.25">
      <c r="A160" s="83"/>
      <c r="B160" s="110"/>
      <c r="C160" s="110"/>
      <c r="D160" s="84" t="s">
        <v>419</v>
      </c>
      <c r="E160" s="100">
        <f t="shared" si="54"/>
        <v>0</v>
      </c>
      <c r="F160" s="100"/>
      <c r="G160" s="100"/>
      <c r="H160" s="100"/>
      <c r="I160" s="100"/>
      <c r="J160" s="100">
        <f t="shared" si="56"/>
        <v>4662070.12</v>
      </c>
      <c r="K160" s="100">
        <v>4662070.12</v>
      </c>
      <c r="L160" s="100"/>
      <c r="M160" s="100"/>
      <c r="N160" s="100"/>
      <c r="O160" s="100">
        <v>4662070.12</v>
      </c>
      <c r="P160" s="100">
        <f t="shared" si="55"/>
        <v>4662070.12</v>
      </c>
      <c r="Q160" s="30"/>
      <c r="R160" s="32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30"/>
      <c r="KG160" s="30"/>
      <c r="KH160" s="30"/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/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  <c r="LU160" s="30"/>
      <c r="LV160" s="30"/>
      <c r="LW160" s="30"/>
      <c r="LX160" s="30"/>
      <c r="LY160" s="30"/>
      <c r="LZ160" s="30"/>
      <c r="MA160" s="30"/>
      <c r="MB160" s="30"/>
      <c r="MC160" s="30"/>
      <c r="MD160" s="30"/>
      <c r="ME160" s="30"/>
      <c r="MF160" s="30"/>
      <c r="MG160" s="30"/>
      <c r="MH160" s="30"/>
      <c r="MI160" s="30"/>
      <c r="MJ160" s="30"/>
      <c r="MK160" s="30"/>
      <c r="ML160" s="30"/>
      <c r="MM160" s="30"/>
      <c r="MN160" s="30"/>
      <c r="MO160" s="30"/>
      <c r="MP160" s="30"/>
      <c r="MQ160" s="30"/>
      <c r="MR160" s="30"/>
      <c r="MS160" s="30"/>
      <c r="MT160" s="30"/>
      <c r="MU160" s="30"/>
      <c r="MV160" s="30"/>
      <c r="MW160" s="30"/>
      <c r="MX160" s="30"/>
      <c r="MY160" s="30"/>
      <c r="MZ160" s="30"/>
      <c r="NA160" s="30"/>
      <c r="NB160" s="30"/>
      <c r="NC160" s="30"/>
      <c r="ND160" s="30"/>
      <c r="NE160" s="30"/>
      <c r="NF160" s="30"/>
      <c r="NG160" s="30"/>
      <c r="NH160" s="30"/>
      <c r="NI160" s="30"/>
      <c r="NJ160" s="30"/>
      <c r="NK160" s="30"/>
      <c r="NL160" s="30"/>
      <c r="NM160" s="30"/>
      <c r="NN160" s="30"/>
      <c r="NO160" s="30"/>
      <c r="NP160" s="30"/>
      <c r="NQ160" s="30"/>
      <c r="NR160" s="30"/>
      <c r="NS160" s="30"/>
      <c r="NT160" s="30"/>
      <c r="NU160" s="30"/>
      <c r="NV160" s="30"/>
      <c r="NW160" s="30"/>
      <c r="NX160" s="30"/>
      <c r="NY160" s="30"/>
      <c r="NZ160" s="30"/>
      <c r="OA160" s="30"/>
      <c r="OB160" s="30"/>
      <c r="OC160" s="30"/>
      <c r="OD160" s="30"/>
      <c r="OE160" s="30"/>
      <c r="OF160" s="30"/>
      <c r="OG160" s="30"/>
      <c r="OH160" s="30"/>
      <c r="OI160" s="30"/>
      <c r="OJ160" s="30"/>
      <c r="OK160" s="30"/>
      <c r="OL160" s="30"/>
      <c r="OM160" s="30"/>
      <c r="ON160" s="30"/>
      <c r="OO160" s="30"/>
      <c r="OP160" s="30"/>
      <c r="OQ160" s="30"/>
      <c r="OR160" s="30"/>
      <c r="OS160" s="30"/>
      <c r="OT160" s="30"/>
      <c r="OU160" s="30"/>
      <c r="OV160" s="30"/>
      <c r="OW160" s="30"/>
      <c r="OX160" s="30"/>
      <c r="OY160" s="30"/>
      <c r="OZ160" s="30"/>
      <c r="PA160" s="30"/>
      <c r="PB160" s="30"/>
      <c r="PC160" s="30"/>
      <c r="PD160" s="30"/>
      <c r="PE160" s="30"/>
      <c r="PF160" s="30"/>
      <c r="PG160" s="30"/>
      <c r="PH160" s="30"/>
      <c r="PI160" s="30"/>
      <c r="PJ160" s="30"/>
      <c r="PK160" s="30"/>
      <c r="PL160" s="30"/>
      <c r="PM160" s="30"/>
      <c r="PN160" s="30"/>
      <c r="PO160" s="30"/>
      <c r="PP160" s="30"/>
      <c r="PQ160" s="30"/>
      <c r="PR160" s="30"/>
      <c r="PS160" s="30"/>
      <c r="PT160" s="30"/>
      <c r="PU160" s="30"/>
      <c r="PV160" s="30"/>
      <c r="PW160" s="30"/>
      <c r="PX160" s="30"/>
      <c r="PY160" s="30"/>
      <c r="PZ160" s="30"/>
      <c r="QA160" s="30"/>
      <c r="QB160" s="30"/>
      <c r="QC160" s="30"/>
      <c r="QD160" s="30"/>
      <c r="QE160" s="30"/>
      <c r="QF160" s="30"/>
      <c r="QG160" s="30"/>
      <c r="QH160" s="30"/>
      <c r="QI160" s="30"/>
      <c r="QJ160" s="30"/>
      <c r="QK160" s="30"/>
      <c r="QL160" s="30"/>
      <c r="QM160" s="30"/>
      <c r="QN160" s="30"/>
      <c r="QO160" s="30"/>
      <c r="QP160" s="30"/>
      <c r="QQ160" s="30"/>
      <c r="QR160" s="30"/>
      <c r="QS160" s="30"/>
      <c r="QT160" s="30"/>
      <c r="QU160" s="30"/>
      <c r="QV160" s="30"/>
      <c r="QW160" s="30"/>
      <c r="QX160" s="30"/>
      <c r="QY160" s="30"/>
      <c r="QZ160" s="30"/>
      <c r="RA160" s="30"/>
      <c r="RB160" s="30"/>
      <c r="RC160" s="30"/>
      <c r="RD160" s="30"/>
      <c r="RE160" s="30"/>
      <c r="RF160" s="30"/>
      <c r="RG160" s="30"/>
      <c r="RH160" s="30"/>
      <c r="RI160" s="30"/>
      <c r="RJ160" s="30"/>
      <c r="RK160" s="30"/>
      <c r="RL160" s="30"/>
      <c r="RM160" s="30"/>
      <c r="RN160" s="30"/>
      <c r="RO160" s="30"/>
      <c r="RP160" s="30"/>
      <c r="RQ160" s="30"/>
      <c r="RR160" s="30"/>
      <c r="RS160" s="30"/>
      <c r="RT160" s="30"/>
      <c r="RU160" s="30"/>
      <c r="RV160" s="30"/>
      <c r="RW160" s="30"/>
      <c r="RX160" s="30"/>
      <c r="RY160" s="30"/>
      <c r="RZ160" s="30"/>
      <c r="SA160" s="30"/>
      <c r="SB160" s="30"/>
      <c r="SC160" s="30"/>
      <c r="SD160" s="30"/>
      <c r="SE160" s="30"/>
      <c r="SF160" s="30"/>
      <c r="SG160" s="30"/>
      <c r="SH160" s="30"/>
      <c r="SI160" s="30"/>
      <c r="SJ160" s="30"/>
      <c r="SK160" s="30"/>
      <c r="SL160" s="30"/>
      <c r="SM160" s="30"/>
      <c r="SN160" s="30"/>
      <c r="SO160" s="30"/>
      <c r="SP160" s="30"/>
      <c r="SQ160" s="30"/>
      <c r="SR160" s="30"/>
      <c r="SS160" s="30"/>
      <c r="ST160" s="30"/>
      <c r="SU160" s="30"/>
      <c r="SV160" s="30"/>
      <c r="SW160" s="30"/>
      <c r="SX160" s="30"/>
      <c r="SY160" s="30"/>
      <c r="SZ160" s="30"/>
      <c r="TA160" s="30"/>
      <c r="TB160" s="30"/>
      <c r="TC160" s="30"/>
      <c r="TD160" s="30"/>
      <c r="TE160" s="30"/>
      <c r="TF160" s="30"/>
      <c r="TG160" s="30"/>
    </row>
    <row r="161" spans="1:527" s="22" customFormat="1" ht="45" hidden="1" customHeight="1" x14ac:dyDescent="0.25">
      <c r="A161" s="59" t="s">
        <v>361</v>
      </c>
      <c r="B161" s="92">
        <v>7700</v>
      </c>
      <c r="C161" s="59" t="s">
        <v>93</v>
      </c>
      <c r="D161" s="60" t="s">
        <v>362</v>
      </c>
      <c r="E161" s="98">
        <f t="shared" si="54"/>
        <v>0</v>
      </c>
      <c r="F161" s="98"/>
      <c r="G161" s="98"/>
      <c r="H161" s="98"/>
      <c r="I161" s="98"/>
      <c r="J161" s="98">
        <f t="shared" si="56"/>
        <v>0</v>
      </c>
      <c r="K161" s="98"/>
      <c r="L161" s="98"/>
      <c r="M161" s="98"/>
      <c r="N161" s="98"/>
      <c r="O161" s="98">
        <v>0</v>
      </c>
      <c r="P161" s="98">
        <f t="shared" si="55"/>
        <v>0</v>
      </c>
      <c r="Q161" s="23"/>
      <c r="R161" s="32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  <c r="TF161" s="23"/>
      <c r="TG161" s="23"/>
    </row>
    <row r="162" spans="1:527" s="22" customFormat="1" ht="15.75" x14ac:dyDescent="0.25">
      <c r="A162" s="59" t="s">
        <v>432</v>
      </c>
      <c r="B162" s="92">
        <v>9770</v>
      </c>
      <c r="C162" s="59" t="s">
        <v>45</v>
      </c>
      <c r="D162" s="60" t="s">
        <v>433</v>
      </c>
      <c r="E162" s="98">
        <f t="shared" si="54"/>
        <v>0</v>
      </c>
      <c r="F162" s="98"/>
      <c r="G162" s="98"/>
      <c r="H162" s="98"/>
      <c r="I162" s="98"/>
      <c r="J162" s="98">
        <f t="shared" si="56"/>
        <v>2820231.4299999997</v>
      </c>
      <c r="K162" s="98">
        <f>10000111.6-179880.17-7000000</f>
        <v>2820231.4299999997</v>
      </c>
      <c r="L162" s="98"/>
      <c r="M162" s="98"/>
      <c r="N162" s="98"/>
      <c r="O162" s="98">
        <f>10000111.6-179880.17-7000000</f>
        <v>2820231.4299999997</v>
      </c>
      <c r="P162" s="98">
        <f t="shared" si="55"/>
        <v>2820231.4299999997</v>
      </c>
      <c r="Q162" s="23"/>
      <c r="R162" s="32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  <c r="TG162" s="23"/>
    </row>
    <row r="163" spans="1:527" s="27" customFormat="1" ht="36" customHeight="1" x14ac:dyDescent="0.25">
      <c r="A163" s="109" t="s">
        <v>178</v>
      </c>
      <c r="B163" s="111"/>
      <c r="C163" s="111"/>
      <c r="D163" s="106" t="s">
        <v>38</v>
      </c>
      <c r="E163" s="94">
        <f>E164</f>
        <v>198630104.35000002</v>
      </c>
      <c r="F163" s="94">
        <f t="shared" ref="F163:J163" si="57">F164</f>
        <v>198630104.35000002</v>
      </c>
      <c r="G163" s="94">
        <f t="shared" si="57"/>
        <v>60863900</v>
      </c>
      <c r="H163" s="94">
        <f t="shared" si="57"/>
        <v>1771829</v>
      </c>
      <c r="I163" s="94">
        <f t="shared" si="57"/>
        <v>0</v>
      </c>
      <c r="J163" s="94">
        <f t="shared" si="57"/>
        <v>2926614.05</v>
      </c>
      <c r="K163" s="94">
        <f t="shared" ref="K163" si="58">K164</f>
        <v>2830414.05</v>
      </c>
      <c r="L163" s="94">
        <f t="shared" ref="L163" si="59">L164</f>
        <v>96200</v>
      </c>
      <c r="M163" s="94">
        <f t="shared" ref="M163" si="60">M164</f>
        <v>75000</v>
      </c>
      <c r="N163" s="94">
        <f t="shared" ref="N163" si="61">N164</f>
        <v>0</v>
      </c>
      <c r="O163" s="94">
        <f t="shared" ref="O163:P163" si="62">O164</f>
        <v>2830414.05</v>
      </c>
      <c r="P163" s="94">
        <f t="shared" si="62"/>
        <v>201556718.40000004</v>
      </c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  <c r="IS163" s="32"/>
      <c r="IT163" s="32"/>
      <c r="IU163" s="32"/>
      <c r="IV163" s="32"/>
      <c r="IW163" s="32"/>
      <c r="IX163" s="32"/>
      <c r="IY163" s="32"/>
      <c r="IZ163" s="32"/>
      <c r="JA163" s="32"/>
      <c r="JB163" s="32"/>
      <c r="JC163" s="32"/>
      <c r="JD163" s="32"/>
      <c r="JE163" s="32"/>
      <c r="JF163" s="32"/>
      <c r="JG163" s="32"/>
      <c r="JH163" s="32"/>
      <c r="JI163" s="32"/>
      <c r="JJ163" s="32"/>
      <c r="JK163" s="32"/>
      <c r="JL163" s="32"/>
      <c r="JM163" s="32"/>
      <c r="JN163" s="32"/>
      <c r="JO163" s="32"/>
      <c r="JP163" s="32"/>
      <c r="JQ163" s="32"/>
      <c r="JR163" s="32"/>
      <c r="JS163" s="32"/>
      <c r="JT163" s="32"/>
      <c r="JU163" s="32"/>
      <c r="JV163" s="32"/>
      <c r="JW163" s="32"/>
      <c r="JX163" s="32"/>
      <c r="JY163" s="32"/>
      <c r="JZ163" s="32"/>
      <c r="KA163" s="32"/>
      <c r="KB163" s="32"/>
      <c r="KC163" s="32"/>
      <c r="KD163" s="32"/>
      <c r="KE163" s="32"/>
      <c r="KF163" s="32"/>
      <c r="KG163" s="32"/>
      <c r="KH163" s="32"/>
      <c r="KI163" s="32"/>
      <c r="KJ163" s="32"/>
      <c r="KK163" s="32"/>
      <c r="KL163" s="32"/>
      <c r="KM163" s="32"/>
      <c r="KN163" s="32"/>
      <c r="KO163" s="32"/>
      <c r="KP163" s="32"/>
      <c r="KQ163" s="32"/>
      <c r="KR163" s="32"/>
      <c r="KS163" s="32"/>
      <c r="KT163" s="32"/>
      <c r="KU163" s="32"/>
      <c r="KV163" s="32"/>
      <c r="KW163" s="32"/>
      <c r="KX163" s="32"/>
      <c r="KY163" s="32"/>
      <c r="KZ163" s="32"/>
      <c r="LA163" s="32"/>
      <c r="LB163" s="32"/>
      <c r="LC163" s="32"/>
      <c r="LD163" s="32"/>
      <c r="LE163" s="32"/>
      <c r="LF163" s="32"/>
      <c r="LG163" s="32"/>
      <c r="LH163" s="32"/>
      <c r="LI163" s="32"/>
      <c r="LJ163" s="32"/>
      <c r="LK163" s="32"/>
      <c r="LL163" s="32"/>
      <c r="LM163" s="32"/>
      <c r="LN163" s="32"/>
      <c r="LO163" s="32"/>
      <c r="LP163" s="32"/>
      <c r="LQ163" s="32"/>
      <c r="LR163" s="32"/>
      <c r="LS163" s="32"/>
      <c r="LT163" s="32"/>
      <c r="LU163" s="32"/>
      <c r="LV163" s="32"/>
      <c r="LW163" s="32"/>
      <c r="LX163" s="32"/>
      <c r="LY163" s="32"/>
      <c r="LZ163" s="32"/>
      <c r="MA163" s="32"/>
      <c r="MB163" s="32"/>
      <c r="MC163" s="32"/>
      <c r="MD163" s="32"/>
      <c r="ME163" s="32"/>
      <c r="MF163" s="32"/>
      <c r="MG163" s="32"/>
      <c r="MH163" s="32"/>
      <c r="MI163" s="32"/>
      <c r="MJ163" s="32"/>
      <c r="MK163" s="32"/>
      <c r="ML163" s="32"/>
      <c r="MM163" s="32"/>
      <c r="MN163" s="32"/>
      <c r="MO163" s="32"/>
      <c r="MP163" s="32"/>
      <c r="MQ163" s="32"/>
      <c r="MR163" s="32"/>
      <c r="MS163" s="32"/>
      <c r="MT163" s="32"/>
      <c r="MU163" s="32"/>
      <c r="MV163" s="32"/>
      <c r="MW163" s="32"/>
      <c r="MX163" s="32"/>
      <c r="MY163" s="32"/>
      <c r="MZ163" s="32"/>
      <c r="NA163" s="32"/>
      <c r="NB163" s="32"/>
      <c r="NC163" s="32"/>
      <c r="ND163" s="32"/>
      <c r="NE163" s="32"/>
      <c r="NF163" s="32"/>
      <c r="NG163" s="32"/>
      <c r="NH163" s="32"/>
      <c r="NI163" s="32"/>
      <c r="NJ163" s="32"/>
      <c r="NK163" s="32"/>
      <c r="NL163" s="32"/>
      <c r="NM163" s="32"/>
      <c r="NN163" s="32"/>
      <c r="NO163" s="32"/>
      <c r="NP163" s="32"/>
      <c r="NQ163" s="32"/>
      <c r="NR163" s="32"/>
      <c r="NS163" s="32"/>
      <c r="NT163" s="32"/>
      <c r="NU163" s="32"/>
      <c r="NV163" s="32"/>
      <c r="NW163" s="32"/>
      <c r="NX163" s="32"/>
      <c r="NY163" s="32"/>
      <c r="NZ163" s="32"/>
      <c r="OA163" s="32"/>
      <c r="OB163" s="32"/>
      <c r="OC163" s="32"/>
      <c r="OD163" s="32"/>
      <c r="OE163" s="32"/>
      <c r="OF163" s="32"/>
      <c r="OG163" s="32"/>
      <c r="OH163" s="32"/>
      <c r="OI163" s="32"/>
      <c r="OJ163" s="32"/>
      <c r="OK163" s="32"/>
      <c r="OL163" s="32"/>
      <c r="OM163" s="32"/>
      <c r="ON163" s="32"/>
      <c r="OO163" s="32"/>
      <c r="OP163" s="32"/>
      <c r="OQ163" s="32"/>
      <c r="OR163" s="32"/>
      <c r="OS163" s="32"/>
      <c r="OT163" s="32"/>
      <c r="OU163" s="32"/>
      <c r="OV163" s="32"/>
      <c r="OW163" s="32"/>
      <c r="OX163" s="32"/>
      <c r="OY163" s="32"/>
      <c r="OZ163" s="32"/>
      <c r="PA163" s="32"/>
      <c r="PB163" s="32"/>
      <c r="PC163" s="32"/>
      <c r="PD163" s="32"/>
      <c r="PE163" s="32"/>
      <c r="PF163" s="32"/>
      <c r="PG163" s="32"/>
      <c r="PH163" s="32"/>
      <c r="PI163" s="32"/>
      <c r="PJ163" s="32"/>
      <c r="PK163" s="32"/>
      <c r="PL163" s="32"/>
      <c r="PM163" s="32"/>
      <c r="PN163" s="32"/>
      <c r="PO163" s="32"/>
      <c r="PP163" s="32"/>
      <c r="PQ163" s="32"/>
      <c r="PR163" s="32"/>
      <c r="PS163" s="32"/>
      <c r="PT163" s="32"/>
      <c r="PU163" s="32"/>
      <c r="PV163" s="32"/>
      <c r="PW163" s="32"/>
      <c r="PX163" s="32"/>
      <c r="PY163" s="32"/>
      <c r="PZ163" s="32"/>
      <c r="QA163" s="32"/>
      <c r="QB163" s="32"/>
      <c r="QC163" s="32"/>
      <c r="QD163" s="32"/>
      <c r="QE163" s="32"/>
      <c r="QF163" s="32"/>
      <c r="QG163" s="32"/>
      <c r="QH163" s="32"/>
      <c r="QI163" s="32"/>
      <c r="QJ163" s="32"/>
      <c r="QK163" s="32"/>
      <c r="QL163" s="32"/>
      <c r="QM163" s="32"/>
      <c r="QN163" s="32"/>
      <c r="QO163" s="32"/>
      <c r="QP163" s="32"/>
      <c r="QQ163" s="32"/>
      <c r="QR163" s="32"/>
      <c r="QS163" s="32"/>
      <c r="QT163" s="32"/>
      <c r="QU163" s="32"/>
      <c r="QV163" s="32"/>
      <c r="QW163" s="32"/>
      <c r="QX163" s="32"/>
      <c r="QY163" s="32"/>
      <c r="QZ163" s="32"/>
      <c r="RA163" s="32"/>
      <c r="RB163" s="32"/>
      <c r="RC163" s="32"/>
      <c r="RD163" s="32"/>
      <c r="RE163" s="32"/>
      <c r="RF163" s="32"/>
      <c r="RG163" s="32"/>
      <c r="RH163" s="32"/>
      <c r="RI163" s="32"/>
      <c r="RJ163" s="32"/>
      <c r="RK163" s="32"/>
      <c r="RL163" s="32"/>
      <c r="RM163" s="32"/>
      <c r="RN163" s="32"/>
      <c r="RO163" s="32"/>
      <c r="RP163" s="32"/>
      <c r="RQ163" s="32"/>
      <c r="RR163" s="32"/>
      <c r="RS163" s="32"/>
      <c r="RT163" s="32"/>
      <c r="RU163" s="32"/>
      <c r="RV163" s="32"/>
      <c r="RW163" s="32"/>
      <c r="RX163" s="32"/>
      <c r="RY163" s="32"/>
      <c r="RZ163" s="32"/>
      <c r="SA163" s="32"/>
      <c r="SB163" s="32"/>
      <c r="SC163" s="32"/>
      <c r="SD163" s="32"/>
      <c r="SE163" s="32"/>
      <c r="SF163" s="32"/>
      <c r="SG163" s="32"/>
      <c r="SH163" s="32"/>
      <c r="SI163" s="32"/>
      <c r="SJ163" s="32"/>
      <c r="SK163" s="32"/>
      <c r="SL163" s="32"/>
      <c r="SM163" s="32"/>
      <c r="SN163" s="32"/>
      <c r="SO163" s="32"/>
      <c r="SP163" s="32"/>
      <c r="SQ163" s="32"/>
      <c r="SR163" s="32"/>
      <c r="SS163" s="32"/>
      <c r="ST163" s="32"/>
      <c r="SU163" s="32"/>
      <c r="SV163" s="32"/>
      <c r="SW163" s="32"/>
      <c r="SX163" s="32"/>
      <c r="SY163" s="32"/>
      <c r="SZ163" s="32"/>
      <c r="TA163" s="32"/>
      <c r="TB163" s="32"/>
      <c r="TC163" s="32"/>
      <c r="TD163" s="32"/>
      <c r="TE163" s="32"/>
      <c r="TF163" s="32"/>
      <c r="TG163" s="32"/>
    </row>
    <row r="164" spans="1:527" s="34" customFormat="1" ht="32.25" customHeight="1" x14ac:dyDescent="0.25">
      <c r="A164" s="95" t="s">
        <v>179</v>
      </c>
      <c r="B164" s="108"/>
      <c r="C164" s="108"/>
      <c r="D164" s="76" t="s">
        <v>394</v>
      </c>
      <c r="E164" s="97">
        <f>E170+E171+E172+E173+E174+E176+E177+E178+E180+E182+E183+E184+E186+E188+E189+E190+E191+E192+E193+E195+E197+E199+E200+E202+E203</f>
        <v>198630104.35000002</v>
      </c>
      <c r="F164" s="97">
        <f t="shared" ref="F164:P164" si="63">F170+F171+F172+F173+F174+F176+F177+F178+F180+F182+F183+F184+F186+F188+F189+F190+F191+F192+F193+F195+F197+F199+F200+F202+F203</f>
        <v>198630104.35000002</v>
      </c>
      <c r="G164" s="97">
        <f t="shared" si="63"/>
        <v>60863900</v>
      </c>
      <c r="H164" s="97">
        <f t="shared" si="63"/>
        <v>1771829</v>
      </c>
      <c r="I164" s="97">
        <f t="shared" si="63"/>
        <v>0</v>
      </c>
      <c r="J164" s="97">
        <f t="shared" si="63"/>
        <v>2926614.05</v>
      </c>
      <c r="K164" s="97">
        <f t="shared" si="63"/>
        <v>2830414.05</v>
      </c>
      <c r="L164" s="97">
        <f t="shared" si="63"/>
        <v>96200</v>
      </c>
      <c r="M164" s="97">
        <f t="shared" si="63"/>
        <v>75000</v>
      </c>
      <c r="N164" s="97">
        <f t="shared" si="63"/>
        <v>0</v>
      </c>
      <c r="O164" s="97">
        <f t="shared" si="63"/>
        <v>2830414.05</v>
      </c>
      <c r="P164" s="97">
        <f t="shared" si="63"/>
        <v>201556718.40000004</v>
      </c>
      <c r="Q164" s="33"/>
      <c r="R164" s="32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  <c r="IW164" s="33"/>
      <c r="IX164" s="33"/>
      <c r="IY164" s="33"/>
      <c r="IZ164" s="33"/>
      <c r="JA164" s="33"/>
      <c r="JB164" s="33"/>
      <c r="JC164" s="33"/>
      <c r="JD164" s="33"/>
      <c r="JE164" s="33"/>
      <c r="JF164" s="33"/>
      <c r="JG164" s="33"/>
      <c r="JH164" s="33"/>
      <c r="JI164" s="33"/>
      <c r="JJ164" s="33"/>
      <c r="JK164" s="33"/>
      <c r="JL164" s="33"/>
      <c r="JM164" s="33"/>
      <c r="JN164" s="33"/>
      <c r="JO164" s="33"/>
      <c r="JP164" s="33"/>
      <c r="JQ164" s="33"/>
      <c r="JR164" s="33"/>
      <c r="JS164" s="33"/>
      <c r="JT164" s="33"/>
      <c r="JU164" s="33"/>
      <c r="JV164" s="33"/>
      <c r="JW164" s="33"/>
      <c r="JX164" s="33"/>
      <c r="JY164" s="33"/>
      <c r="JZ164" s="33"/>
      <c r="KA164" s="33"/>
      <c r="KB164" s="33"/>
      <c r="KC164" s="33"/>
      <c r="KD164" s="33"/>
      <c r="KE164" s="33"/>
      <c r="KF164" s="33"/>
      <c r="KG164" s="33"/>
      <c r="KH164" s="33"/>
      <c r="KI164" s="33"/>
      <c r="KJ164" s="33"/>
      <c r="KK164" s="33"/>
      <c r="KL164" s="33"/>
      <c r="KM164" s="33"/>
      <c r="KN164" s="33"/>
      <c r="KO164" s="33"/>
      <c r="KP164" s="33"/>
      <c r="KQ164" s="33"/>
      <c r="KR164" s="33"/>
      <c r="KS164" s="33"/>
      <c r="KT164" s="33"/>
      <c r="KU164" s="33"/>
      <c r="KV164" s="33"/>
      <c r="KW164" s="33"/>
      <c r="KX164" s="33"/>
      <c r="KY164" s="33"/>
      <c r="KZ164" s="33"/>
      <c r="LA164" s="33"/>
      <c r="LB164" s="33"/>
      <c r="LC164" s="33"/>
      <c r="LD164" s="33"/>
      <c r="LE164" s="33"/>
      <c r="LF164" s="33"/>
      <c r="LG164" s="33"/>
      <c r="LH164" s="33"/>
      <c r="LI164" s="33"/>
      <c r="LJ164" s="33"/>
      <c r="LK164" s="33"/>
      <c r="LL164" s="33"/>
      <c r="LM164" s="33"/>
      <c r="LN164" s="33"/>
      <c r="LO164" s="33"/>
      <c r="LP164" s="33"/>
      <c r="LQ164" s="33"/>
      <c r="LR164" s="33"/>
      <c r="LS164" s="33"/>
      <c r="LT164" s="33"/>
      <c r="LU164" s="33"/>
      <c r="LV164" s="33"/>
      <c r="LW164" s="33"/>
      <c r="LX164" s="33"/>
      <c r="LY164" s="33"/>
      <c r="LZ164" s="33"/>
      <c r="MA164" s="33"/>
      <c r="MB164" s="33"/>
      <c r="MC164" s="33"/>
      <c r="MD164" s="33"/>
      <c r="ME164" s="33"/>
      <c r="MF164" s="33"/>
      <c r="MG164" s="33"/>
      <c r="MH164" s="33"/>
      <c r="MI164" s="33"/>
      <c r="MJ164" s="33"/>
      <c r="MK164" s="33"/>
      <c r="ML164" s="33"/>
      <c r="MM164" s="33"/>
      <c r="MN164" s="33"/>
      <c r="MO164" s="33"/>
      <c r="MP164" s="33"/>
      <c r="MQ164" s="33"/>
      <c r="MR164" s="33"/>
      <c r="MS164" s="33"/>
      <c r="MT164" s="33"/>
      <c r="MU164" s="33"/>
      <c r="MV164" s="33"/>
      <c r="MW164" s="33"/>
      <c r="MX164" s="33"/>
      <c r="MY164" s="33"/>
      <c r="MZ164" s="33"/>
      <c r="NA164" s="33"/>
      <c r="NB164" s="33"/>
      <c r="NC164" s="33"/>
      <c r="ND164" s="33"/>
      <c r="NE164" s="33"/>
      <c r="NF164" s="33"/>
      <c r="NG164" s="33"/>
      <c r="NH164" s="33"/>
      <c r="NI164" s="33"/>
      <c r="NJ164" s="33"/>
      <c r="NK164" s="33"/>
      <c r="NL164" s="33"/>
      <c r="NM164" s="33"/>
      <c r="NN164" s="33"/>
      <c r="NO164" s="33"/>
      <c r="NP164" s="33"/>
      <c r="NQ164" s="33"/>
      <c r="NR164" s="33"/>
      <c r="NS164" s="33"/>
      <c r="NT164" s="33"/>
      <c r="NU164" s="33"/>
      <c r="NV164" s="33"/>
      <c r="NW164" s="33"/>
      <c r="NX164" s="33"/>
      <c r="NY164" s="33"/>
      <c r="NZ164" s="33"/>
      <c r="OA164" s="33"/>
      <c r="OB164" s="33"/>
      <c r="OC164" s="33"/>
      <c r="OD164" s="33"/>
      <c r="OE164" s="33"/>
      <c r="OF164" s="33"/>
      <c r="OG164" s="33"/>
      <c r="OH164" s="33"/>
      <c r="OI164" s="33"/>
      <c r="OJ164" s="33"/>
      <c r="OK164" s="33"/>
      <c r="OL164" s="33"/>
      <c r="OM164" s="33"/>
      <c r="ON164" s="33"/>
      <c r="OO164" s="33"/>
      <c r="OP164" s="33"/>
      <c r="OQ164" s="33"/>
      <c r="OR164" s="33"/>
      <c r="OS164" s="33"/>
      <c r="OT164" s="33"/>
      <c r="OU164" s="33"/>
      <c r="OV164" s="33"/>
      <c r="OW164" s="33"/>
      <c r="OX164" s="33"/>
      <c r="OY164" s="33"/>
      <c r="OZ164" s="33"/>
      <c r="PA164" s="33"/>
      <c r="PB164" s="33"/>
      <c r="PC164" s="33"/>
      <c r="PD164" s="33"/>
      <c r="PE164" s="33"/>
      <c r="PF164" s="33"/>
      <c r="PG164" s="33"/>
      <c r="PH164" s="33"/>
      <c r="PI164" s="33"/>
      <c r="PJ164" s="33"/>
      <c r="PK164" s="33"/>
      <c r="PL164" s="33"/>
      <c r="PM164" s="33"/>
      <c r="PN164" s="33"/>
      <c r="PO164" s="33"/>
      <c r="PP164" s="33"/>
      <c r="PQ164" s="33"/>
      <c r="PR164" s="33"/>
      <c r="PS164" s="33"/>
      <c r="PT164" s="33"/>
      <c r="PU164" s="33"/>
      <c r="PV164" s="33"/>
      <c r="PW164" s="33"/>
      <c r="PX164" s="33"/>
      <c r="PY164" s="33"/>
      <c r="PZ164" s="33"/>
      <c r="QA164" s="33"/>
      <c r="QB164" s="33"/>
      <c r="QC164" s="33"/>
      <c r="QD164" s="33"/>
      <c r="QE164" s="33"/>
      <c r="QF164" s="33"/>
      <c r="QG164" s="33"/>
      <c r="QH164" s="33"/>
      <c r="QI164" s="33"/>
      <c r="QJ164" s="33"/>
      <c r="QK164" s="33"/>
      <c r="QL164" s="33"/>
      <c r="QM164" s="33"/>
      <c r="QN164" s="33"/>
      <c r="QO164" s="33"/>
      <c r="QP164" s="33"/>
      <c r="QQ164" s="33"/>
      <c r="QR164" s="33"/>
      <c r="QS164" s="33"/>
      <c r="QT164" s="33"/>
      <c r="QU164" s="33"/>
      <c r="QV164" s="33"/>
      <c r="QW164" s="33"/>
      <c r="QX164" s="33"/>
      <c r="QY164" s="33"/>
      <c r="QZ164" s="33"/>
      <c r="RA164" s="33"/>
      <c r="RB164" s="33"/>
      <c r="RC164" s="33"/>
      <c r="RD164" s="33"/>
      <c r="RE164" s="33"/>
      <c r="RF164" s="33"/>
      <c r="RG164" s="33"/>
      <c r="RH164" s="33"/>
      <c r="RI164" s="33"/>
      <c r="RJ164" s="33"/>
      <c r="RK164" s="33"/>
      <c r="RL164" s="33"/>
      <c r="RM164" s="33"/>
      <c r="RN164" s="33"/>
      <c r="RO164" s="33"/>
      <c r="RP164" s="33"/>
      <c r="RQ164" s="33"/>
      <c r="RR164" s="33"/>
      <c r="RS164" s="33"/>
      <c r="RT164" s="33"/>
      <c r="RU164" s="33"/>
      <c r="RV164" s="33"/>
      <c r="RW164" s="33"/>
      <c r="RX164" s="33"/>
      <c r="RY164" s="33"/>
      <c r="RZ164" s="33"/>
      <c r="SA164" s="33"/>
      <c r="SB164" s="33"/>
      <c r="SC164" s="33"/>
      <c r="SD164" s="33"/>
      <c r="SE164" s="33"/>
      <c r="SF164" s="33"/>
      <c r="SG164" s="33"/>
      <c r="SH164" s="33"/>
      <c r="SI164" s="33"/>
      <c r="SJ164" s="33"/>
      <c r="SK164" s="33"/>
      <c r="SL164" s="33"/>
      <c r="SM164" s="33"/>
      <c r="SN164" s="33"/>
      <c r="SO164" s="33"/>
      <c r="SP164" s="33"/>
      <c r="SQ164" s="33"/>
      <c r="SR164" s="33"/>
      <c r="SS164" s="33"/>
      <c r="ST164" s="33"/>
      <c r="SU164" s="33"/>
      <c r="SV164" s="33"/>
      <c r="SW164" s="33"/>
      <c r="SX164" s="33"/>
      <c r="SY164" s="33"/>
      <c r="SZ164" s="33"/>
      <c r="TA164" s="33"/>
      <c r="TB164" s="33"/>
      <c r="TC164" s="33"/>
      <c r="TD164" s="33"/>
      <c r="TE164" s="33"/>
      <c r="TF164" s="33"/>
      <c r="TG164" s="33"/>
    </row>
    <row r="165" spans="1:527" s="34" customFormat="1" ht="275.25" hidden="1" customHeight="1" x14ac:dyDescent="0.25">
      <c r="A165" s="95"/>
      <c r="B165" s="108"/>
      <c r="C165" s="108"/>
      <c r="D165" s="76" t="str">
        <f>'дод 7'!C101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5" s="97">
        <f>E194</f>
        <v>0</v>
      </c>
      <c r="F165" s="97">
        <f>L194</f>
        <v>0</v>
      </c>
      <c r="G165" s="97">
        <f t="shared" ref="G165:P165" si="64">G194</f>
        <v>0</v>
      </c>
      <c r="H165" s="97">
        <f t="shared" si="64"/>
        <v>0</v>
      </c>
      <c r="I165" s="97">
        <f t="shared" si="64"/>
        <v>0</v>
      </c>
      <c r="J165" s="97">
        <f t="shared" si="64"/>
        <v>975480.06</v>
      </c>
      <c r="K165" s="97">
        <f t="shared" si="64"/>
        <v>975480.06</v>
      </c>
      <c r="L165" s="97">
        <f t="shared" si="64"/>
        <v>0</v>
      </c>
      <c r="M165" s="97">
        <f t="shared" si="64"/>
        <v>0</v>
      </c>
      <c r="N165" s="97">
        <f t="shared" si="64"/>
        <v>0</v>
      </c>
      <c r="O165" s="97">
        <f t="shared" si="64"/>
        <v>975480.06</v>
      </c>
      <c r="P165" s="97">
        <f t="shared" si="64"/>
        <v>975480.06</v>
      </c>
      <c r="Q165" s="33"/>
      <c r="R165" s="32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  <c r="IW165" s="33"/>
      <c r="IX165" s="33"/>
      <c r="IY165" s="33"/>
      <c r="IZ165" s="33"/>
      <c r="JA165" s="33"/>
      <c r="JB165" s="33"/>
      <c r="JC165" s="33"/>
      <c r="JD165" s="33"/>
      <c r="JE165" s="33"/>
      <c r="JF165" s="33"/>
      <c r="JG165" s="33"/>
      <c r="JH165" s="33"/>
      <c r="JI165" s="33"/>
      <c r="JJ165" s="33"/>
      <c r="JK165" s="33"/>
      <c r="JL165" s="33"/>
      <c r="JM165" s="33"/>
      <c r="JN165" s="33"/>
      <c r="JO165" s="33"/>
      <c r="JP165" s="33"/>
      <c r="JQ165" s="33"/>
      <c r="JR165" s="33"/>
      <c r="JS165" s="33"/>
      <c r="JT165" s="33"/>
      <c r="JU165" s="33"/>
      <c r="JV165" s="33"/>
      <c r="JW165" s="33"/>
      <c r="JX165" s="33"/>
      <c r="JY165" s="33"/>
      <c r="JZ165" s="33"/>
      <c r="KA165" s="33"/>
      <c r="KB165" s="33"/>
      <c r="KC165" s="33"/>
      <c r="KD165" s="33"/>
      <c r="KE165" s="33"/>
      <c r="KF165" s="33"/>
      <c r="KG165" s="33"/>
      <c r="KH165" s="33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3"/>
      <c r="KY165" s="33"/>
      <c r="KZ165" s="33"/>
      <c r="LA165" s="33"/>
      <c r="LB165" s="33"/>
      <c r="LC165" s="33"/>
      <c r="LD165" s="33"/>
      <c r="LE165" s="33"/>
      <c r="LF165" s="33"/>
      <c r="LG165" s="33"/>
      <c r="LH165" s="33"/>
      <c r="LI165" s="33"/>
      <c r="LJ165" s="33"/>
      <c r="LK165" s="33"/>
      <c r="LL165" s="33"/>
      <c r="LM165" s="33"/>
      <c r="LN165" s="33"/>
      <c r="LO165" s="33"/>
      <c r="LP165" s="33"/>
      <c r="LQ165" s="33"/>
      <c r="LR165" s="33"/>
      <c r="LS165" s="33"/>
      <c r="LT165" s="33"/>
      <c r="LU165" s="33"/>
      <c r="LV165" s="33"/>
      <c r="LW165" s="33"/>
      <c r="LX165" s="33"/>
      <c r="LY165" s="33"/>
      <c r="LZ165" s="33"/>
      <c r="MA165" s="33"/>
      <c r="MB165" s="33"/>
      <c r="MC165" s="33"/>
      <c r="MD165" s="33"/>
      <c r="ME165" s="33"/>
      <c r="MF165" s="33"/>
      <c r="MG165" s="33"/>
      <c r="MH165" s="33"/>
      <c r="MI165" s="33"/>
      <c r="MJ165" s="33"/>
      <c r="MK165" s="33"/>
      <c r="ML165" s="33"/>
      <c r="MM165" s="33"/>
      <c r="MN165" s="33"/>
      <c r="MO165" s="33"/>
      <c r="MP165" s="33"/>
      <c r="MQ165" s="33"/>
      <c r="MR165" s="33"/>
      <c r="MS165" s="33"/>
      <c r="MT165" s="33"/>
      <c r="MU165" s="33"/>
      <c r="MV165" s="33"/>
      <c r="MW165" s="33"/>
      <c r="MX165" s="33"/>
      <c r="MY165" s="33"/>
      <c r="MZ165" s="33"/>
      <c r="NA165" s="33"/>
      <c r="NB165" s="33"/>
      <c r="NC165" s="33"/>
      <c r="ND165" s="33"/>
      <c r="NE165" s="33"/>
      <c r="NF165" s="33"/>
      <c r="NG165" s="33"/>
      <c r="NH165" s="33"/>
      <c r="NI165" s="33"/>
      <c r="NJ165" s="33"/>
      <c r="NK165" s="33"/>
      <c r="NL165" s="33"/>
      <c r="NM165" s="33"/>
      <c r="NN165" s="33"/>
      <c r="NO165" s="33"/>
      <c r="NP165" s="33"/>
      <c r="NQ165" s="33"/>
      <c r="NR165" s="33"/>
      <c r="NS165" s="33"/>
      <c r="NT165" s="33"/>
      <c r="NU165" s="33"/>
      <c r="NV165" s="33"/>
      <c r="NW165" s="33"/>
      <c r="NX165" s="33"/>
      <c r="NY165" s="33"/>
      <c r="NZ165" s="33"/>
      <c r="OA165" s="33"/>
      <c r="OB165" s="33"/>
      <c r="OC165" s="33"/>
      <c r="OD165" s="33"/>
      <c r="OE165" s="33"/>
      <c r="OF165" s="33"/>
      <c r="OG165" s="33"/>
      <c r="OH165" s="33"/>
      <c r="OI165" s="33"/>
      <c r="OJ165" s="33"/>
      <c r="OK165" s="33"/>
      <c r="OL165" s="33"/>
      <c r="OM165" s="33"/>
      <c r="ON165" s="33"/>
      <c r="OO165" s="33"/>
      <c r="OP165" s="33"/>
      <c r="OQ165" s="33"/>
      <c r="OR165" s="33"/>
      <c r="OS165" s="33"/>
      <c r="OT165" s="33"/>
      <c r="OU165" s="33"/>
      <c r="OV165" s="33"/>
      <c r="OW165" s="33"/>
      <c r="OX165" s="33"/>
      <c r="OY165" s="33"/>
      <c r="OZ165" s="33"/>
      <c r="PA165" s="33"/>
      <c r="PB165" s="33"/>
      <c r="PC165" s="33"/>
      <c r="PD165" s="33"/>
      <c r="PE165" s="33"/>
      <c r="PF165" s="33"/>
      <c r="PG165" s="33"/>
      <c r="PH165" s="33"/>
      <c r="PI165" s="33"/>
      <c r="PJ165" s="33"/>
      <c r="PK165" s="33"/>
      <c r="PL165" s="33"/>
      <c r="PM165" s="33"/>
      <c r="PN165" s="33"/>
      <c r="PO165" s="33"/>
      <c r="PP165" s="33"/>
      <c r="PQ165" s="33"/>
      <c r="PR165" s="33"/>
      <c r="PS165" s="33"/>
      <c r="PT165" s="33"/>
      <c r="PU165" s="33"/>
      <c r="PV165" s="33"/>
      <c r="PW165" s="33"/>
      <c r="PX165" s="33"/>
      <c r="PY165" s="33"/>
      <c r="PZ165" s="33"/>
      <c r="QA165" s="33"/>
      <c r="QB165" s="33"/>
      <c r="QC165" s="33"/>
      <c r="QD165" s="33"/>
      <c r="QE165" s="33"/>
      <c r="QF165" s="33"/>
      <c r="QG165" s="33"/>
      <c r="QH165" s="33"/>
      <c r="QI165" s="33"/>
      <c r="QJ165" s="33"/>
      <c r="QK165" s="33"/>
      <c r="QL165" s="33"/>
      <c r="QM165" s="33"/>
      <c r="QN165" s="33"/>
      <c r="QO165" s="33"/>
      <c r="QP165" s="33"/>
      <c r="QQ165" s="33"/>
      <c r="QR165" s="33"/>
      <c r="QS165" s="33"/>
      <c r="QT165" s="33"/>
      <c r="QU165" s="33"/>
      <c r="QV165" s="33"/>
      <c r="QW165" s="33"/>
      <c r="QX165" s="33"/>
      <c r="QY165" s="33"/>
      <c r="QZ165" s="33"/>
      <c r="RA165" s="33"/>
      <c r="RB165" s="33"/>
      <c r="RC165" s="33"/>
      <c r="RD165" s="33"/>
      <c r="RE165" s="33"/>
      <c r="RF165" s="33"/>
      <c r="RG165" s="33"/>
      <c r="RH165" s="33"/>
      <c r="RI165" s="33"/>
      <c r="RJ165" s="33"/>
      <c r="RK165" s="33"/>
      <c r="RL165" s="33"/>
      <c r="RM165" s="33"/>
      <c r="RN165" s="33"/>
      <c r="RO165" s="33"/>
      <c r="RP165" s="33"/>
      <c r="RQ165" s="33"/>
      <c r="RR165" s="33"/>
      <c r="RS165" s="33"/>
      <c r="RT165" s="33"/>
      <c r="RU165" s="33"/>
      <c r="RV165" s="33"/>
      <c r="RW165" s="33"/>
      <c r="RX165" s="33"/>
      <c r="RY165" s="33"/>
      <c r="RZ165" s="33"/>
      <c r="SA165" s="33"/>
      <c r="SB165" s="33"/>
      <c r="SC165" s="33"/>
      <c r="SD165" s="33"/>
      <c r="SE165" s="33"/>
      <c r="SF165" s="33"/>
      <c r="SG165" s="33"/>
      <c r="SH165" s="33"/>
      <c r="SI165" s="33"/>
      <c r="SJ165" s="33"/>
      <c r="SK165" s="33"/>
      <c r="SL165" s="33"/>
      <c r="SM165" s="33"/>
      <c r="SN165" s="33"/>
      <c r="SO165" s="33"/>
      <c r="SP165" s="33"/>
      <c r="SQ165" s="33"/>
      <c r="SR165" s="33"/>
      <c r="SS165" s="33"/>
      <c r="ST165" s="33"/>
      <c r="SU165" s="33"/>
      <c r="SV165" s="33"/>
      <c r="SW165" s="33"/>
      <c r="SX165" s="33"/>
      <c r="SY165" s="33"/>
      <c r="SZ165" s="33"/>
      <c r="TA165" s="33"/>
      <c r="TB165" s="33"/>
      <c r="TC165" s="33"/>
      <c r="TD165" s="33"/>
      <c r="TE165" s="33"/>
      <c r="TF165" s="33"/>
      <c r="TG165" s="33"/>
    </row>
    <row r="166" spans="1:527" s="34" customFormat="1" ht="255" hidden="1" customHeight="1" x14ac:dyDescent="0.25">
      <c r="A166" s="95"/>
      <c r="B166" s="108"/>
      <c r="C166" s="108"/>
      <c r="D166" s="76" t="str">
        <f>'дод 7'!C102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6" s="97">
        <f>E198</f>
        <v>0</v>
      </c>
      <c r="F166" s="97">
        <f t="shared" ref="F166:P166" si="65">F198</f>
        <v>0</v>
      </c>
      <c r="G166" s="97">
        <f t="shared" si="65"/>
        <v>0</v>
      </c>
      <c r="H166" s="97">
        <f t="shared" si="65"/>
        <v>0</v>
      </c>
      <c r="I166" s="97">
        <f t="shared" si="65"/>
        <v>0</v>
      </c>
      <c r="J166" s="97">
        <f t="shared" si="65"/>
        <v>0</v>
      </c>
      <c r="K166" s="97">
        <f t="shared" si="65"/>
        <v>0</v>
      </c>
      <c r="L166" s="97">
        <f t="shared" si="65"/>
        <v>0</v>
      </c>
      <c r="M166" s="97">
        <f t="shared" si="65"/>
        <v>0</v>
      </c>
      <c r="N166" s="97">
        <f t="shared" si="65"/>
        <v>0</v>
      </c>
      <c r="O166" s="97">
        <f t="shared" si="65"/>
        <v>0</v>
      </c>
      <c r="P166" s="97">
        <f t="shared" si="65"/>
        <v>0</v>
      </c>
      <c r="Q166" s="33"/>
      <c r="R166" s="32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  <c r="SQ166" s="33"/>
      <c r="SR166" s="33"/>
      <c r="SS166" s="33"/>
      <c r="ST166" s="33"/>
      <c r="SU166" s="33"/>
      <c r="SV166" s="33"/>
      <c r="SW166" s="33"/>
      <c r="SX166" s="33"/>
      <c r="SY166" s="33"/>
      <c r="SZ166" s="33"/>
      <c r="TA166" s="33"/>
      <c r="TB166" s="33"/>
      <c r="TC166" s="33"/>
      <c r="TD166" s="33"/>
      <c r="TE166" s="33"/>
      <c r="TF166" s="33"/>
      <c r="TG166" s="33"/>
    </row>
    <row r="167" spans="1:527" s="34" customFormat="1" ht="15.75" x14ac:dyDescent="0.25">
      <c r="A167" s="95"/>
      <c r="B167" s="108"/>
      <c r="C167" s="108"/>
      <c r="D167" s="76" t="s">
        <v>395</v>
      </c>
      <c r="E167" s="97">
        <f>E175+E179+E181+E185+E187+E201</f>
        <v>7402508.2400000002</v>
      </c>
      <c r="F167" s="97">
        <f>F175+F179+F181+F185+F187+F201</f>
        <v>7402508.2400000002</v>
      </c>
      <c r="G167" s="97">
        <f t="shared" ref="G167:P167" si="66">G175+G179+G181+G185+G187+G201</f>
        <v>0</v>
      </c>
      <c r="H167" s="97">
        <f t="shared" si="66"/>
        <v>0</v>
      </c>
      <c r="I167" s="97">
        <f t="shared" si="66"/>
        <v>0</v>
      </c>
      <c r="J167" s="97">
        <f t="shared" si="66"/>
        <v>0</v>
      </c>
      <c r="K167" s="97">
        <f t="shared" si="66"/>
        <v>0</v>
      </c>
      <c r="L167" s="97">
        <f t="shared" si="66"/>
        <v>0</v>
      </c>
      <c r="M167" s="97">
        <f t="shared" si="66"/>
        <v>0</v>
      </c>
      <c r="N167" s="97">
        <f t="shared" si="66"/>
        <v>0</v>
      </c>
      <c r="O167" s="97">
        <f t="shared" si="66"/>
        <v>0</v>
      </c>
      <c r="P167" s="97">
        <f t="shared" si="66"/>
        <v>7402508.2400000002</v>
      </c>
      <c r="Q167" s="33"/>
      <c r="R167" s="32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  <c r="SQ167" s="33"/>
      <c r="SR167" s="33"/>
      <c r="SS167" s="33"/>
      <c r="ST167" s="33"/>
      <c r="SU167" s="33"/>
      <c r="SV167" s="33"/>
      <c r="SW167" s="33"/>
      <c r="SX167" s="33"/>
      <c r="SY167" s="33"/>
      <c r="SZ167" s="33"/>
      <c r="TA167" s="33"/>
      <c r="TB167" s="33"/>
      <c r="TC167" s="33"/>
      <c r="TD167" s="33"/>
      <c r="TE167" s="33"/>
      <c r="TF167" s="33"/>
      <c r="TG167" s="33"/>
    </row>
    <row r="168" spans="1:527" s="34" customFormat="1" ht="309.75" customHeight="1" x14ac:dyDescent="0.25">
      <c r="A168" s="95"/>
      <c r="B168" s="108"/>
      <c r="C168" s="108"/>
      <c r="D168" s="76" t="s">
        <v>579</v>
      </c>
      <c r="E168" s="97">
        <f>E194</f>
        <v>0</v>
      </c>
      <c r="F168" s="97">
        <f t="shared" ref="F168:P168" si="67">F194</f>
        <v>0</v>
      </c>
      <c r="G168" s="97">
        <f t="shared" si="67"/>
        <v>0</v>
      </c>
      <c r="H168" s="97">
        <f t="shared" si="67"/>
        <v>0</v>
      </c>
      <c r="I168" s="97">
        <f t="shared" si="67"/>
        <v>0</v>
      </c>
      <c r="J168" s="97">
        <f t="shared" si="67"/>
        <v>975480.06</v>
      </c>
      <c r="K168" s="97">
        <f t="shared" si="67"/>
        <v>975480.06</v>
      </c>
      <c r="L168" s="97">
        <f t="shared" si="67"/>
        <v>0</v>
      </c>
      <c r="M168" s="97">
        <f t="shared" si="67"/>
        <v>0</v>
      </c>
      <c r="N168" s="97">
        <f t="shared" si="67"/>
        <v>0</v>
      </c>
      <c r="O168" s="97">
        <f t="shared" si="67"/>
        <v>975480.06</v>
      </c>
      <c r="P168" s="97">
        <f t="shared" si="67"/>
        <v>975480.06</v>
      </c>
      <c r="Q168" s="33"/>
      <c r="R168" s="32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  <c r="SQ168" s="33"/>
      <c r="SR168" s="33"/>
      <c r="SS168" s="33"/>
      <c r="ST168" s="33"/>
      <c r="SU168" s="33"/>
      <c r="SV168" s="33"/>
      <c r="SW168" s="33"/>
      <c r="SX168" s="33"/>
      <c r="SY168" s="33"/>
      <c r="SZ168" s="33"/>
      <c r="TA168" s="33"/>
      <c r="TB168" s="33"/>
      <c r="TC168" s="33"/>
      <c r="TD168" s="33"/>
      <c r="TE168" s="33"/>
      <c r="TF168" s="33"/>
      <c r="TG168" s="33"/>
    </row>
    <row r="169" spans="1:527" s="34" customFormat="1" ht="369.75" customHeight="1" x14ac:dyDescent="0.25">
      <c r="A169" s="95"/>
      <c r="B169" s="108"/>
      <c r="C169" s="108"/>
      <c r="D169" s="76" t="s">
        <v>604</v>
      </c>
      <c r="E169" s="97">
        <f>E196</f>
        <v>0</v>
      </c>
      <c r="F169" s="97">
        <f t="shared" ref="F169:P169" si="68">F196</f>
        <v>0</v>
      </c>
      <c r="G169" s="97">
        <f t="shared" si="68"/>
        <v>0</v>
      </c>
      <c r="H169" s="97">
        <f t="shared" si="68"/>
        <v>0</v>
      </c>
      <c r="I169" s="97">
        <f t="shared" si="68"/>
        <v>0</v>
      </c>
      <c r="J169" s="97">
        <f t="shared" si="68"/>
        <v>1176130.99</v>
      </c>
      <c r="K169" s="97">
        <f t="shared" si="68"/>
        <v>1176130.99</v>
      </c>
      <c r="L169" s="97">
        <f t="shared" si="68"/>
        <v>0</v>
      </c>
      <c r="M169" s="97">
        <f t="shared" si="68"/>
        <v>0</v>
      </c>
      <c r="N169" s="97">
        <f t="shared" si="68"/>
        <v>0</v>
      </c>
      <c r="O169" s="97">
        <f t="shared" si="68"/>
        <v>1176130.99</v>
      </c>
      <c r="P169" s="97">
        <f t="shared" si="68"/>
        <v>1176130.99</v>
      </c>
      <c r="Q169" s="33"/>
      <c r="R169" s="32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  <c r="SQ169" s="33"/>
      <c r="SR169" s="33"/>
      <c r="SS169" s="33"/>
      <c r="ST169" s="33"/>
      <c r="SU169" s="33"/>
      <c r="SV169" s="33"/>
      <c r="SW169" s="33"/>
      <c r="SX169" s="33"/>
      <c r="SY169" s="33"/>
      <c r="SZ169" s="33"/>
      <c r="TA169" s="33"/>
      <c r="TB169" s="33"/>
      <c r="TC169" s="33"/>
      <c r="TD169" s="33"/>
      <c r="TE169" s="33"/>
      <c r="TF169" s="33"/>
      <c r="TG169" s="33"/>
    </row>
    <row r="170" spans="1:527" s="22" customFormat="1" ht="50.25" customHeight="1" x14ac:dyDescent="0.25">
      <c r="A170" s="59" t="s">
        <v>180</v>
      </c>
      <c r="B170" s="92" t="str">
        <f>'дод 7'!A19</f>
        <v>0160</v>
      </c>
      <c r="C170" s="92" t="str">
        <f>'дод 7'!B19</f>
        <v>0111</v>
      </c>
      <c r="D170" s="36" t="s">
        <v>493</v>
      </c>
      <c r="E170" s="98">
        <f t="shared" ref="E170:E203" si="69">F170+I170</f>
        <v>55760954</v>
      </c>
      <c r="F170" s="98">
        <f>55404100-2500-39500+158460+68000-38700+143094+68000</f>
        <v>55760954</v>
      </c>
      <c r="G170" s="98">
        <f>43270200-41500-31700</f>
        <v>43197000</v>
      </c>
      <c r="H170" s="98">
        <f>762000+158460+68000</f>
        <v>988460</v>
      </c>
      <c r="I170" s="98"/>
      <c r="J170" s="98">
        <f>L170+O170</f>
        <v>0</v>
      </c>
      <c r="K170" s="98">
        <f>68000-68000</f>
        <v>0</v>
      </c>
      <c r="L170" s="98"/>
      <c r="M170" s="98"/>
      <c r="N170" s="98"/>
      <c r="O170" s="98">
        <f>68000-68000</f>
        <v>0</v>
      </c>
      <c r="P170" s="98">
        <f t="shared" ref="P170:P203" si="70">E170+J170</f>
        <v>55760954</v>
      </c>
      <c r="Q170" s="23"/>
      <c r="R170" s="32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</row>
    <row r="171" spans="1:527" s="22" customFormat="1" ht="23.25" customHeight="1" x14ac:dyDescent="0.25">
      <c r="A171" s="59" t="s">
        <v>533</v>
      </c>
      <c r="B171" s="59" t="s">
        <v>45</v>
      </c>
      <c r="C171" s="59" t="s">
        <v>93</v>
      </c>
      <c r="D171" s="36" t="s">
        <v>242</v>
      </c>
      <c r="E171" s="98">
        <f t="shared" si="69"/>
        <v>39500</v>
      </c>
      <c r="F171" s="98">
        <v>39500</v>
      </c>
      <c r="G171" s="98"/>
      <c r="H171" s="98"/>
      <c r="I171" s="98"/>
      <c r="J171" s="98">
        <f>L171+O171</f>
        <v>0</v>
      </c>
      <c r="K171" s="98"/>
      <c r="L171" s="98"/>
      <c r="M171" s="98"/>
      <c r="N171" s="98"/>
      <c r="O171" s="98"/>
      <c r="P171" s="98">
        <f t="shared" si="70"/>
        <v>39500</v>
      </c>
      <c r="Q171" s="23"/>
      <c r="R171" s="32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</row>
    <row r="172" spans="1:527" s="23" customFormat="1" ht="36" customHeight="1" x14ac:dyDescent="0.25">
      <c r="A172" s="59" t="s">
        <v>181</v>
      </c>
      <c r="B172" s="92" t="str">
        <f>'дод 7'!A106</f>
        <v>3031</v>
      </c>
      <c r="C172" s="92" t="str">
        <f>'дод 7'!B106</f>
        <v>1030</v>
      </c>
      <c r="D172" s="60" t="str">
        <f>'дод 7'!C106</f>
        <v>Надання інших пільг окремим категоріям громадян відповідно до законодавства</v>
      </c>
      <c r="E172" s="98">
        <f t="shared" si="69"/>
        <v>806663</v>
      </c>
      <c r="F172" s="98">
        <f>604900+1763+200000</f>
        <v>806663</v>
      </c>
      <c r="G172" s="98"/>
      <c r="H172" s="98"/>
      <c r="I172" s="98"/>
      <c r="J172" s="98">
        <f t="shared" ref="J172:J198" si="71">L172+O172</f>
        <v>0</v>
      </c>
      <c r="K172" s="98"/>
      <c r="L172" s="98"/>
      <c r="M172" s="98"/>
      <c r="N172" s="98"/>
      <c r="O172" s="98"/>
      <c r="P172" s="98">
        <f t="shared" si="70"/>
        <v>806663</v>
      </c>
      <c r="R172" s="32"/>
    </row>
    <row r="173" spans="1:527" s="23" customFormat="1" ht="33" customHeight="1" x14ac:dyDescent="0.25">
      <c r="A173" s="59" t="s">
        <v>182</v>
      </c>
      <c r="B173" s="92" t="str">
        <f>'дод 7'!A107</f>
        <v>3032</v>
      </c>
      <c r="C173" s="92" t="str">
        <f>'дод 7'!B107</f>
        <v>1070</v>
      </c>
      <c r="D173" s="60" t="str">
        <f>'дод 7'!C107</f>
        <v>Надання пільг окремим категоріям громадян з оплати послуг зв'язку</v>
      </c>
      <c r="E173" s="98">
        <f t="shared" si="69"/>
        <v>900230</v>
      </c>
      <c r="F173" s="98">
        <f>1150000-20770-229000</f>
        <v>900230</v>
      </c>
      <c r="G173" s="98"/>
      <c r="H173" s="98"/>
      <c r="I173" s="98"/>
      <c r="J173" s="98">
        <f t="shared" si="71"/>
        <v>0</v>
      </c>
      <c r="K173" s="98"/>
      <c r="L173" s="98"/>
      <c r="M173" s="98"/>
      <c r="N173" s="98"/>
      <c r="O173" s="98"/>
      <c r="P173" s="98">
        <f t="shared" si="70"/>
        <v>900230</v>
      </c>
      <c r="R173" s="32"/>
    </row>
    <row r="174" spans="1:527" s="23" customFormat="1" ht="48.75" customHeight="1" x14ac:dyDescent="0.25">
      <c r="A174" s="59" t="s">
        <v>352</v>
      </c>
      <c r="B174" s="92" t="str">
        <f>'дод 7'!A108</f>
        <v>3033</v>
      </c>
      <c r="C174" s="92" t="str">
        <f>'дод 7'!B108</f>
        <v>1070</v>
      </c>
      <c r="D174" s="60" t="str">
        <f>'дод 7'!C108</f>
        <v>Компенсаційні виплати на пільговий проїзд автомобільним транспортом окремим категоріям громадян, у т.ч. за рахунок:</v>
      </c>
      <c r="E174" s="98">
        <f t="shared" si="69"/>
        <v>21997867.240000002</v>
      </c>
      <c r="F174" s="98">
        <f>3342111.24+19700200+44220+1920+11410+500000+678100-2550000+958608-2048700+1585440-114426-111016</f>
        <v>21997867.240000002</v>
      </c>
      <c r="G174" s="98"/>
      <c r="H174" s="98"/>
      <c r="I174" s="98"/>
      <c r="J174" s="98">
        <f t="shared" si="71"/>
        <v>0</v>
      </c>
      <c r="K174" s="98"/>
      <c r="L174" s="98"/>
      <c r="M174" s="98"/>
      <c r="N174" s="98"/>
      <c r="O174" s="98"/>
      <c r="P174" s="98">
        <f t="shared" si="70"/>
        <v>21997867.240000002</v>
      </c>
      <c r="R174" s="32"/>
    </row>
    <row r="175" spans="1:527" s="30" customFormat="1" ht="20.25" customHeight="1" x14ac:dyDescent="0.25">
      <c r="A175" s="83"/>
      <c r="B175" s="110"/>
      <c r="C175" s="110"/>
      <c r="D175" s="84" t="s">
        <v>393</v>
      </c>
      <c r="E175" s="100">
        <f t="shared" si="69"/>
        <v>5943709.2400000002</v>
      </c>
      <c r="F175" s="100">
        <f>3342111.24+44220+1920+11410+958608+1585440</f>
        <v>5943709.2400000002</v>
      </c>
      <c r="G175" s="100"/>
      <c r="H175" s="100"/>
      <c r="I175" s="100"/>
      <c r="J175" s="100">
        <f t="shared" si="71"/>
        <v>0</v>
      </c>
      <c r="K175" s="100"/>
      <c r="L175" s="100"/>
      <c r="M175" s="100"/>
      <c r="N175" s="100"/>
      <c r="O175" s="100"/>
      <c r="P175" s="100">
        <f t="shared" si="70"/>
        <v>5943709.2400000002</v>
      </c>
      <c r="R175" s="32"/>
    </row>
    <row r="176" spans="1:527" s="23" customFormat="1" ht="47.25" x14ac:dyDescent="0.25">
      <c r="A176" s="59" t="s">
        <v>324</v>
      </c>
      <c r="B176" s="92" t="str">
        <f>'дод 7'!A110</f>
        <v>3035</v>
      </c>
      <c r="C176" s="92" t="str">
        <f>'дод 7'!B110</f>
        <v>1070</v>
      </c>
      <c r="D176" s="60" t="str">
        <f>'дод 7'!C110</f>
        <v>Компенсаційні виплати за пільговий проїзд окремих категорій громадян на залізничному транспорті</v>
      </c>
      <c r="E176" s="98">
        <f t="shared" si="69"/>
        <v>2000000</v>
      </c>
      <c r="F176" s="98">
        <f>1500000+500000</f>
        <v>2000000</v>
      </c>
      <c r="G176" s="98"/>
      <c r="H176" s="98"/>
      <c r="I176" s="98"/>
      <c r="J176" s="98">
        <f t="shared" si="71"/>
        <v>0</v>
      </c>
      <c r="K176" s="98"/>
      <c r="L176" s="98"/>
      <c r="M176" s="98"/>
      <c r="N176" s="98"/>
      <c r="O176" s="98"/>
      <c r="P176" s="98">
        <f t="shared" si="70"/>
        <v>2000000</v>
      </c>
      <c r="R176" s="32"/>
    </row>
    <row r="177" spans="1:527" s="23" customFormat="1" ht="36" customHeight="1" x14ac:dyDescent="0.25">
      <c r="A177" s="59" t="s">
        <v>183</v>
      </c>
      <c r="B177" s="92" t="str">
        <f>'дод 7'!A111</f>
        <v>3036</v>
      </c>
      <c r="C177" s="92" t="str">
        <f>'дод 7'!B111</f>
        <v>1070</v>
      </c>
      <c r="D177" s="60" t="str">
        <f>'дод 7'!C111</f>
        <v>Компенсаційні виплати на пільговий проїзд електротранспортом окремим категоріям громадян</v>
      </c>
      <c r="E177" s="98">
        <f t="shared" si="69"/>
        <v>35575500</v>
      </c>
      <c r="F177" s="98">
        <f>37333000+3760700-5950000+431800</f>
        <v>35575500</v>
      </c>
      <c r="G177" s="98"/>
      <c r="H177" s="98"/>
      <c r="I177" s="98"/>
      <c r="J177" s="98">
        <f t="shared" si="71"/>
        <v>0</v>
      </c>
      <c r="K177" s="98"/>
      <c r="L177" s="98"/>
      <c r="M177" s="98"/>
      <c r="N177" s="98"/>
      <c r="O177" s="98"/>
      <c r="P177" s="98">
        <f t="shared" si="70"/>
        <v>35575500</v>
      </c>
      <c r="R177" s="32"/>
    </row>
    <row r="178" spans="1:527" s="22" customFormat="1" ht="47.25" x14ac:dyDescent="0.25">
      <c r="A178" s="59" t="s">
        <v>350</v>
      </c>
      <c r="B178" s="92" t="str">
        <f>'дод 7'!A112</f>
        <v>3050</v>
      </c>
      <c r="C178" s="92" t="str">
        <f>'дод 7'!B112</f>
        <v>1070</v>
      </c>
      <c r="D178" s="60" t="str">
        <f>'дод 7'!C112</f>
        <v>Пільгове медичне обслуговування осіб, які постраждали внаслідок Чорнобильської катастрофи, у т.ч. за рахунок:</v>
      </c>
      <c r="E178" s="98">
        <f t="shared" si="69"/>
        <v>667500</v>
      </c>
      <c r="F178" s="98">
        <v>667500</v>
      </c>
      <c r="G178" s="98"/>
      <c r="H178" s="98"/>
      <c r="I178" s="98"/>
      <c r="J178" s="98">
        <f t="shared" si="71"/>
        <v>0</v>
      </c>
      <c r="K178" s="98"/>
      <c r="L178" s="98"/>
      <c r="M178" s="98"/>
      <c r="N178" s="98"/>
      <c r="O178" s="98"/>
      <c r="P178" s="98">
        <f t="shared" si="70"/>
        <v>667500</v>
      </c>
      <c r="Q178" s="23"/>
      <c r="R178" s="32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  <c r="PA178" s="23"/>
      <c r="PB178" s="23"/>
      <c r="PC178" s="23"/>
      <c r="PD178" s="23"/>
      <c r="PE178" s="23"/>
      <c r="PF178" s="23"/>
      <c r="PG178" s="23"/>
      <c r="PH178" s="23"/>
      <c r="PI178" s="23"/>
      <c r="PJ178" s="23"/>
      <c r="PK178" s="23"/>
      <c r="PL178" s="23"/>
      <c r="PM178" s="23"/>
      <c r="PN178" s="23"/>
      <c r="PO178" s="23"/>
      <c r="PP178" s="23"/>
      <c r="PQ178" s="23"/>
      <c r="PR178" s="23"/>
      <c r="PS178" s="23"/>
      <c r="PT178" s="23"/>
      <c r="PU178" s="23"/>
      <c r="PV178" s="23"/>
      <c r="PW178" s="23"/>
      <c r="PX178" s="23"/>
      <c r="PY178" s="23"/>
      <c r="PZ178" s="23"/>
      <c r="QA178" s="23"/>
      <c r="QB178" s="23"/>
      <c r="QC178" s="23"/>
      <c r="QD178" s="23"/>
      <c r="QE178" s="23"/>
      <c r="QF178" s="23"/>
      <c r="QG178" s="23"/>
      <c r="QH178" s="23"/>
      <c r="QI178" s="23"/>
      <c r="QJ178" s="23"/>
      <c r="QK178" s="23"/>
      <c r="QL178" s="23"/>
      <c r="QM178" s="23"/>
      <c r="QN178" s="23"/>
      <c r="QO178" s="23"/>
      <c r="QP178" s="23"/>
      <c r="QQ178" s="23"/>
      <c r="QR178" s="23"/>
      <c r="QS178" s="23"/>
      <c r="QT178" s="23"/>
      <c r="QU178" s="23"/>
      <c r="QV178" s="23"/>
      <c r="QW178" s="23"/>
      <c r="QX178" s="23"/>
      <c r="QY178" s="23"/>
      <c r="QZ178" s="23"/>
      <c r="RA178" s="23"/>
      <c r="RB178" s="23"/>
      <c r="RC178" s="23"/>
      <c r="RD178" s="23"/>
      <c r="RE178" s="23"/>
      <c r="RF178" s="23"/>
      <c r="RG178" s="23"/>
      <c r="RH178" s="23"/>
      <c r="RI178" s="23"/>
      <c r="RJ178" s="23"/>
      <c r="RK178" s="23"/>
      <c r="RL178" s="23"/>
      <c r="RM178" s="23"/>
      <c r="RN178" s="23"/>
      <c r="RO178" s="23"/>
      <c r="RP178" s="23"/>
      <c r="RQ178" s="23"/>
      <c r="RR178" s="23"/>
      <c r="RS178" s="23"/>
      <c r="RT178" s="23"/>
      <c r="RU178" s="23"/>
      <c r="RV178" s="23"/>
      <c r="RW178" s="23"/>
      <c r="RX178" s="23"/>
      <c r="RY178" s="23"/>
      <c r="RZ178" s="23"/>
      <c r="SA178" s="23"/>
      <c r="SB178" s="23"/>
      <c r="SC178" s="23"/>
      <c r="SD178" s="23"/>
      <c r="SE178" s="23"/>
      <c r="SF178" s="23"/>
      <c r="SG178" s="23"/>
      <c r="SH178" s="23"/>
      <c r="SI178" s="23"/>
      <c r="SJ178" s="23"/>
      <c r="SK178" s="23"/>
      <c r="SL178" s="23"/>
      <c r="SM178" s="23"/>
      <c r="SN178" s="23"/>
      <c r="SO178" s="23"/>
      <c r="SP178" s="23"/>
      <c r="SQ178" s="23"/>
      <c r="SR178" s="23"/>
      <c r="SS178" s="23"/>
      <c r="ST178" s="23"/>
      <c r="SU178" s="23"/>
      <c r="SV178" s="23"/>
      <c r="SW178" s="23"/>
      <c r="SX178" s="23"/>
      <c r="SY178" s="23"/>
      <c r="SZ178" s="23"/>
      <c r="TA178" s="23"/>
      <c r="TB178" s="23"/>
      <c r="TC178" s="23"/>
      <c r="TD178" s="23"/>
      <c r="TE178" s="23"/>
      <c r="TF178" s="23"/>
      <c r="TG178" s="23"/>
    </row>
    <row r="179" spans="1:527" s="24" customFormat="1" ht="15.75" x14ac:dyDescent="0.25">
      <c r="A179" s="83"/>
      <c r="B179" s="110"/>
      <c r="C179" s="110"/>
      <c r="D179" s="84" t="s">
        <v>393</v>
      </c>
      <c r="E179" s="100">
        <f t="shared" si="69"/>
        <v>667500</v>
      </c>
      <c r="F179" s="100">
        <v>667500</v>
      </c>
      <c r="G179" s="100"/>
      <c r="H179" s="100"/>
      <c r="I179" s="100"/>
      <c r="J179" s="100">
        <f t="shared" si="71"/>
        <v>0</v>
      </c>
      <c r="K179" s="100"/>
      <c r="L179" s="100"/>
      <c r="M179" s="100"/>
      <c r="N179" s="100"/>
      <c r="O179" s="100"/>
      <c r="P179" s="100">
        <f t="shared" si="70"/>
        <v>667500</v>
      </c>
      <c r="Q179" s="30"/>
      <c r="R179" s="32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30"/>
      <c r="JA179" s="30"/>
      <c r="JB179" s="30"/>
      <c r="JC179" s="30"/>
      <c r="JD179" s="30"/>
      <c r="JE179" s="30"/>
      <c r="JF179" s="30"/>
      <c r="JG179" s="30"/>
      <c r="JH179" s="30"/>
      <c r="JI179" s="30"/>
      <c r="JJ179" s="30"/>
      <c r="JK179" s="30"/>
      <c r="JL179" s="30"/>
      <c r="JM179" s="30"/>
      <c r="JN179" s="30"/>
      <c r="JO179" s="30"/>
      <c r="JP179" s="30"/>
      <c r="JQ179" s="30"/>
      <c r="JR179" s="30"/>
      <c r="JS179" s="30"/>
      <c r="JT179" s="30"/>
      <c r="JU179" s="30"/>
      <c r="JV179" s="30"/>
      <c r="JW179" s="30"/>
      <c r="JX179" s="30"/>
      <c r="JY179" s="30"/>
      <c r="JZ179" s="30"/>
      <c r="KA179" s="30"/>
      <c r="KB179" s="30"/>
      <c r="KC179" s="30"/>
      <c r="KD179" s="30"/>
      <c r="KE179" s="30"/>
      <c r="KF179" s="30"/>
      <c r="KG179" s="30"/>
      <c r="KH179" s="30"/>
      <c r="KI179" s="30"/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30"/>
      <c r="KU179" s="30"/>
      <c r="KV179" s="30"/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/>
      <c r="LJ179" s="30"/>
      <c r="LK179" s="30"/>
      <c r="LL179" s="30"/>
      <c r="LM179" s="30"/>
      <c r="LN179" s="30"/>
      <c r="LO179" s="30"/>
      <c r="LP179" s="30"/>
      <c r="LQ179" s="30"/>
      <c r="LR179" s="30"/>
      <c r="LS179" s="30"/>
      <c r="LT179" s="30"/>
      <c r="LU179" s="30"/>
      <c r="LV179" s="30"/>
      <c r="LW179" s="30"/>
      <c r="LX179" s="30"/>
      <c r="LY179" s="30"/>
      <c r="LZ179" s="30"/>
      <c r="MA179" s="30"/>
      <c r="MB179" s="30"/>
      <c r="MC179" s="30"/>
      <c r="MD179" s="30"/>
      <c r="ME179" s="30"/>
      <c r="MF179" s="30"/>
      <c r="MG179" s="30"/>
      <c r="MH179" s="30"/>
      <c r="MI179" s="30"/>
      <c r="MJ179" s="30"/>
      <c r="MK179" s="30"/>
      <c r="ML179" s="30"/>
      <c r="MM179" s="30"/>
      <c r="MN179" s="30"/>
      <c r="MO179" s="30"/>
      <c r="MP179" s="30"/>
      <c r="MQ179" s="30"/>
      <c r="MR179" s="30"/>
      <c r="MS179" s="30"/>
      <c r="MT179" s="30"/>
      <c r="MU179" s="30"/>
      <c r="MV179" s="30"/>
      <c r="MW179" s="30"/>
      <c r="MX179" s="30"/>
      <c r="MY179" s="30"/>
      <c r="MZ179" s="30"/>
      <c r="NA179" s="30"/>
      <c r="NB179" s="30"/>
      <c r="NC179" s="30"/>
      <c r="ND179" s="30"/>
      <c r="NE179" s="30"/>
      <c r="NF179" s="30"/>
      <c r="NG179" s="30"/>
      <c r="NH179" s="30"/>
      <c r="NI179" s="30"/>
      <c r="NJ179" s="30"/>
      <c r="NK179" s="30"/>
      <c r="NL179" s="30"/>
      <c r="NM179" s="30"/>
      <c r="NN179" s="30"/>
      <c r="NO179" s="30"/>
      <c r="NP179" s="30"/>
      <c r="NQ179" s="30"/>
      <c r="NR179" s="30"/>
      <c r="NS179" s="30"/>
      <c r="NT179" s="30"/>
      <c r="NU179" s="30"/>
      <c r="NV179" s="30"/>
      <c r="NW179" s="30"/>
      <c r="NX179" s="30"/>
      <c r="NY179" s="30"/>
      <c r="NZ179" s="30"/>
      <c r="OA179" s="30"/>
      <c r="OB179" s="30"/>
      <c r="OC179" s="30"/>
      <c r="OD179" s="30"/>
      <c r="OE179" s="30"/>
      <c r="OF179" s="30"/>
      <c r="OG179" s="30"/>
      <c r="OH179" s="30"/>
      <c r="OI179" s="30"/>
      <c r="OJ179" s="30"/>
      <c r="OK179" s="30"/>
      <c r="OL179" s="30"/>
      <c r="OM179" s="30"/>
      <c r="ON179" s="30"/>
      <c r="OO179" s="30"/>
      <c r="OP179" s="30"/>
      <c r="OQ179" s="30"/>
      <c r="OR179" s="30"/>
      <c r="OS179" s="30"/>
      <c r="OT179" s="30"/>
      <c r="OU179" s="30"/>
      <c r="OV179" s="30"/>
      <c r="OW179" s="30"/>
      <c r="OX179" s="30"/>
      <c r="OY179" s="30"/>
      <c r="OZ179" s="30"/>
      <c r="PA179" s="30"/>
      <c r="PB179" s="30"/>
      <c r="PC179" s="30"/>
      <c r="PD179" s="30"/>
      <c r="PE179" s="30"/>
      <c r="PF179" s="30"/>
      <c r="PG179" s="30"/>
      <c r="PH179" s="30"/>
      <c r="PI179" s="30"/>
      <c r="PJ179" s="30"/>
      <c r="PK179" s="30"/>
      <c r="PL179" s="30"/>
      <c r="PM179" s="30"/>
      <c r="PN179" s="30"/>
      <c r="PO179" s="30"/>
      <c r="PP179" s="30"/>
      <c r="PQ179" s="30"/>
      <c r="PR179" s="30"/>
      <c r="PS179" s="30"/>
      <c r="PT179" s="30"/>
      <c r="PU179" s="30"/>
      <c r="PV179" s="30"/>
      <c r="PW179" s="30"/>
      <c r="PX179" s="30"/>
      <c r="PY179" s="30"/>
      <c r="PZ179" s="30"/>
      <c r="QA179" s="30"/>
      <c r="QB179" s="30"/>
      <c r="QC179" s="30"/>
      <c r="QD179" s="30"/>
      <c r="QE179" s="30"/>
      <c r="QF179" s="30"/>
      <c r="QG179" s="30"/>
      <c r="QH179" s="30"/>
      <c r="QI179" s="30"/>
      <c r="QJ179" s="30"/>
      <c r="QK179" s="30"/>
      <c r="QL179" s="30"/>
      <c r="QM179" s="30"/>
      <c r="QN179" s="30"/>
      <c r="QO179" s="30"/>
      <c r="QP179" s="30"/>
      <c r="QQ179" s="30"/>
      <c r="QR179" s="30"/>
      <c r="QS179" s="30"/>
      <c r="QT179" s="30"/>
      <c r="QU179" s="30"/>
      <c r="QV179" s="30"/>
      <c r="QW179" s="30"/>
      <c r="QX179" s="30"/>
      <c r="QY179" s="30"/>
      <c r="QZ179" s="30"/>
      <c r="RA179" s="30"/>
      <c r="RB179" s="30"/>
      <c r="RC179" s="30"/>
      <c r="RD179" s="30"/>
      <c r="RE179" s="30"/>
      <c r="RF179" s="30"/>
      <c r="RG179" s="30"/>
      <c r="RH179" s="30"/>
      <c r="RI179" s="30"/>
      <c r="RJ179" s="30"/>
      <c r="RK179" s="30"/>
      <c r="RL179" s="30"/>
      <c r="RM179" s="30"/>
      <c r="RN179" s="30"/>
      <c r="RO179" s="30"/>
      <c r="RP179" s="30"/>
      <c r="RQ179" s="30"/>
      <c r="RR179" s="30"/>
      <c r="RS179" s="30"/>
      <c r="RT179" s="30"/>
      <c r="RU179" s="30"/>
      <c r="RV179" s="30"/>
      <c r="RW179" s="30"/>
      <c r="RX179" s="30"/>
      <c r="RY179" s="30"/>
      <c r="RZ179" s="30"/>
      <c r="SA179" s="30"/>
      <c r="SB179" s="30"/>
      <c r="SC179" s="30"/>
      <c r="SD179" s="30"/>
      <c r="SE179" s="30"/>
      <c r="SF179" s="30"/>
      <c r="SG179" s="30"/>
      <c r="SH179" s="30"/>
      <c r="SI179" s="30"/>
      <c r="SJ179" s="30"/>
      <c r="SK179" s="30"/>
      <c r="SL179" s="30"/>
      <c r="SM179" s="30"/>
      <c r="SN179" s="30"/>
      <c r="SO179" s="30"/>
      <c r="SP179" s="30"/>
      <c r="SQ179" s="30"/>
      <c r="SR179" s="30"/>
      <c r="SS179" s="30"/>
      <c r="ST179" s="30"/>
      <c r="SU179" s="30"/>
      <c r="SV179" s="30"/>
      <c r="SW179" s="30"/>
      <c r="SX179" s="30"/>
      <c r="SY179" s="30"/>
      <c r="SZ179" s="30"/>
      <c r="TA179" s="30"/>
      <c r="TB179" s="30"/>
      <c r="TC179" s="30"/>
      <c r="TD179" s="30"/>
      <c r="TE179" s="30"/>
      <c r="TF179" s="30"/>
      <c r="TG179" s="30"/>
    </row>
    <row r="180" spans="1:527" s="22" customFormat="1" ht="47.25" x14ac:dyDescent="0.25">
      <c r="A180" s="59" t="s">
        <v>351</v>
      </c>
      <c r="B180" s="92" t="str">
        <f>'дод 7'!A114</f>
        <v>3090</v>
      </c>
      <c r="C180" s="92" t="str">
        <f>'дод 7'!B114</f>
        <v>1030</v>
      </c>
      <c r="D180" s="60" t="str">
        <f>'дод 7'!C114</f>
        <v>Видатки на поховання учасників бойових дій та осіб з інвалідністю внаслідок війни, у т.ч. за рахунок:</v>
      </c>
      <c r="E180" s="98">
        <f t="shared" si="69"/>
        <v>245000</v>
      </c>
      <c r="F180" s="98">
        <v>245000</v>
      </c>
      <c r="G180" s="98"/>
      <c r="H180" s="98"/>
      <c r="I180" s="98"/>
      <c r="J180" s="98">
        <f t="shared" si="71"/>
        <v>0</v>
      </c>
      <c r="K180" s="98"/>
      <c r="L180" s="98"/>
      <c r="M180" s="98"/>
      <c r="N180" s="98"/>
      <c r="O180" s="98"/>
      <c r="P180" s="98">
        <f t="shared" si="70"/>
        <v>245000</v>
      </c>
      <c r="Q180" s="23"/>
      <c r="R180" s="32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  <c r="TF180" s="23"/>
      <c r="TG180" s="23"/>
    </row>
    <row r="181" spans="1:527" s="24" customFormat="1" ht="15.75" x14ac:dyDescent="0.25">
      <c r="A181" s="83"/>
      <c r="B181" s="110"/>
      <c r="C181" s="110"/>
      <c r="D181" s="84" t="s">
        <v>393</v>
      </c>
      <c r="E181" s="100">
        <f t="shared" si="69"/>
        <v>245000</v>
      </c>
      <c r="F181" s="100">
        <v>245000</v>
      </c>
      <c r="G181" s="100"/>
      <c r="H181" s="100"/>
      <c r="I181" s="100"/>
      <c r="J181" s="100">
        <f t="shared" si="71"/>
        <v>0</v>
      </c>
      <c r="K181" s="100"/>
      <c r="L181" s="100"/>
      <c r="M181" s="100"/>
      <c r="N181" s="100"/>
      <c r="O181" s="100"/>
      <c r="P181" s="100">
        <f t="shared" si="70"/>
        <v>245000</v>
      </c>
      <c r="Q181" s="30"/>
      <c r="R181" s="32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  <c r="SO181" s="30"/>
      <c r="SP181" s="30"/>
      <c r="SQ181" s="30"/>
      <c r="SR181" s="30"/>
      <c r="SS181" s="30"/>
      <c r="ST181" s="30"/>
      <c r="SU181" s="30"/>
      <c r="SV181" s="30"/>
      <c r="SW181" s="30"/>
      <c r="SX181" s="30"/>
      <c r="SY181" s="30"/>
      <c r="SZ181" s="30"/>
      <c r="TA181" s="30"/>
      <c r="TB181" s="30"/>
      <c r="TC181" s="30"/>
      <c r="TD181" s="30"/>
      <c r="TE181" s="30"/>
      <c r="TF181" s="30"/>
      <c r="TG181" s="30"/>
    </row>
    <row r="182" spans="1:527" s="22" customFormat="1" ht="64.5" customHeight="1" x14ac:dyDescent="0.25">
      <c r="A182" s="59" t="s">
        <v>184</v>
      </c>
      <c r="B182" s="92" t="str">
        <f>'дод 7'!A116</f>
        <v>3104</v>
      </c>
      <c r="C182" s="92" t="str">
        <f>'дод 7'!B116</f>
        <v>1020</v>
      </c>
      <c r="D182" s="60" t="str">
        <f>'дод 7'!C116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2" s="98">
        <f t="shared" si="69"/>
        <v>18402127.48</v>
      </c>
      <c r="F182" s="98">
        <f>17394450+20000+20000-20000+65000+42515+19000+796052.48+8000+44900+12210</f>
        <v>18402127.48</v>
      </c>
      <c r="G182" s="98">
        <f>13551350+476164.66</f>
        <v>14027514.66</v>
      </c>
      <c r="H182" s="98">
        <f>208050+26750+42515+74659.4+44900+13040</f>
        <v>409914.4</v>
      </c>
      <c r="I182" s="98"/>
      <c r="J182" s="98">
        <f t="shared" si="71"/>
        <v>96200</v>
      </c>
      <c r="K182" s="98"/>
      <c r="L182" s="98">
        <v>96200</v>
      </c>
      <c r="M182" s="98">
        <v>75000</v>
      </c>
      <c r="N182" s="98"/>
      <c r="O182" s="98"/>
      <c r="P182" s="98">
        <f t="shared" si="70"/>
        <v>18498327.48</v>
      </c>
      <c r="Q182" s="23"/>
      <c r="R182" s="32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  <c r="TG182" s="23"/>
    </row>
    <row r="183" spans="1:527" s="22" customFormat="1" ht="81.75" customHeight="1" x14ac:dyDescent="0.25">
      <c r="A183" s="59" t="s">
        <v>185</v>
      </c>
      <c r="B183" s="92" t="str">
        <f>'дод 7'!A122</f>
        <v>3160</v>
      </c>
      <c r="C183" s="92">
        <f>'дод 7'!B122</f>
        <v>1010</v>
      </c>
      <c r="D183" s="60" t="str">
        <f>'дод 7'!C122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3" s="98">
        <f t="shared" si="69"/>
        <v>4071000</v>
      </c>
      <c r="F183" s="98">
        <f>2500000+500000+956000+115000</f>
        <v>4071000</v>
      </c>
      <c r="G183" s="98"/>
      <c r="H183" s="98"/>
      <c r="I183" s="98"/>
      <c r="J183" s="98">
        <f t="shared" si="71"/>
        <v>0</v>
      </c>
      <c r="K183" s="98"/>
      <c r="L183" s="98"/>
      <c r="M183" s="98"/>
      <c r="N183" s="98"/>
      <c r="O183" s="98"/>
      <c r="P183" s="98">
        <f t="shared" si="70"/>
        <v>4071000</v>
      </c>
      <c r="Q183" s="23"/>
      <c r="R183" s="32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</row>
    <row r="184" spans="1:527" s="22" customFormat="1" ht="63" x14ac:dyDescent="0.25">
      <c r="A184" s="59" t="s">
        <v>353</v>
      </c>
      <c r="B184" s="92" t="str">
        <f>'дод 7'!A123</f>
        <v>3171</v>
      </c>
      <c r="C184" s="92">
        <f>'дод 7'!B123</f>
        <v>1010</v>
      </c>
      <c r="D184" s="60" t="str">
        <f>'дод 7'!C123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84" s="98">
        <f t="shared" si="69"/>
        <v>198209</v>
      </c>
      <c r="F184" s="98">
        <v>198209</v>
      </c>
      <c r="G184" s="98"/>
      <c r="H184" s="98"/>
      <c r="I184" s="98"/>
      <c r="J184" s="98">
        <f t="shared" si="71"/>
        <v>0</v>
      </c>
      <c r="K184" s="98"/>
      <c r="L184" s="98"/>
      <c r="M184" s="98"/>
      <c r="N184" s="98"/>
      <c r="O184" s="98"/>
      <c r="P184" s="98">
        <f t="shared" si="70"/>
        <v>198209</v>
      </c>
      <c r="Q184" s="23"/>
      <c r="R184" s="32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  <c r="TF184" s="23"/>
      <c r="TG184" s="23"/>
    </row>
    <row r="185" spans="1:527" s="24" customFormat="1" ht="18" customHeight="1" x14ac:dyDescent="0.25">
      <c r="A185" s="83"/>
      <c r="B185" s="110"/>
      <c r="C185" s="110"/>
      <c r="D185" s="84" t="s">
        <v>393</v>
      </c>
      <c r="E185" s="100">
        <f t="shared" si="69"/>
        <v>198209</v>
      </c>
      <c r="F185" s="100">
        <v>198209</v>
      </c>
      <c r="G185" s="100"/>
      <c r="H185" s="100"/>
      <c r="I185" s="100"/>
      <c r="J185" s="100">
        <f t="shared" si="71"/>
        <v>0</v>
      </c>
      <c r="K185" s="100"/>
      <c r="L185" s="100"/>
      <c r="M185" s="100"/>
      <c r="N185" s="100"/>
      <c r="O185" s="100"/>
      <c r="P185" s="100">
        <f t="shared" si="70"/>
        <v>198209</v>
      </c>
      <c r="Q185" s="30"/>
      <c r="R185" s="32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  <c r="IW185" s="30"/>
      <c r="IX185" s="30"/>
      <c r="IY185" s="30"/>
      <c r="IZ185" s="30"/>
      <c r="JA185" s="30"/>
      <c r="JB185" s="30"/>
      <c r="JC185" s="30"/>
      <c r="JD185" s="30"/>
      <c r="JE185" s="30"/>
      <c r="JF185" s="30"/>
      <c r="JG185" s="30"/>
      <c r="JH185" s="30"/>
      <c r="JI185" s="30"/>
      <c r="JJ185" s="30"/>
      <c r="JK185" s="30"/>
      <c r="JL185" s="30"/>
      <c r="JM185" s="30"/>
      <c r="JN185" s="30"/>
      <c r="JO185" s="30"/>
      <c r="JP185" s="30"/>
      <c r="JQ185" s="30"/>
      <c r="JR185" s="30"/>
      <c r="JS185" s="30"/>
      <c r="JT185" s="30"/>
      <c r="JU185" s="30"/>
      <c r="JV185" s="30"/>
      <c r="JW185" s="30"/>
      <c r="JX185" s="30"/>
      <c r="JY185" s="30"/>
      <c r="JZ185" s="30"/>
      <c r="KA185" s="30"/>
      <c r="KB185" s="30"/>
      <c r="KC185" s="30"/>
      <c r="KD185" s="30"/>
      <c r="KE185" s="30"/>
      <c r="KF185" s="30"/>
      <c r="KG185" s="30"/>
      <c r="KH185" s="30"/>
      <c r="KI185" s="30"/>
      <c r="KJ185" s="30"/>
      <c r="KK185" s="30"/>
      <c r="KL185" s="30"/>
      <c r="KM185" s="30"/>
      <c r="KN185" s="30"/>
      <c r="KO185" s="30"/>
      <c r="KP185" s="30"/>
      <c r="KQ185" s="30"/>
      <c r="KR185" s="30"/>
      <c r="KS185" s="30"/>
      <c r="KT185" s="30"/>
      <c r="KU185" s="30"/>
      <c r="KV185" s="30"/>
      <c r="KW185" s="30"/>
      <c r="KX185" s="30"/>
      <c r="KY185" s="30"/>
      <c r="KZ185" s="30"/>
      <c r="LA185" s="30"/>
      <c r="LB185" s="30"/>
      <c r="LC185" s="30"/>
      <c r="LD185" s="30"/>
      <c r="LE185" s="30"/>
      <c r="LF185" s="30"/>
      <c r="LG185" s="30"/>
      <c r="LH185" s="30"/>
      <c r="LI185" s="30"/>
      <c r="LJ185" s="30"/>
      <c r="LK185" s="30"/>
      <c r="LL185" s="30"/>
      <c r="LM185" s="30"/>
      <c r="LN185" s="30"/>
      <c r="LO185" s="30"/>
      <c r="LP185" s="30"/>
      <c r="LQ185" s="30"/>
      <c r="LR185" s="30"/>
      <c r="LS185" s="30"/>
      <c r="LT185" s="30"/>
      <c r="LU185" s="30"/>
      <c r="LV185" s="30"/>
      <c r="LW185" s="30"/>
      <c r="LX185" s="30"/>
      <c r="LY185" s="30"/>
      <c r="LZ185" s="30"/>
      <c r="MA185" s="30"/>
      <c r="MB185" s="30"/>
      <c r="MC185" s="30"/>
      <c r="MD185" s="30"/>
      <c r="ME185" s="30"/>
      <c r="MF185" s="30"/>
      <c r="MG185" s="30"/>
      <c r="MH185" s="30"/>
      <c r="MI185" s="30"/>
      <c r="MJ185" s="30"/>
      <c r="MK185" s="30"/>
      <c r="ML185" s="30"/>
      <c r="MM185" s="30"/>
      <c r="MN185" s="30"/>
      <c r="MO185" s="30"/>
      <c r="MP185" s="30"/>
      <c r="MQ185" s="30"/>
      <c r="MR185" s="30"/>
      <c r="MS185" s="30"/>
      <c r="MT185" s="30"/>
      <c r="MU185" s="30"/>
      <c r="MV185" s="30"/>
      <c r="MW185" s="30"/>
      <c r="MX185" s="30"/>
      <c r="MY185" s="30"/>
      <c r="MZ185" s="30"/>
      <c r="NA185" s="30"/>
      <c r="NB185" s="30"/>
      <c r="NC185" s="30"/>
      <c r="ND185" s="30"/>
      <c r="NE185" s="30"/>
      <c r="NF185" s="30"/>
      <c r="NG185" s="30"/>
      <c r="NH185" s="30"/>
      <c r="NI185" s="30"/>
      <c r="NJ185" s="30"/>
      <c r="NK185" s="30"/>
      <c r="NL185" s="30"/>
      <c r="NM185" s="30"/>
      <c r="NN185" s="30"/>
      <c r="NO185" s="30"/>
      <c r="NP185" s="30"/>
      <c r="NQ185" s="30"/>
      <c r="NR185" s="30"/>
      <c r="NS185" s="30"/>
      <c r="NT185" s="30"/>
      <c r="NU185" s="30"/>
      <c r="NV185" s="30"/>
      <c r="NW185" s="30"/>
      <c r="NX185" s="30"/>
      <c r="NY185" s="30"/>
      <c r="NZ185" s="30"/>
      <c r="OA185" s="30"/>
      <c r="OB185" s="30"/>
      <c r="OC185" s="30"/>
      <c r="OD185" s="30"/>
      <c r="OE185" s="30"/>
      <c r="OF185" s="30"/>
      <c r="OG185" s="30"/>
      <c r="OH185" s="30"/>
      <c r="OI185" s="30"/>
      <c r="OJ185" s="30"/>
      <c r="OK185" s="30"/>
      <c r="OL185" s="30"/>
      <c r="OM185" s="30"/>
      <c r="ON185" s="30"/>
      <c r="OO185" s="30"/>
      <c r="OP185" s="30"/>
      <c r="OQ185" s="30"/>
      <c r="OR185" s="30"/>
      <c r="OS185" s="30"/>
      <c r="OT185" s="30"/>
      <c r="OU185" s="30"/>
      <c r="OV185" s="30"/>
      <c r="OW185" s="30"/>
      <c r="OX185" s="30"/>
      <c r="OY185" s="30"/>
      <c r="OZ185" s="30"/>
      <c r="PA185" s="30"/>
      <c r="PB185" s="30"/>
      <c r="PC185" s="30"/>
      <c r="PD185" s="30"/>
      <c r="PE185" s="30"/>
      <c r="PF185" s="30"/>
      <c r="PG185" s="30"/>
      <c r="PH185" s="30"/>
      <c r="PI185" s="30"/>
      <c r="PJ185" s="30"/>
      <c r="PK185" s="30"/>
      <c r="PL185" s="30"/>
      <c r="PM185" s="30"/>
      <c r="PN185" s="30"/>
      <c r="PO185" s="30"/>
      <c r="PP185" s="30"/>
      <c r="PQ185" s="30"/>
      <c r="PR185" s="30"/>
      <c r="PS185" s="30"/>
      <c r="PT185" s="30"/>
      <c r="PU185" s="30"/>
      <c r="PV185" s="30"/>
      <c r="PW185" s="30"/>
      <c r="PX185" s="30"/>
      <c r="PY185" s="30"/>
      <c r="PZ185" s="30"/>
      <c r="QA185" s="30"/>
      <c r="QB185" s="30"/>
      <c r="QC185" s="30"/>
      <c r="QD185" s="30"/>
      <c r="QE185" s="30"/>
      <c r="QF185" s="30"/>
      <c r="QG185" s="30"/>
      <c r="QH185" s="30"/>
      <c r="QI185" s="30"/>
      <c r="QJ185" s="30"/>
      <c r="QK185" s="30"/>
      <c r="QL185" s="30"/>
      <c r="QM185" s="30"/>
      <c r="QN185" s="30"/>
      <c r="QO185" s="30"/>
      <c r="QP185" s="30"/>
      <c r="QQ185" s="30"/>
      <c r="QR185" s="30"/>
      <c r="QS185" s="30"/>
      <c r="QT185" s="30"/>
      <c r="QU185" s="30"/>
      <c r="QV185" s="30"/>
      <c r="QW185" s="30"/>
      <c r="QX185" s="30"/>
      <c r="QY185" s="30"/>
      <c r="QZ185" s="30"/>
      <c r="RA185" s="30"/>
      <c r="RB185" s="30"/>
      <c r="RC185" s="30"/>
      <c r="RD185" s="30"/>
      <c r="RE185" s="30"/>
      <c r="RF185" s="30"/>
      <c r="RG185" s="30"/>
      <c r="RH185" s="30"/>
      <c r="RI185" s="30"/>
      <c r="RJ185" s="30"/>
      <c r="RK185" s="30"/>
      <c r="RL185" s="30"/>
      <c r="RM185" s="30"/>
      <c r="RN185" s="30"/>
      <c r="RO185" s="30"/>
      <c r="RP185" s="30"/>
      <c r="RQ185" s="30"/>
      <c r="RR185" s="30"/>
      <c r="RS185" s="30"/>
      <c r="RT185" s="30"/>
      <c r="RU185" s="30"/>
      <c r="RV185" s="30"/>
      <c r="RW185" s="30"/>
      <c r="RX185" s="30"/>
      <c r="RY185" s="30"/>
      <c r="RZ185" s="30"/>
      <c r="SA185" s="30"/>
      <c r="SB185" s="30"/>
      <c r="SC185" s="30"/>
      <c r="SD185" s="30"/>
      <c r="SE185" s="30"/>
      <c r="SF185" s="30"/>
      <c r="SG185" s="30"/>
      <c r="SH185" s="30"/>
      <c r="SI185" s="30"/>
      <c r="SJ185" s="30"/>
      <c r="SK185" s="30"/>
      <c r="SL185" s="30"/>
      <c r="SM185" s="30"/>
      <c r="SN185" s="30"/>
      <c r="SO185" s="30"/>
      <c r="SP185" s="30"/>
      <c r="SQ185" s="30"/>
      <c r="SR185" s="30"/>
      <c r="SS185" s="30"/>
      <c r="ST185" s="30"/>
      <c r="SU185" s="30"/>
      <c r="SV185" s="30"/>
      <c r="SW185" s="30"/>
      <c r="SX185" s="30"/>
      <c r="SY185" s="30"/>
      <c r="SZ185" s="30"/>
      <c r="TA185" s="30"/>
      <c r="TB185" s="30"/>
      <c r="TC185" s="30"/>
      <c r="TD185" s="30"/>
      <c r="TE185" s="30"/>
      <c r="TF185" s="30"/>
      <c r="TG185" s="30"/>
    </row>
    <row r="186" spans="1:527" s="22" customFormat="1" ht="31.5" x14ac:dyDescent="0.25">
      <c r="A186" s="59" t="s">
        <v>354</v>
      </c>
      <c r="B186" s="92" t="str">
        <f>'дод 7'!A125</f>
        <v>3172</v>
      </c>
      <c r="C186" s="92">
        <f>'дод 7'!B125</f>
        <v>1010</v>
      </c>
      <c r="D186" s="60" t="s">
        <v>406</v>
      </c>
      <c r="E186" s="98">
        <f t="shared" si="69"/>
        <v>90</v>
      </c>
      <c r="F186" s="98">
        <v>90</v>
      </c>
      <c r="G186" s="98"/>
      <c r="H186" s="98"/>
      <c r="I186" s="98"/>
      <c r="J186" s="98">
        <f t="shared" si="71"/>
        <v>0</v>
      </c>
      <c r="K186" s="98"/>
      <c r="L186" s="98"/>
      <c r="M186" s="98"/>
      <c r="N186" s="98"/>
      <c r="O186" s="98"/>
      <c r="P186" s="98">
        <f t="shared" si="70"/>
        <v>90</v>
      </c>
      <c r="Q186" s="23"/>
      <c r="R186" s="32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  <c r="SQ186" s="23"/>
      <c r="SR186" s="23"/>
      <c r="SS186" s="23"/>
      <c r="ST186" s="23"/>
      <c r="SU186" s="23"/>
      <c r="SV186" s="23"/>
      <c r="SW186" s="23"/>
      <c r="SX186" s="23"/>
      <c r="SY186" s="23"/>
      <c r="SZ186" s="23"/>
      <c r="TA186" s="23"/>
      <c r="TB186" s="23"/>
      <c r="TC186" s="23"/>
      <c r="TD186" s="23"/>
      <c r="TE186" s="23"/>
      <c r="TF186" s="23"/>
      <c r="TG186" s="23"/>
    </row>
    <row r="187" spans="1:527" s="24" customFormat="1" ht="15.75" x14ac:dyDescent="0.25">
      <c r="A187" s="83"/>
      <c r="B187" s="110"/>
      <c r="C187" s="110"/>
      <c r="D187" s="84" t="s">
        <v>393</v>
      </c>
      <c r="E187" s="100">
        <f t="shared" si="69"/>
        <v>90</v>
      </c>
      <c r="F187" s="100">
        <v>90</v>
      </c>
      <c r="G187" s="100"/>
      <c r="H187" s="100"/>
      <c r="I187" s="100"/>
      <c r="J187" s="100">
        <f t="shared" si="71"/>
        <v>0</v>
      </c>
      <c r="K187" s="100"/>
      <c r="L187" s="100"/>
      <c r="M187" s="100"/>
      <c r="N187" s="100"/>
      <c r="O187" s="100"/>
      <c r="P187" s="100">
        <f t="shared" si="70"/>
        <v>90</v>
      </c>
      <c r="Q187" s="30"/>
      <c r="R187" s="32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  <c r="IW187" s="30"/>
      <c r="IX187" s="30"/>
      <c r="IY187" s="30"/>
      <c r="IZ187" s="30"/>
      <c r="JA187" s="30"/>
      <c r="JB187" s="30"/>
      <c r="JC187" s="30"/>
      <c r="JD187" s="30"/>
      <c r="JE187" s="30"/>
      <c r="JF187" s="30"/>
      <c r="JG187" s="30"/>
      <c r="JH187" s="30"/>
      <c r="JI187" s="30"/>
      <c r="JJ187" s="30"/>
      <c r="JK187" s="30"/>
      <c r="JL187" s="30"/>
      <c r="JM187" s="30"/>
      <c r="JN187" s="30"/>
      <c r="JO187" s="30"/>
      <c r="JP187" s="30"/>
      <c r="JQ187" s="30"/>
      <c r="JR187" s="30"/>
      <c r="JS187" s="30"/>
      <c r="JT187" s="30"/>
      <c r="JU187" s="30"/>
      <c r="JV187" s="30"/>
      <c r="JW187" s="30"/>
      <c r="JX187" s="30"/>
      <c r="JY187" s="30"/>
      <c r="JZ187" s="30"/>
      <c r="KA187" s="30"/>
      <c r="KB187" s="30"/>
      <c r="KC187" s="30"/>
      <c r="KD187" s="30"/>
      <c r="KE187" s="30"/>
      <c r="KF187" s="30"/>
      <c r="KG187" s="30"/>
      <c r="KH187" s="30"/>
      <c r="KI187" s="30"/>
      <c r="KJ187" s="30"/>
      <c r="KK187" s="30"/>
      <c r="KL187" s="30"/>
      <c r="KM187" s="30"/>
      <c r="KN187" s="30"/>
      <c r="KO187" s="30"/>
      <c r="KP187" s="30"/>
      <c r="KQ187" s="30"/>
      <c r="KR187" s="30"/>
      <c r="KS187" s="30"/>
      <c r="KT187" s="30"/>
      <c r="KU187" s="30"/>
      <c r="KV187" s="30"/>
      <c r="KW187" s="30"/>
      <c r="KX187" s="30"/>
      <c r="KY187" s="30"/>
      <c r="KZ187" s="30"/>
      <c r="LA187" s="30"/>
      <c r="LB187" s="30"/>
      <c r="LC187" s="30"/>
      <c r="LD187" s="30"/>
      <c r="LE187" s="30"/>
      <c r="LF187" s="30"/>
      <c r="LG187" s="30"/>
      <c r="LH187" s="30"/>
      <c r="LI187" s="30"/>
      <c r="LJ187" s="30"/>
      <c r="LK187" s="30"/>
      <c r="LL187" s="30"/>
      <c r="LM187" s="30"/>
      <c r="LN187" s="30"/>
      <c r="LO187" s="30"/>
      <c r="LP187" s="30"/>
      <c r="LQ187" s="30"/>
      <c r="LR187" s="30"/>
      <c r="LS187" s="30"/>
      <c r="LT187" s="30"/>
      <c r="LU187" s="30"/>
      <c r="LV187" s="30"/>
      <c r="LW187" s="30"/>
      <c r="LX187" s="30"/>
      <c r="LY187" s="30"/>
      <c r="LZ187" s="30"/>
      <c r="MA187" s="30"/>
      <c r="MB187" s="30"/>
      <c r="MC187" s="30"/>
      <c r="MD187" s="30"/>
      <c r="ME187" s="30"/>
      <c r="MF187" s="30"/>
      <c r="MG187" s="30"/>
      <c r="MH187" s="30"/>
      <c r="MI187" s="30"/>
      <c r="MJ187" s="30"/>
      <c r="MK187" s="30"/>
      <c r="ML187" s="30"/>
      <c r="MM187" s="30"/>
      <c r="MN187" s="30"/>
      <c r="MO187" s="30"/>
      <c r="MP187" s="30"/>
      <c r="MQ187" s="30"/>
      <c r="MR187" s="30"/>
      <c r="MS187" s="30"/>
      <c r="MT187" s="30"/>
      <c r="MU187" s="30"/>
      <c r="MV187" s="30"/>
      <c r="MW187" s="30"/>
      <c r="MX187" s="30"/>
      <c r="MY187" s="30"/>
      <c r="MZ187" s="30"/>
      <c r="NA187" s="30"/>
      <c r="NB187" s="30"/>
      <c r="NC187" s="30"/>
      <c r="ND187" s="30"/>
      <c r="NE187" s="30"/>
      <c r="NF187" s="30"/>
      <c r="NG187" s="30"/>
      <c r="NH187" s="30"/>
      <c r="NI187" s="30"/>
      <c r="NJ187" s="30"/>
      <c r="NK187" s="30"/>
      <c r="NL187" s="30"/>
      <c r="NM187" s="30"/>
      <c r="NN187" s="30"/>
      <c r="NO187" s="30"/>
      <c r="NP187" s="30"/>
      <c r="NQ187" s="30"/>
      <c r="NR187" s="30"/>
      <c r="NS187" s="30"/>
      <c r="NT187" s="30"/>
      <c r="NU187" s="30"/>
      <c r="NV187" s="30"/>
      <c r="NW187" s="30"/>
      <c r="NX187" s="30"/>
      <c r="NY187" s="30"/>
      <c r="NZ187" s="30"/>
      <c r="OA187" s="30"/>
      <c r="OB187" s="30"/>
      <c r="OC187" s="30"/>
      <c r="OD187" s="30"/>
      <c r="OE187" s="30"/>
      <c r="OF187" s="30"/>
      <c r="OG187" s="30"/>
      <c r="OH187" s="30"/>
      <c r="OI187" s="30"/>
      <c r="OJ187" s="30"/>
      <c r="OK187" s="30"/>
      <c r="OL187" s="30"/>
      <c r="OM187" s="30"/>
      <c r="ON187" s="30"/>
      <c r="OO187" s="30"/>
      <c r="OP187" s="30"/>
      <c r="OQ187" s="30"/>
      <c r="OR187" s="30"/>
      <c r="OS187" s="30"/>
      <c r="OT187" s="30"/>
      <c r="OU187" s="30"/>
      <c r="OV187" s="30"/>
      <c r="OW187" s="30"/>
      <c r="OX187" s="30"/>
      <c r="OY187" s="30"/>
      <c r="OZ187" s="30"/>
      <c r="PA187" s="30"/>
      <c r="PB187" s="30"/>
      <c r="PC187" s="30"/>
      <c r="PD187" s="30"/>
      <c r="PE187" s="30"/>
      <c r="PF187" s="30"/>
      <c r="PG187" s="30"/>
      <c r="PH187" s="30"/>
      <c r="PI187" s="30"/>
      <c r="PJ187" s="30"/>
      <c r="PK187" s="30"/>
      <c r="PL187" s="30"/>
      <c r="PM187" s="30"/>
      <c r="PN187" s="30"/>
      <c r="PO187" s="30"/>
      <c r="PP187" s="30"/>
      <c r="PQ187" s="30"/>
      <c r="PR187" s="30"/>
      <c r="PS187" s="30"/>
      <c r="PT187" s="30"/>
      <c r="PU187" s="30"/>
      <c r="PV187" s="30"/>
      <c r="PW187" s="30"/>
      <c r="PX187" s="30"/>
      <c r="PY187" s="30"/>
      <c r="PZ187" s="30"/>
      <c r="QA187" s="30"/>
      <c r="QB187" s="30"/>
      <c r="QC187" s="30"/>
      <c r="QD187" s="30"/>
      <c r="QE187" s="30"/>
      <c r="QF187" s="30"/>
      <c r="QG187" s="30"/>
      <c r="QH187" s="30"/>
      <c r="QI187" s="30"/>
      <c r="QJ187" s="30"/>
      <c r="QK187" s="30"/>
      <c r="QL187" s="30"/>
      <c r="QM187" s="30"/>
      <c r="QN187" s="30"/>
      <c r="QO187" s="30"/>
      <c r="QP187" s="30"/>
      <c r="QQ187" s="30"/>
      <c r="QR187" s="30"/>
      <c r="QS187" s="30"/>
      <c r="QT187" s="30"/>
      <c r="QU187" s="30"/>
      <c r="QV187" s="30"/>
      <c r="QW187" s="30"/>
      <c r="QX187" s="30"/>
      <c r="QY187" s="30"/>
      <c r="QZ187" s="30"/>
      <c r="RA187" s="30"/>
      <c r="RB187" s="30"/>
      <c r="RC187" s="30"/>
      <c r="RD187" s="30"/>
      <c r="RE187" s="30"/>
      <c r="RF187" s="30"/>
      <c r="RG187" s="30"/>
      <c r="RH187" s="30"/>
      <c r="RI187" s="30"/>
      <c r="RJ187" s="30"/>
      <c r="RK187" s="30"/>
      <c r="RL187" s="30"/>
      <c r="RM187" s="30"/>
      <c r="RN187" s="30"/>
      <c r="RO187" s="30"/>
      <c r="RP187" s="30"/>
      <c r="RQ187" s="30"/>
      <c r="RR187" s="30"/>
      <c r="RS187" s="30"/>
      <c r="RT187" s="30"/>
      <c r="RU187" s="30"/>
      <c r="RV187" s="30"/>
      <c r="RW187" s="30"/>
      <c r="RX187" s="30"/>
      <c r="RY187" s="30"/>
      <c r="RZ187" s="30"/>
      <c r="SA187" s="30"/>
      <c r="SB187" s="30"/>
      <c r="SC187" s="30"/>
      <c r="SD187" s="30"/>
      <c r="SE187" s="30"/>
      <c r="SF187" s="30"/>
      <c r="SG187" s="30"/>
      <c r="SH187" s="30"/>
      <c r="SI187" s="30"/>
      <c r="SJ187" s="30"/>
      <c r="SK187" s="30"/>
      <c r="SL187" s="30"/>
      <c r="SM187" s="30"/>
      <c r="SN187" s="30"/>
      <c r="SO187" s="30"/>
      <c r="SP187" s="30"/>
      <c r="SQ187" s="30"/>
      <c r="SR187" s="30"/>
      <c r="SS187" s="30"/>
      <c r="ST187" s="30"/>
      <c r="SU187" s="30"/>
      <c r="SV187" s="30"/>
      <c r="SW187" s="30"/>
      <c r="SX187" s="30"/>
      <c r="SY187" s="30"/>
      <c r="SZ187" s="30"/>
      <c r="TA187" s="30"/>
      <c r="TB187" s="30"/>
      <c r="TC187" s="30"/>
      <c r="TD187" s="30"/>
      <c r="TE187" s="30"/>
      <c r="TF187" s="30"/>
      <c r="TG187" s="30"/>
    </row>
    <row r="188" spans="1:527" s="22" customFormat="1" ht="78.75" x14ac:dyDescent="0.25">
      <c r="A188" s="59" t="s">
        <v>186</v>
      </c>
      <c r="B188" s="92" t="str">
        <f>'дод 7'!A127</f>
        <v>3180</v>
      </c>
      <c r="C188" s="92" t="str">
        <f>'дод 7'!B127</f>
        <v>1060</v>
      </c>
      <c r="D188" s="60" t="str">
        <f>'дод 7'!C127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88" s="98">
        <f t="shared" si="69"/>
        <v>2505011</v>
      </c>
      <c r="F188" s="98">
        <f>2213520+239291+52200</f>
        <v>2505011</v>
      </c>
      <c r="G188" s="98"/>
      <c r="H188" s="98"/>
      <c r="I188" s="98"/>
      <c r="J188" s="98">
        <f t="shared" si="71"/>
        <v>0</v>
      </c>
      <c r="K188" s="98"/>
      <c r="L188" s="98"/>
      <c r="M188" s="98"/>
      <c r="N188" s="98"/>
      <c r="O188" s="98"/>
      <c r="P188" s="98">
        <f t="shared" si="70"/>
        <v>2505011</v>
      </c>
      <c r="Q188" s="23"/>
      <c r="R188" s="32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  <c r="SQ188" s="23"/>
      <c r="SR188" s="23"/>
      <c r="SS188" s="23"/>
      <c r="ST188" s="23"/>
      <c r="SU188" s="23"/>
      <c r="SV188" s="23"/>
      <c r="SW188" s="23"/>
      <c r="SX188" s="23"/>
      <c r="SY188" s="23"/>
      <c r="SZ188" s="23"/>
      <c r="TA188" s="23"/>
      <c r="TB188" s="23"/>
      <c r="TC188" s="23"/>
      <c r="TD188" s="23"/>
      <c r="TE188" s="23"/>
      <c r="TF188" s="23"/>
      <c r="TG188" s="23"/>
    </row>
    <row r="189" spans="1:527" s="22" customFormat="1" ht="31.5" customHeight="1" x14ac:dyDescent="0.25">
      <c r="A189" s="59" t="s">
        <v>308</v>
      </c>
      <c r="B189" s="92" t="str">
        <f>'дод 7'!A128</f>
        <v>3191</v>
      </c>
      <c r="C189" s="92" t="str">
        <f>'дод 7'!B128</f>
        <v>1030</v>
      </c>
      <c r="D189" s="60" t="str">
        <f>'дод 7'!C128</f>
        <v>Інші видатки на соціальний захист ветеранів війни та праці</v>
      </c>
      <c r="E189" s="98">
        <f t="shared" si="69"/>
        <v>1890666</v>
      </c>
      <c r="F189" s="98">
        <f>2089960-47000-90801-61493</f>
        <v>1890666</v>
      </c>
      <c r="G189" s="98"/>
      <c r="H189" s="98"/>
      <c r="I189" s="98"/>
      <c r="J189" s="98">
        <f t="shared" si="71"/>
        <v>0</v>
      </c>
      <c r="K189" s="98"/>
      <c r="L189" s="98"/>
      <c r="M189" s="98"/>
      <c r="N189" s="98"/>
      <c r="O189" s="98"/>
      <c r="P189" s="98">
        <f t="shared" si="70"/>
        <v>1890666</v>
      </c>
      <c r="Q189" s="23"/>
      <c r="R189" s="32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</row>
    <row r="190" spans="1:527" s="22" customFormat="1" ht="47.25" x14ac:dyDescent="0.25">
      <c r="A190" s="59" t="s">
        <v>309</v>
      </c>
      <c r="B190" s="92" t="str">
        <f>'дод 7'!A129</f>
        <v>3192</v>
      </c>
      <c r="C190" s="92" t="str">
        <f>'дод 7'!B129</f>
        <v>1030</v>
      </c>
      <c r="D190" s="60" t="s">
        <v>501</v>
      </c>
      <c r="E190" s="98">
        <f t="shared" si="69"/>
        <v>2250688</v>
      </c>
      <c r="F190" s="98">
        <v>2250688</v>
      </c>
      <c r="G190" s="98"/>
      <c r="H190" s="98"/>
      <c r="I190" s="98"/>
      <c r="J190" s="98">
        <f t="shared" si="71"/>
        <v>0</v>
      </c>
      <c r="K190" s="98"/>
      <c r="L190" s="98"/>
      <c r="M190" s="98"/>
      <c r="N190" s="98"/>
      <c r="O190" s="98"/>
      <c r="P190" s="98">
        <f t="shared" si="70"/>
        <v>2250688</v>
      </c>
      <c r="Q190" s="23"/>
      <c r="R190" s="32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</row>
    <row r="191" spans="1:527" s="22" customFormat="1" ht="34.5" customHeight="1" x14ac:dyDescent="0.25">
      <c r="A191" s="59" t="s">
        <v>187</v>
      </c>
      <c r="B191" s="92" t="str">
        <f>'дод 7'!A130</f>
        <v>3200</v>
      </c>
      <c r="C191" s="92" t="str">
        <f>'дод 7'!B130</f>
        <v>1090</v>
      </c>
      <c r="D191" s="60" t="str">
        <f>'дод 7'!C130</f>
        <v>Забезпечення обробки інформації з нарахування та виплати допомог і компенсацій</v>
      </c>
      <c r="E191" s="98">
        <f t="shared" si="69"/>
        <v>92000</v>
      </c>
      <c r="F191" s="98">
        <v>92000</v>
      </c>
      <c r="G191" s="98"/>
      <c r="H191" s="98"/>
      <c r="I191" s="98"/>
      <c r="J191" s="98">
        <f t="shared" si="71"/>
        <v>0</v>
      </c>
      <c r="K191" s="98"/>
      <c r="L191" s="98"/>
      <c r="M191" s="98"/>
      <c r="N191" s="98"/>
      <c r="O191" s="98"/>
      <c r="P191" s="98">
        <f t="shared" si="70"/>
        <v>92000</v>
      </c>
      <c r="Q191" s="23"/>
      <c r="R191" s="32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  <c r="TG191" s="23"/>
    </row>
    <row r="192" spans="1:527" s="22" customFormat="1" ht="19.5" customHeight="1" x14ac:dyDescent="0.25">
      <c r="A192" s="102" t="s">
        <v>310</v>
      </c>
      <c r="B192" s="42" t="str">
        <f>'дод 7'!A131</f>
        <v>3210</v>
      </c>
      <c r="C192" s="42" t="str">
        <f>'дод 7'!B131</f>
        <v>1050</v>
      </c>
      <c r="D192" s="36" t="str">
        <f>'дод 7'!C131</f>
        <v>Організація та проведення громадських робіт</v>
      </c>
      <c r="E192" s="98">
        <f t="shared" si="69"/>
        <v>50000</v>
      </c>
      <c r="F192" s="98">
        <v>50000</v>
      </c>
      <c r="G192" s="98">
        <v>40900</v>
      </c>
      <c r="H192" s="98"/>
      <c r="I192" s="98"/>
      <c r="J192" s="98">
        <f t="shared" si="71"/>
        <v>0</v>
      </c>
      <c r="K192" s="98"/>
      <c r="L192" s="98"/>
      <c r="M192" s="98"/>
      <c r="N192" s="98"/>
      <c r="O192" s="98"/>
      <c r="P192" s="98">
        <f t="shared" si="70"/>
        <v>50000</v>
      </c>
      <c r="Q192" s="23"/>
      <c r="R192" s="32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  <c r="TG192" s="23"/>
    </row>
    <row r="193" spans="1:527" s="22" customFormat="1" ht="261" customHeight="1" x14ac:dyDescent="0.25">
      <c r="A193" s="102" t="s">
        <v>441</v>
      </c>
      <c r="B193" s="42">
        <v>3221</v>
      </c>
      <c r="C193" s="102" t="s">
        <v>53</v>
      </c>
      <c r="D193" s="36" t="s">
        <v>581</v>
      </c>
      <c r="E193" s="98">
        <f t="shared" si="69"/>
        <v>0</v>
      </c>
      <c r="F193" s="115"/>
      <c r="G193" s="98"/>
      <c r="H193" s="98"/>
      <c r="I193" s="98"/>
      <c r="J193" s="98">
        <f t="shared" si="71"/>
        <v>975480.06</v>
      </c>
      <c r="K193" s="98">
        <v>975480.06</v>
      </c>
      <c r="L193" s="98"/>
      <c r="M193" s="98"/>
      <c r="N193" s="98"/>
      <c r="O193" s="98">
        <v>975480.06</v>
      </c>
      <c r="P193" s="98">
        <f t="shared" si="70"/>
        <v>975480.06</v>
      </c>
      <c r="Q193" s="23"/>
      <c r="R193" s="32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  <c r="TF193" s="23"/>
      <c r="TG193" s="23"/>
    </row>
    <row r="194" spans="1:527" s="24" customFormat="1" ht="306.75" customHeight="1" x14ac:dyDescent="0.25">
      <c r="A194" s="104"/>
      <c r="B194" s="87"/>
      <c r="C194" s="104"/>
      <c r="D194" s="86" t="s">
        <v>579</v>
      </c>
      <c r="E194" s="98">
        <f t="shared" si="69"/>
        <v>0</v>
      </c>
      <c r="F194" s="135"/>
      <c r="G194" s="100"/>
      <c r="H194" s="100"/>
      <c r="I194" s="100"/>
      <c r="J194" s="98">
        <f t="shared" si="71"/>
        <v>975480.06</v>
      </c>
      <c r="K194" s="100">
        <v>975480.06</v>
      </c>
      <c r="L194" s="100"/>
      <c r="M194" s="100"/>
      <c r="N194" s="100"/>
      <c r="O194" s="100">
        <v>975480.06</v>
      </c>
      <c r="P194" s="100">
        <f t="shared" si="70"/>
        <v>975480.06</v>
      </c>
      <c r="Q194" s="30"/>
      <c r="R194" s="32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  <c r="IW194" s="30"/>
      <c r="IX194" s="30"/>
      <c r="IY194" s="30"/>
      <c r="IZ194" s="30"/>
      <c r="JA194" s="30"/>
      <c r="JB194" s="30"/>
      <c r="JC194" s="30"/>
      <c r="JD194" s="30"/>
      <c r="JE194" s="30"/>
      <c r="JF194" s="30"/>
      <c r="JG194" s="30"/>
      <c r="JH194" s="30"/>
      <c r="JI194" s="30"/>
      <c r="JJ194" s="30"/>
      <c r="JK194" s="30"/>
      <c r="JL194" s="30"/>
      <c r="JM194" s="30"/>
      <c r="JN194" s="30"/>
      <c r="JO194" s="30"/>
      <c r="JP194" s="30"/>
      <c r="JQ194" s="30"/>
      <c r="JR194" s="30"/>
      <c r="JS194" s="30"/>
      <c r="JT194" s="30"/>
      <c r="JU194" s="30"/>
      <c r="JV194" s="30"/>
      <c r="JW194" s="30"/>
      <c r="JX194" s="30"/>
      <c r="JY194" s="30"/>
      <c r="JZ194" s="30"/>
      <c r="KA194" s="30"/>
      <c r="KB194" s="30"/>
      <c r="KC194" s="30"/>
      <c r="KD194" s="30"/>
      <c r="KE194" s="30"/>
      <c r="KF194" s="30"/>
      <c r="KG194" s="30"/>
      <c r="KH194" s="30"/>
      <c r="KI194" s="30"/>
      <c r="KJ194" s="30"/>
      <c r="KK194" s="30"/>
      <c r="KL194" s="30"/>
      <c r="KM194" s="30"/>
      <c r="KN194" s="30"/>
      <c r="KO194" s="30"/>
      <c r="KP194" s="30"/>
      <c r="KQ194" s="30"/>
      <c r="KR194" s="30"/>
      <c r="KS194" s="30"/>
      <c r="KT194" s="30"/>
      <c r="KU194" s="30"/>
      <c r="KV194" s="30"/>
      <c r="KW194" s="30"/>
      <c r="KX194" s="30"/>
      <c r="KY194" s="30"/>
      <c r="KZ194" s="30"/>
      <c r="LA194" s="30"/>
      <c r="LB194" s="30"/>
      <c r="LC194" s="30"/>
      <c r="LD194" s="30"/>
      <c r="LE194" s="30"/>
      <c r="LF194" s="30"/>
      <c r="LG194" s="30"/>
      <c r="LH194" s="30"/>
      <c r="LI194" s="30"/>
      <c r="LJ194" s="30"/>
      <c r="LK194" s="30"/>
      <c r="LL194" s="30"/>
      <c r="LM194" s="30"/>
      <c r="LN194" s="30"/>
      <c r="LO194" s="30"/>
      <c r="LP194" s="30"/>
      <c r="LQ194" s="30"/>
      <c r="LR194" s="30"/>
      <c r="LS194" s="30"/>
      <c r="LT194" s="30"/>
      <c r="LU194" s="30"/>
      <c r="LV194" s="30"/>
      <c r="LW194" s="30"/>
      <c r="LX194" s="30"/>
      <c r="LY194" s="30"/>
      <c r="LZ194" s="30"/>
      <c r="MA194" s="30"/>
      <c r="MB194" s="30"/>
      <c r="MC194" s="30"/>
      <c r="MD194" s="30"/>
      <c r="ME194" s="30"/>
      <c r="MF194" s="30"/>
      <c r="MG194" s="30"/>
      <c r="MH194" s="30"/>
      <c r="MI194" s="30"/>
      <c r="MJ194" s="30"/>
      <c r="MK194" s="30"/>
      <c r="ML194" s="30"/>
      <c r="MM194" s="30"/>
      <c r="MN194" s="30"/>
      <c r="MO194" s="30"/>
      <c r="MP194" s="30"/>
      <c r="MQ194" s="30"/>
      <c r="MR194" s="30"/>
      <c r="MS194" s="30"/>
      <c r="MT194" s="30"/>
      <c r="MU194" s="30"/>
      <c r="MV194" s="30"/>
      <c r="MW194" s="30"/>
      <c r="MX194" s="30"/>
      <c r="MY194" s="30"/>
      <c r="MZ194" s="30"/>
      <c r="NA194" s="30"/>
      <c r="NB194" s="30"/>
      <c r="NC194" s="30"/>
      <c r="ND194" s="30"/>
      <c r="NE194" s="30"/>
      <c r="NF194" s="30"/>
      <c r="NG194" s="30"/>
      <c r="NH194" s="30"/>
      <c r="NI194" s="30"/>
      <c r="NJ194" s="30"/>
      <c r="NK194" s="30"/>
      <c r="NL194" s="30"/>
      <c r="NM194" s="30"/>
      <c r="NN194" s="30"/>
      <c r="NO194" s="30"/>
      <c r="NP194" s="30"/>
      <c r="NQ194" s="30"/>
      <c r="NR194" s="30"/>
      <c r="NS194" s="30"/>
      <c r="NT194" s="30"/>
      <c r="NU194" s="30"/>
      <c r="NV194" s="30"/>
      <c r="NW194" s="30"/>
      <c r="NX194" s="30"/>
      <c r="NY194" s="30"/>
      <c r="NZ194" s="30"/>
      <c r="OA194" s="30"/>
      <c r="OB194" s="30"/>
      <c r="OC194" s="30"/>
      <c r="OD194" s="30"/>
      <c r="OE194" s="30"/>
      <c r="OF194" s="30"/>
      <c r="OG194" s="30"/>
      <c r="OH194" s="30"/>
      <c r="OI194" s="30"/>
      <c r="OJ194" s="30"/>
      <c r="OK194" s="30"/>
      <c r="OL194" s="30"/>
      <c r="OM194" s="30"/>
      <c r="ON194" s="30"/>
      <c r="OO194" s="30"/>
      <c r="OP194" s="30"/>
      <c r="OQ194" s="30"/>
      <c r="OR194" s="30"/>
      <c r="OS194" s="30"/>
      <c r="OT194" s="30"/>
      <c r="OU194" s="30"/>
      <c r="OV194" s="30"/>
      <c r="OW194" s="30"/>
      <c r="OX194" s="30"/>
      <c r="OY194" s="30"/>
      <c r="OZ194" s="30"/>
      <c r="PA194" s="30"/>
      <c r="PB194" s="30"/>
      <c r="PC194" s="30"/>
      <c r="PD194" s="30"/>
      <c r="PE194" s="30"/>
      <c r="PF194" s="30"/>
      <c r="PG194" s="30"/>
      <c r="PH194" s="30"/>
      <c r="PI194" s="30"/>
      <c r="PJ194" s="30"/>
      <c r="PK194" s="30"/>
      <c r="PL194" s="30"/>
      <c r="PM194" s="30"/>
      <c r="PN194" s="30"/>
      <c r="PO194" s="30"/>
      <c r="PP194" s="30"/>
      <c r="PQ194" s="30"/>
      <c r="PR194" s="30"/>
      <c r="PS194" s="30"/>
      <c r="PT194" s="30"/>
      <c r="PU194" s="30"/>
      <c r="PV194" s="30"/>
      <c r="PW194" s="30"/>
      <c r="PX194" s="30"/>
      <c r="PY194" s="30"/>
      <c r="PZ194" s="30"/>
      <c r="QA194" s="30"/>
      <c r="QB194" s="30"/>
      <c r="QC194" s="30"/>
      <c r="QD194" s="30"/>
      <c r="QE194" s="30"/>
      <c r="QF194" s="30"/>
      <c r="QG194" s="30"/>
      <c r="QH194" s="30"/>
      <c r="QI194" s="30"/>
      <c r="QJ194" s="30"/>
      <c r="QK194" s="30"/>
      <c r="QL194" s="30"/>
      <c r="QM194" s="30"/>
      <c r="QN194" s="30"/>
      <c r="QO194" s="30"/>
      <c r="QP194" s="30"/>
      <c r="QQ194" s="30"/>
      <c r="QR194" s="30"/>
      <c r="QS194" s="30"/>
      <c r="QT194" s="30"/>
      <c r="QU194" s="30"/>
      <c r="QV194" s="30"/>
      <c r="QW194" s="30"/>
      <c r="QX194" s="30"/>
      <c r="QY194" s="30"/>
      <c r="QZ194" s="30"/>
      <c r="RA194" s="30"/>
      <c r="RB194" s="30"/>
      <c r="RC194" s="30"/>
      <c r="RD194" s="30"/>
      <c r="RE194" s="30"/>
      <c r="RF194" s="30"/>
      <c r="RG194" s="30"/>
      <c r="RH194" s="30"/>
      <c r="RI194" s="30"/>
      <c r="RJ194" s="30"/>
      <c r="RK194" s="30"/>
      <c r="RL194" s="30"/>
      <c r="RM194" s="30"/>
      <c r="RN194" s="30"/>
      <c r="RO194" s="30"/>
      <c r="RP194" s="30"/>
      <c r="RQ194" s="30"/>
      <c r="RR194" s="30"/>
      <c r="RS194" s="30"/>
      <c r="RT194" s="30"/>
      <c r="RU194" s="30"/>
      <c r="RV194" s="30"/>
      <c r="RW194" s="30"/>
      <c r="RX194" s="30"/>
      <c r="RY194" s="30"/>
      <c r="RZ194" s="30"/>
      <c r="SA194" s="30"/>
      <c r="SB194" s="30"/>
      <c r="SC194" s="30"/>
      <c r="SD194" s="30"/>
      <c r="SE194" s="30"/>
      <c r="SF194" s="30"/>
      <c r="SG194" s="30"/>
      <c r="SH194" s="30"/>
      <c r="SI194" s="30"/>
      <c r="SJ194" s="30"/>
      <c r="SK194" s="30"/>
      <c r="SL194" s="30"/>
      <c r="SM194" s="30"/>
      <c r="SN194" s="30"/>
      <c r="SO194" s="30"/>
      <c r="SP194" s="30"/>
      <c r="SQ194" s="30"/>
      <c r="SR194" s="30"/>
      <c r="SS194" s="30"/>
      <c r="ST194" s="30"/>
      <c r="SU194" s="30"/>
      <c r="SV194" s="30"/>
      <c r="SW194" s="30"/>
      <c r="SX194" s="30"/>
      <c r="SY194" s="30"/>
      <c r="SZ194" s="30"/>
      <c r="TA194" s="30"/>
      <c r="TB194" s="30"/>
      <c r="TC194" s="30"/>
      <c r="TD194" s="30"/>
      <c r="TE194" s="30"/>
      <c r="TF194" s="30"/>
      <c r="TG194" s="30"/>
    </row>
    <row r="195" spans="1:527" s="22" customFormat="1" ht="324.75" customHeight="1" x14ac:dyDescent="0.25">
      <c r="A195" s="102" t="s">
        <v>561</v>
      </c>
      <c r="B195" s="42">
        <v>3222</v>
      </c>
      <c r="C195" s="102" t="s">
        <v>53</v>
      </c>
      <c r="D195" s="36" t="s">
        <v>618</v>
      </c>
      <c r="E195" s="98">
        <f t="shared" ref="E195:E196" si="72">F195+I195</f>
        <v>0</v>
      </c>
      <c r="F195" s="136"/>
      <c r="G195" s="98"/>
      <c r="H195" s="98"/>
      <c r="I195" s="98"/>
      <c r="J195" s="98">
        <f t="shared" ref="J195:J196" si="73">L195+O195</f>
        <v>1176130.99</v>
      </c>
      <c r="K195" s="98">
        <v>1176130.99</v>
      </c>
      <c r="L195" s="98"/>
      <c r="M195" s="98"/>
      <c r="N195" s="98"/>
      <c r="O195" s="98">
        <v>1176130.99</v>
      </c>
      <c r="P195" s="98">
        <f t="shared" si="70"/>
        <v>1176130.99</v>
      </c>
      <c r="Q195" s="23"/>
      <c r="R195" s="32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  <c r="TF195" s="23"/>
      <c r="TG195" s="23"/>
    </row>
    <row r="196" spans="1:527" s="24" customFormat="1" ht="350.25" customHeight="1" x14ac:dyDescent="0.25">
      <c r="A196" s="104"/>
      <c r="B196" s="87"/>
      <c r="C196" s="104"/>
      <c r="D196" s="86" t="s">
        <v>604</v>
      </c>
      <c r="E196" s="100">
        <f t="shared" si="72"/>
        <v>0</v>
      </c>
      <c r="F196" s="135"/>
      <c r="G196" s="100"/>
      <c r="H196" s="100"/>
      <c r="I196" s="100"/>
      <c r="J196" s="100">
        <f t="shared" si="73"/>
        <v>1176130.99</v>
      </c>
      <c r="K196" s="100">
        <v>1176130.99</v>
      </c>
      <c r="L196" s="100"/>
      <c r="M196" s="100"/>
      <c r="N196" s="100"/>
      <c r="O196" s="100">
        <v>1176130.99</v>
      </c>
      <c r="P196" s="100">
        <f t="shared" si="70"/>
        <v>1176130.99</v>
      </c>
      <c r="Q196" s="30"/>
      <c r="R196" s="32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  <c r="IW196" s="30"/>
      <c r="IX196" s="30"/>
      <c r="IY196" s="30"/>
      <c r="IZ196" s="30"/>
      <c r="JA196" s="30"/>
      <c r="JB196" s="30"/>
      <c r="JC196" s="30"/>
      <c r="JD196" s="30"/>
      <c r="JE196" s="30"/>
      <c r="JF196" s="30"/>
      <c r="JG196" s="30"/>
      <c r="JH196" s="30"/>
      <c r="JI196" s="30"/>
      <c r="JJ196" s="30"/>
      <c r="JK196" s="30"/>
      <c r="JL196" s="30"/>
      <c r="JM196" s="30"/>
      <c r="JN196" s="30"/>
      <c r="JO196" s="30"/>
      <c r="JP196" s="30"/>
      <c r="JQ196" s="30"/>
      <c r="JR196" s="30"/>
      <c r="JS196" s="30"/>
      <c r="JT196" s="30"/>
      <c r="JU196" s="30"/>
      <c r="JV196" s="30"/>
      <c r="JW196" s="30"/>
      <c r="JX196" s="30"/>
      <c r="JY196" s="30"/>
      <c r="JZ196" s="30"/>
      <c r="KA196" s="30"/>
      <c r="KB196" s="30"/>
      <c r="KC196" s="30"/>
      <c r="KD196" s="30"/>
      <c r="KE196" s="30"/>
      <c r="KF196" s="30"/>
      <c r="KG196" s="30"/>
      <c r="KH196" s="30"/>
      <c r="KI196" s="30"/>
      <c r="KJ196" s="30"/>
      <c r="KK196" s="30"/>
      <c r="KL196" s="30"/>
      <c r="KM196" s="30"/>
      <c r="KN196" s="30"/>
      <c r="KO196" s="30"/>
      <c r="KP196" s="30"/>
      <c r="KQ196" s="30"/>
      <c r="KR196" s="30"/>
      <c r="KS196" s="30"/>
      <c r="KT196" s="30"/>
      <c r="KU196" s="30"/>
      <c r="KV196" s="30"/>
      <c r="KW196" s="30"/>
      <c r="KX196" s="30"/>
      <c r="KY196" s="30"/>
      <c r="KZ196" s="30"/>
      <c r="LA196" s="30"/>
      <c r="LB196" s="30"/>
      <c r="LC196" s="30"/>
      <c r="LD196" s="30"/>
      <c r="LE196" s="30"/>
      <c r="LF196" s="30"/>
      <c r="LG196" s="30"/>
      <c r="LH196" s="30"/>
      <c r="LI196" s="30"/>
      <c r="LJ196" s="30"/>
      <c r="LK196" s="30"/>
      <c r="LL196" s="30"/>
      <c r="LM196" s="30"/>
      <c r="LN196" s="30"/>
      <c r="LO196" s="30"/>
      <c r="LP196" s="30"/>
      <c r="LQ196" s="30"/>
      <c r="LR196" s="30"/>
      <c r="LS196" s="30"/>
      <c r="LT196" s="30"/>
      <c r="LU196" s="30"/>
      <c r="LV196" s="30"/>
      <c r="LW196" s="30"/>
      <c r="LX196" s="30"/>
      <c r="LY196" s="30"/>
      <c r="LZ196" s="30"/>
      <c r="MA196" s="30"/>
      <c r="MB196" s="30"/>
      <c r="MC196" s="30"/>
      <c r="MD196" s="30"/>
      <c r="ME196" s="30"/>
      <c r="MF196" s="30"/>
      <c r="MG196" s="30"/>
      <c r="MH196" s="30"/>
      <c r="MI196" s="30"/>
      <c r="MJ196" s="30"/>
      <c r="MK196" s="30"/>
      <c r="ML196" s="30"/>
      <c r="MM196" s="30"/>
      <c r="MN196" s="30"/>
      <c r="MO196" s="30"/>
      <c r="MP196" s="30"/>
      <c r="MQ196" s="30"/>
      <c r="MR196" s="30"/>
      <c r="MS196" s="30"/>
      <c r="MT196" s="30"/>
      <c r="MU196" s="30"/>
      <c r="MV196" s="30"/>
      <c r="MW196" s="30"/>
      <c r="MX196" s="30"/>
      <c r="MY196" s="30"/>
      <c r="MZ196" s="30"/>
      <c r="NA196" s="30"/>
      <c r="NB196" s="30"/>
      <c r="NC196" s="30"/>
      <c r="ND196" s="30"/>
      <c r="NE196" s="30"/>
      <c r="NF196" s="30"/>
      <c r="NG196" s="30"/>
      <c r="NH196" s="30"/>
      <c r="NI196" s="30"/>
      <c r="NJ196" s="30"/>
      <c r="NK196" s="30"/>
      <c r="NL196" s="30"/>
      <c r="NM196" s="30"/>
      <c r="NN196" s="30"/>
      <c r="NO196" s="30"/>
      <c r="NP196" s="30"/>
      <c r="NQ196" s="30"/>
      <c r="NR196" s="30"/>
      <c r="NS196" s="30"/>
      <c r="NT196" s="30"/>
      <c r="NU196" s="30"/>
      <c r="NV196" s="30"/>
      <c r="NW196" s="30"/>
      <c r="NX196" s="30"/>
      <c r="NY196" s="30"/>
      <c r="NZ196" s="30"/>
      <c r="OA196" s="30"/>
      <c r="OB196" s="30"/>
      <c r="OC196" s="30"/>
      <c r="OD196" s="30"/>
      <c r="OE196" s="30"/>
      <c r="OF196" s="30"/>
      <c r="OG196" s="30"/>
      <c r="OH196" s="30"/>
      <c r="OI196" s="30"/>
      <c r="OJ196" s="30"/>
      <c r="OK196" s="30"/>
      <c r="OL196" s="30"/>
      <c r="OM196" s="30"/>
      <c r="ON196" s="30"/>
      <c r="OO196" s="30"/>
      <c r="OP196" s="30"/>
      <c r="OQ196" s="30"/>
      <c r="OR196" s="30"/>
      <c r="OS196" s="30"/>
      <c r="OT196" s="30"/>
      <c r="OU196" s="30"/>
      <c r="OV196" s="30"/>
      <c r="OW196" s="30"/>
      <c r="OX196" s="30"/>
      <c r="OY196" s="30"/>
      <c r="OZ196" s="30"/>
      <c r="PA196" s="30"/>
      <c r="PB196" s="30"/>
      <c r="PC196" s="30"/>
      <c r="PD196" s="30"/>
      <c r="PE196" s="30"/>
      <c r="PF196" s="30"/>
      <c r="PG196" s="30"/>
      <c r="PH196" s="30"/>
      <c r="PI196" s="30"/>
      <c r="PJ196" s="30"/>
      <c r="PK196" s="30"/>
      <c r="PL196" s="30"/>
      <c r="PM196" s="30"/>
      <c r="PN196" s="30"/>
      <c r="PO196" s="30"/>
      <c r="PP196" s="30"/>
      <c r="PQ196" s="30"/>
      <c r="PR196" s="30"/>
      <c r="PS196" s="30"/>
      <c r="PT196" s="30"/>
      <c r="PU196" s="30"/>
      <c r="PV196" s="30"/>
      <c r="PW196" s="30"/>
      <c r="PX196" s="30"/>
      <c r="PY196" s="30"/>
      <c r="PZ196" s="30"/>
      <c r="QA196" s="30"/>
      <c r="QB196" s="30"/>
      <c r="QC196" s="30"/>
      <c r="QD196" s="30"/>
      <c r="QE196" s="30"/>
      <c r="QF196" s="30"/>
      <c r="QG196" s="30"/>
      <c r="QH196" s="30"/>
      <c r="QI196" s="30"/>
      <c r="QJ196" s="30"/>
      <c r="QK196" s="30"/>
      <c r="QL196" s="30"/>
      <c r="QM196" s="30"/>
      <c r="QN196" s="30"/>
      <c r="QO196" s="30"/>
      <c r="QP196" s="30"/>
      <c r="QQ196" s="30"/>
      <c r="QR196" s="30"/>
      <c r="QS196" s="30"/>
      <c r="QT196" s="30"/>
      <c r="QU196" s="30"/>
      <c r="QV196" s="30"/>
      <c r="QW196" s="30"/>
      <c r="QX196" s="30"/>
      <c r="QY196" s="30"/>
      <c r="QZ196" s="30"/>
      <c r="RA196" s="30"/>
      <c r="RB196" s="30"/>
      <c r="RC196" s="30"/>
      <c r="RD196" s="30"/>
      <c r="RE196" s="30"/>
      <c r="RF196" s="30"/>
      <c r="RG196" s="30"/>
      <c r="RH196" s="30"/>
      <c r="RI196" s="30"/>
      <c r="RJ196" s="30"/>
      <c r="RK196" s="30"/>
      <c r="RL196" s="30"/>
      <c r="RM196" s="30"/>
      <c r="RN196" s="30"/>
      <c r="RO196" s="30"/>
      <c r="RP196" s="30"/>
      <c r="RQ196" s="30"/>
      <c r="RR196" s="30"/>
      <c r="RS196" s="30"/>
      <c r="RT196" s="30"/>
      <c r="RU196" s="30"/>
      <c r="RV196" s="30"/>
      <c r="RW196" s="30"/>
      <c r="RX196" s="30"/>
      <c r="RY196" s="30"/>
      <c r="RZ196" s="30"/>
      <c r="SA196" s="30"/>
      <c r="SB196" s="30"/>
      <c r="SC196" s="30"/>
      <c r="SD196" s="30"/>
      <c r="SE196" s="30"/>
      <c r="SF196" s="30"/>
      <c r="SG196" s="30"/>
      <c r="SH196" s="30"/>
      <c r="SI196" s="30"/>
      <c r="SJ196" s="30"/>
      <c r="SK196" s="30"/>
      <c r="SL196" s="30"/>
      <c r="SM196" s="30"/>
      <c r="SN196" s="30"/>
      <c r="SO196" s="30"/>
      <c r="SP196" s="30"/>
      <c r="SQ196" s="30"/>
      <c r="SR196" s="30"/>
      <c r="SS196" s="30"/>
      <c r="ST196" s="30"/>
      <c r="SU196" s="30"/>
      <c r="SV196" s="30"/>
      <c r="SW196" s="30"/>
      <c r="SX196" s="30"/>
      <c r="SY196" s="30"/>
      <c r="SZ196" s="30"/>
      <c r="TA196" s="30"/>
      <c r="TB196" s="30"/>
      <c r="TC196" s="30"/>
      <c r="TD196" s="30"/>
      <c r="TE196" s="30"/>
      <c r="TF196" s="30"/>
      <c r="TG196" s="30"/>
    </row>
    <row r="197" spans="1:527" s="22" customFormat="1" ht="220.5" hidden="1" x14ac:dyDescent="0.25">
      <c r="A197" s="102" t="s">
        <v>440</v>
      </c>
      <c r="B197" s="42">
        <v>3223</v>
      </c>
      <c r="C197" s="102" t="s">
        <v>53</v>
      </c>
      <c r="D197" s="36" t="str">
        <f>'дод 7'!C136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97" s="98">
        <f t="shared" si="69"/>
        <v>0</v>
      </c>
      <c r="F197" s="98"/>
      <c r="G197" s="98"/>
      <c r="H197" s="98"/>
      <c r="I197" s="98"/>
      <c r="J197" s="98">
        <f t="shared" si="71"/>
        <v>0</v>
      </c>
      <c r="K197" s="98"/>
      <c r="L197" s="98"/>
      <c r="M197" s="98"/>
      <c r="N197" s="98"/>
      <c r="O197" s="98"/>
      <c r="P197" s="98">
        <f t="shared" si="70"/>
        <v>0</v>
      </c>
      <c r="Q197" s="23"/>
      <c r="R197" s="32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</row>
    <row r="198" spans="1:527" s="24" customFormat="1" ht="267.75" hidden="1" x14ac:dyDescent="0.25">
      <c r="A198" s="104"/>
      <c r="B198" s="87"/>
      <c r="C198" s="104"/>
      <c r="D198" s="86" t="str">
        <f>'дод 7'!C137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98" s="100">
        <f t="shared" si="69"/>
        <v>0</v>
      </c>
      <c r="F198" s="100"/>
      <c r="G198" s="100"/>
      <c r="H198" s="100"/>
      <c r="I198" s="100"/>
      <c r="J198" s="100">
        <f t="shared" si="71"/>
        <v>0</v>
      </c>
      <c r="K198" s="100"/>
      <c r="L198" s="100"/>
      <c r="M198" s="100"/>
      <c r="N198" s="100"/>
      <c r="O198" s="100"/>
      <c r="P198" s="100">
        <f t="shared" si="70"/>
        <v>0</v>
      </c>
      <c r="Q198" s="30"/>
      <c r="R198" s="32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/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30"/>
      <c r="MW198" s="30"/>
      <c r="MX198" s="30"/>
      <c r="MY198" s="30"/>
      <c r="MZ198" s="30"/>
      <c r="NA198" s="30"/>
      <c r="NB198" s="30"/>
      <c r="NC198" s="30"/>
      <c r="ND198" s="30"/>
      <c r="NE198" s="30"/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30"/>
      <c r="NY198" s="30"/>
      <c r="NZ198" s="30"/>
      <c r="OA198" s="30"/>
      <c r="OB198" s="30"/>
      <c r="OC198" s="30"/>
      <c r="OD198" s="30"/>
      <c r="OE198" s="30"/>
      <c r="OF198" s="30"/>
      <c r="OG198" s="30"/>
      <c r="OH198" s="30"/>
      <c r="OI198" s="30"/>
      <c r="OJ198" s="30"/>
      <c r="OK198" s="30"/>
      <c r="OL198" s="30"/>
      <c r="OM198" s="30"/>
      <c r="ON198" s="30"/>
      <c r="OO198" s="30"/>
      <c r="OP198" s="30"/>
      <c r="OQ198" s="30"/>
      <c r="OR198" s="30"/>
      <c r="OS198" s="30"/>
      <c r="OT198" s="30"/>
      <c r="OU198" s="30"/>
      <c r="OV198" s="30"/>
      <c r="OW198" s="30"/>
      <c r="OX198" s="30"/>
      <c r="OY198" s="30"/>
      <c r="OZ198" s="30"/>
      <c r="PA198" s="30"/>
      <c r="PB198" s="30"/>
      <c r="PC198" s="30"/>
      <c r="PD198" s="30"/>
      <c r="PE198" s="30"/>
      <c r="PF198" s="30"/>
      <c r="PG198" s="30"/>
      <c r="PH198" s="30"/>
      <c r="PI198" s="30"/>
      <c r="PJ198" s="30"/>
      <c r="PK198" s="30"/>
      <c r="PL198" s="30"/>
      <c r="PM198" s="30"/>
      <c r="PN198" s="30"/>
      <c r="PO198" s="30"/>
      <c r="PP198" s="30"/>
      <c r="PQ198" s="30"/>
      <c r="PR198" s="30"/>
      <c r="PS198" s="30"/>
      <c r="PT198" s="30"/>
      <c r="PU198" s="30"/>
      <c r="PV198" s="30"/>
      <c r="PW198" s="30"/>
      <c r="PX198" s="30"/>
      <c r="PY198" s="30"/>
      <c r="PZ198" s="30"/>
      <c r="QA198" s="30"/>
      <c r="QB198" s="30"/>
      <c r="QC198" s="30"/>
      <c r="QD198" s="30"/>
      <c r="QE198" s="30"/>
      <c r="QF198" s="30"/>
      <c r="QG198" s="30"/>
      <c r="QH198" s="30"/>
      <c r="QI198" s="30"/>
      <c r="QJ198" s="30"/>
      <c r="QK198" s="30"/>
      <c r="QL198" s="30"/>
      <c r="QM198" s="30"/>
      <c r="QN198" s="30"/>
      <c r="QO198" s="30"/>
      <c r="QP198" s="30"/>
      <c r="QQ198" s="30"/>
      <c r="QR198" s="30"/>
      <c r="QS198" s="30"/>
      <c r="QT198" s="30"/>
      <c r="QU198" s="30"/>
      <c r="QV198" s="30"/>
      <c r="QW198" s="30"/>
      <c r="QX198" s="30"/>
      <c r="QY198" s="30"/>
      <c r="QZ198" s="30"/>
      <c r="RA198" s="30"/>
      <c r="RB198" s="30"/>
      <c r="RC198" s="30"/>
      <c r="RD198" s="30"/>
      <c r="RE198" s="30"/>
      <c r="RF198" s="30"/>
      <c r="RG198" s="30"/>
      <c r="RH198" s="30"/>
      <c r="RI198" s="30"/>
      <c r="RJ198" s="30"/>
      <c r="RK198" s="30"/>
      <c r="RL198" s="30"/>
      <c r="RM198" s="30"/>
      <c r="RN198" s="30"/>
      <c r="RO198" s="30"/>
      <c r="RP198" s="30"/>
      <c r="RQ198" s="30"/>
      <c r="RR198" s="30"/>
      <c r="RS198" s="30"/>
      <c r="RT198" s="30"/>
      <c r="RU198" s="30"/>
      <c r="RV198" s="30"/>
      <c r="RW198" s="30"/>
      <c r="RX198" s="30"/>
      <c r="RY198" s="30"/>
      <c r="RZ198" s="30"/>
      <c r="SA198" s="30"/>
      <c r="SB198" s="30"/>
      <c r="SC198" s="30"/>
      <c r="SD198" s="30"/>
      <c r="SE198" s="30"/>
      <c r="SF198" s="30"/>
      <c r="SG198" s="30"/>
      <c r="SH198" s="30"/>
      <c r="SI198" s="30"/>
      <c r="SJ198" s="30"/>
      <c r="SK198" s="30"/>
      <c r="SL198" s="30"/>
      <c r="SM198" s="30"/>
      <c r="SN198" s="30"/>
      <c r="SO198" s="30"/>
      <c r="SP198" s="30"/>
      <c r="SQ198" s="30"/>
      <c r="SR198" s="30"/>
      <c r="SS198" s="30"/>
      <c r="ST198" s="30"/>
      <c r="SU198" s="30"/>
      <c r="SV198" s="30"/>
      <c r="SW198" s="30"/>
      <c r="SX198" s="30"/>
      <c r="SY198" s="30"/>
      <c r="SZ198" s="30"/>
      <c r="TA198" s="30"/>
      <c r="TB198" s="30"/>
      <c r="TC198" s="30"/>
      <c r="TD198" s="30"/>
      <c r="TE198" s="30"/>
      <c r="TF198" s="30"/>
      <c r="TG198" s="30"/>
    </row>
    <row r="199" spans="1:527" s="22" customFormat="1" ht="31.5" customHeight="1" x14ac:dyDescent="0.25">
      <c r="A199" s="59" t="s">
        <v>307</v>
      </c>
      <c r="B199" s="92" t="str">
        <f>'дод 7'!A138</f>
        <v>3241</v>
      </c>
      <c r="C199" s="92" t="str">
        <f>'дод 7'!B138</f>
        <v>1090</v>
      </c>
      <c r="D199" s="60" t="str">
        <f>'дод 7'!C138</f>
        <v>Забезпечення діяльності інших закладів у сфері соціального захисту і соціального забезпечення</v>
      </c>
      <c r="E199" s="98">
        <f t="shared" si="69"/>
        <v>6171670.0800000001</v>
      </c>
      <c r="F199" s="98">
        <f>6615708.56+38000+199000+75614-795852.48+39200</f>
        <v>6171670.0800000001</v>
      </c>
      <c r="G199" s="98">
        <f>4074650-476164.66</f>
        <v>3598485.34</v>
      </c>
      <c r="H199" s="98">
        <f>333300+75614-74659.4+39200</f>
        <v>373454.6</v>
      </c>
      <c r="I199" s="98"/>
      <c r="J199" s="98">
        <f t="shared" ref="J199:J203" si="74">L199+O199</f>
        <v>160800</v>
      </c>
      <c r="K199" s="98">
        <f>360000-199000-200</f>
        <v>160800</v>
      </c>
      <c r="L199" s="98"/>
      <c r="M199" s="98"/>
      <c r="N199" s="98"/>
      <c r="O199" s="98">
        <f>360000-199000-200</f>
        <v>160800</v>
      </c>
      <c r="P199" s="98">
        <f t="shared" si="70"/>
        <v>6332470.0800000001</v>
      </c>
      <c r="Q199" s="23"/>
      <c r="R199" s="32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  <c r="SQ199" s="23"/>
      <c r="SR199" s="23"/>
      <c r="SS199" s="23"/>
      <c r="ST199" s="23"/>
      <c r="SU199" s="23"/>
      <c r="SV199" s="23"/>
      <c r="SW199" s="23"/>
      <c r="SX199" s="23"/>
      <c r="SY199" s="23"/>
      <c r="SZ199" s="23"/>
      <c r="TA199" s="23"/>
      <c r="TB199" s="23"/>
      <c r="TC199" s="23"/>
      <c r="TD199" s="23"/>
      <c r="TE199" s="23"/>
      <c r="TF199" s="23"/>
      <c r="TG199" s="23"/>
    </row>
    <row r="200" spans="1:527" s="22" customFormat="1" ht="33" customHeight="1" x14ac:dyDescent="0.25">
      <c r="A200" s="59" t="s">
        <v>355</v>
      </c>
      <c r="B200" s="92" t="str">
        <f>'дод 7'!A139</f>
        <v>3242</v>
      </c>
      <c r="C200" s="92" t="str">
        <f>'дод 7'!B139</f>
        <v>1090</v>
      </c>
      <c r="D200" s="60" t="s">
        <v>515</v>
      </c>
      <c r="E200" s="98">
        <f t="shared" si="69"/>
        <v>39774644.549999997</v>
      </c>
      <c r="F200" s="98">
        <f>34325670+76000+12000+250000+1652252.55+881000+791200+57000+20770+189500+106000+5000+5000+10000+25000+47000+1000+45000+69500+38800+125610-12000+90000+148000+100000+78747+27500+350000+8719+96115+43245+111016</f>
        <v>39774644.549999997</v>
      </c>
      <c r="G200" s="98"/>
      <c r="H200" s="98"/>
      <c r="I200" s="98"/>
      <c r="J200" s="98">
        <f t="shared" si="74"/>
        <v>57000</v>
      </c>
      <c r="K200" s="98">
        <f>45000+12000</f>
        <v>57000</v>
      </c>
      <c r="L200" s="98"/>
      <c r="M200" s="98"/>
      <c r="N200" s="98"/>
      <c r="O200" s="98">
        <f>45000+12000</f>
        <v>57000</v>
      </c>
      <c r="P200" s="98">
        <f t="shared" si="70"/>
        <v>39831644.549999997</v>
      </c>
      <c r="Q200" s="23"/>
      <c r="R200" s="32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</row>
    <row r="201" spans="1:527" s="24" customFormat="1" ht="15" customHeight="1" x14ac:dyDescent="0.25">
      <c r="A201" s="83"/>
      <c r="B201" s="110"/>
      <c r="C201" s="110"/>
      <c r="D201" s="84" t="s">
        <v>393</v>
      </c>
      <c r="E201" s="100">
        <f t="shared" si="69"/>
        <v>348000</v>
      </c>
      <c r="F201" s="100">
        <f>336000+12000</f>
        <v>348000</v>
      </c>
      <c r="G201" s="100"/>
      <c r="H201" s="100"/>
      <c r="I201" s="100"/>
      <c r="J201" s="100">
        <f t="shared" si="74"/>
        <v>0</v>
      </c>
      <c r="K201" s="100"/>
      <c r="L201" s="100"/>
      <c r="M201" s="100"/>
      <c r="N201" s="100"/>
      <c r="O201" s="100"/>
      <c r="P201" s="100">
        <f t="shared" si="70"/>
        <v>348000</v>
      </c>
      <c r="Q201" s="30"/>
      <c r="R201" s="32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  <c r="IW201" s="30"/>
      <c r="IX201" s="30"/>
      <c r="IY201" s="30"/>
      <c r="IZ201" s="30"/>
      <c r="JA201" s="30"/>
      <c r="JB201" s="30"/>
      <c r="JC201" s="30"/>
      <c r="JD201" s="30"/>
      <c r="JE201" s="30"/>
      <c r="JF201" s="30"/>
      <c r="JG201" s="30"/>
      <c r="JH201" s="30"/>
      <c r="JI201" s="30"/>
      <c r="JJ201" s="30"/>
      <c r="JK201" s="30"/>
      <c r="JL201" s="30"/>
      <c r="JM201" s="30"/>
      <c r="JN201" s="30"/>
      <c r="JO201" s="30"/>
      <c r="JP201" s="30"/>
      <c r="JQ201" s="30"/>
      <c r="JR201" s="30"/>
      <c r="JS201" s="30"/>
      <c r="JT201" s="30"/>
      <c r="JU201" s="30"/>
      <c r="JV201" s="30"/>
      <c r="JW201" s="30"/>
      <c r="JX201" s="30"/>
      <c r="JY201" s="30"/>
      <c r="JZ201" s="30"/>
      <c r="KA201" s="30"/>
      <c r="KB201" s="30"/>
      <c r="KC201" s="30"/>
      <c r="KD201" s="30"/>
      <c r="KE201" s="30"/>
      <c r="KF201" s="30"/>
      <c r="KG201" s="30"/>
      <c r="KH201" s="30"/>
      <c r="KI201" s="30"/>
      <c r="KJ201" s="30"/>
      <c r="KK201" s="30"/>
      <c r="KL201" s="30"/>
      <c r="KM201" s="30"/>
      <c r="KN201" s="30"/>
      <c r="KO201" s="30"/>
      <c r="KP201" s="30"/>
      <c r="KQ201" s="30"/>
      <c r="KR201" s="30"/>
      <c r="KS201" s="30"/>
      <c r="KT201" s="30"/>
      <c r="KU201" s="30"/>
      <c r="KV201" s="30"/>
      <c r="KW201" s="30"/>
      <c r="KX201" s="30"/>
      <c r="KY201" s="30"/>
      <c r="KZ201" s="30"/>
      <c r="LA201" s="30"/>
      <c r="LB201" s="30"/>
      <c r="LC201" s="30"/>
      <c r="LD201" s="30"/>
      <c r="LE201" s="30"/>
      <c r="LF201" s="30"/>
      <c r="LG201" s="30"/>
      <c r="LH201" s="30"/>
      <c r="LI201" s="30"/>
      <c r="LJ201" s="30"/>
      <c r="LK201" s="30"/>
      <c r="LL201" s="30"/>
      <c r="LM201" s="30"/>
      <c r="LN201" s="30"/>
      <c r="LO201" s="30"/>
      <c r="LP201" s="30"/>
      <c r="LQ201" s="30"/>
      <c r="LR201" s="30"/>
      <c r="LS201" s="30"/>
      <c r="LT201" s="30"/>
      <c r="LU201" s="30"/>
      <c r="LV201" s="30"/>
      <c r="LW201" s="30"/>
      <c r="LX201" s="30"/>
      <c r="LY201" s="30"/>
      <c r="LZ201" s="30"/>
      <c r="MA201" s="30"/>
      <c r="MB201" s="30"/>
      <c r="MC201" s="30"/>
      <c r="MD201" s="30"/>
      <c r="ME201" s="30"/>
      <c r="MF201" s="30"/>
      <c r="MG201" s="30"/>
      <c r="MH201" s="30"/>
      <c r="MI201" s="30"/>
      <c r="MJ201" s="30"/>
      <c r="MK201" s="30"/>
      <c r="ML201" s="30"/>
      <c r="MM201" s="30"/>
      <c r="MN201" s="30"/>
      <c r="MO201" s="30"/>
      <c r="MP201" s="30"/>
      <c r="MQ201" s="30"/>
      <c r="MR201" s="30"/>
      <c r="MS201" s="30"/>
      <c r="MT201" s="30"/>
      <c r="MU201" s="30"/>
      <c r="MV201" s="30"/>
      <c r="MW201" s="30"/>
      <c r="MX201" s="30"/>
      <c r="MY201" s="30"/>
      <c r="MZ201" s="30"/>
      <c r="NA201" s="30"/>
      <c r="NB201" s="30"/>
      <c r="NC201" s="30"/>
      <c r="ND201" s="30"/>
      <c r="NE201" s="30"/>
      <c r="NF201" s="30"/>
      <c r="NG201" s="30"/>
      <c r="NH201" s="30"/>
      <c r="NI201" s="30"/>
      <c r="NJ201" s="30"/>
      <c r="NK201" s="30"/>
      <c r="NL201" s="30"/>
      <c r="NM201" s="30"/>
      <c r="NN201" s="30"/>
      <c r="NO201" s="30"/>
      <c r="NP201" s="30"/>
      <c r="NQ201" s="30"/>
      <c r="NR201" s="30"/>
      <c r="NS201" s="30"/>
      <c r="NT201" s="30"/>
      <c r="NU201" s="30"/>
      <c r="NV201" s="30"/>
      <c r="NW201" s="30"/>
      <c r="NX201" s="30"/>
      <c r="NY201" s="30"/>
      <c r="NZ201" s="30"/>
      <c r="OA201" s="30"/>
      <c r="OB201" s="30"/>
      <c r="OC201" s="30"/>
      <c r="OD201" s="30"/>
      <c r="OE201" s="30"/>
      <c r="OF201" s="30"/>
      <c r="OG201" s="30"/>
      <c r="OH201" s="30"/>
      <c r="OI201" s="30"/>
      <c r="OJ201" s="30"/>
      <c r="OK201" s="30"/>
      <c r="OL201" s="30"/>
      <c r="OM201" s="30"/>
      <c r="ON201" s="30"/>
      <c r="OO201" s="30"/>
      <c r="OP201" s="30"/>
      <c r="OQ201" s="30"/>
      <c r="OR201" s="30"/>
      <c r="OS201" s="30"/>
      <c r="OT201" s="30"/>
      <c r="OU201" s="30"/>
      <c r="OV201" s="30"/>
      <c r="OW201" s="30"/>
      <c r="OX201" s="30"/>
      <c r="OY201" s="30"/>
      <c r="OZ201" s="30"/>
      <c r="PA201" s="30"/>
      <c r="PB201" s="30"/>
      <c r="PC201" s="30"/>
      <c r="PD201" s="30"/>
      <c r="PE201" s="30"/>
      <c r="PF201" s="30"/>
      <c r="PG201" s="30"/>
      <c r="PH201" s="30"/>
      <c r="PI201" s="30"/>
      <c r="PJ201" s="30"/>
      <c r="PK201" s="30"/>
      <c r="PL201" s="30"/>
      <c r="PM201" s="30"/>
      <c r="PN201" s="30"/>
      <c r="PO201" s="30"/>
      <c r="PP201" s="30"/>
      <c r="PQ201" s="30"/>
      <c r="PR201" s="30"/>
      <c r="PS201" s="30"/>
      <c r="PT201" s="30"/>
      <c r="PU201" s="30"/>
      <c r="PV201" s="30"/>
      <c r="PW201" s="30"/>
      <c r="PX201" s="30"/>
      <c r="PY201" s="30"/>
      <c r="PZ201" s="30"/>
      <c r="QA201" s="30"/>
      <c r="QB201" s="30"/>
      <c r="QC201" s="30"/>
      <c r="QD201" s="30"/>
      <c r="QE201" s="30"/>
      <c r="QF201" s="30"/>
      <c r="QG201" s="30"/>
      <c r="QH201" s="30"/>
      <c r="QI201" s="30"/>
      <c r="QJ201" s="30"/>
      <c r="QK201" s="30"/>
      <c r="QL201" s="30"/>
      <c r="QM201" s="30"/>
      <c r="QN201" s="30"/>
      <c r="QO201" s="30"/>
      <c r="QP201" s="30"/>
      <c r="QQ201" s="30"/>
      <c r="QR201" s="30"/>
      <c r="QS201" s="30"/>
      <c r="QT201" s="30"/>
      <c r="QU201" s="30"/>
      <c r="QV201" s="30"/>
      <c r="QW201" s="30"/>
      <c r="QX201" s="30"/>
      <c r="QY201" s="30"/>
      <c r="QZ201" s="30"/>
      <c r="RA201" s="30"/>
      <c r="RB201" s="30"/>
      <c r="RC201" s="30"/>
      <c r="RD201" s="30"/>
      <c r="RE201" s="30"/>
      <c r="RF201" s="30"/>
      <c r="RG201" s="30"/>
      <c r="RH201" s="30"/>
      <c r="RI201" s="30"/>
      <c r="RJ201" s="30"/>
      <c r="RK201" s="30"/>
      <c r="RL201" s="30"/>
      <c r="RM201" s="30"/>
      <c r="RN201" s="30"/>
      <c r="RO201" s="30"/>
      <c r="RP201" s="30"/>
      <c r="RQ201" s="30"/>
      <c r="RR201" s="30"/>
      <c r="RS201" s="30"/>
      <c r="RT201" s="30"/>
      <c r="RU201" s="30"/>
      <c r="RV201" s="30"/>
      <c r="RW201" s="30"/>
      <c r="RX201" s="30"/>
      <c r="RY201" s="30"/>
      <c r="RZ201" s="30"/>
      <c r="SA201" s="30"/>
      <c r="SB201" s="30"/>
      <c r="SC201" s="30"/>
      <c r="SD201" s="30"/>
      <c r="SE201" s="30"/>
      <c r="SF201" s="30"/>
      <c r="SG201" s="30"/>
      <c r="SH201" s="30"/>
      <c r="SI201" s="30"/>
      <c r="SJ201" s="30"/>
      <c r="SK201" s="30"/>
      <c r="SL201" s="30"/>
      <c r="SM201" s="30"/>
      <c r="SN201" s="30"/>
      <c r="SO201" s="30"/>
      <c r="SP201" s="30"/>
      <c r="SQ201" s="30"/>
      <c r="SR201" s="30"/>
      <c r="SS201" s="30"/>
      <c r="ST201" s="30"/>
      <c r="SU201" s="30"/>
      <c r="SV201" s="30"/>
      <c r="SW201" s="30"/>
      <c r="SX201" s="30"/>
      <c r="SY201" s="30"/>
      <c r="SZ201" s="30"/>
      <c r="TA201" s="30"/>
      <c r="TB201" s="30"/>
      <c r="TC201" s="30"/>
      <c r="TD201" s="30"/>
      <c r="TE201" s="30"/>
      <c r="TF201" s="30"/>
      <c r="TG201" s="30"/>
    </row>
    <row r="202" spans="1:527" s="22" customFormat="1" ht="18.75" x14ac:dyDescent="0.25">
      <c r="A202" s="59" t="s">
        <v>417</v>
      </c>
      <c r="B202" s="92">
        <v>7323</v>
      </c>
      <c r="C202" s="59" t="s">
        <v>111</v>
      </c>
      <c r="D202" s="128" t="s">
        <v>549</v>
      </c>
      <c r="E202" s="98">
        <f t="shared" si="69"/>
        <v>0</v>
      </c>
      <c r="F202" s="98"/>
      <c r="G202" s="98"/>
      <c r="H202" s="98"/>
      <c r="I202" s="98"/>
      <c r="J202" s="98">
        <f t="shared" si="74"/>
        <v>461003</v>
      </c>
      <c r="K202" s="98">
        <f>400000+73213-12210</f>
        <v>461003</v>
      </c>
      <c r="L202" s="98"/>
      <c r="M202" s="98"/>
      <c r="N202" s="98"/>
      <c r="O202" s="98">
        <f>400000+73213-12210</f>
        <v>461003</v>
      </c>
      <c r="P202" s="98">
        <f t="shared" si="70"/>
        <v>461003</v>
      </c>
      <c r="Q202" s="23"/>
      <c r="R202" s="32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  <c r="TF202" s="23"/>
      <c r="TG202" s="23"/>
    </row>
    <row r="203" spans="1:527" s="22" customFormat="1" ht="22.5" customHeight="1" x14ac:dyDescent="0.25">
      <c r="A203" s="59" t="s">
        <v>265</v>
      </c>
      <c r="B203" s="92" t="str">
        <f>'дод 7'!A256</f>
        <v>9770</v>
      </c>
      <c r="C203" s="92" t="str">
        <f>'дод 7'!B256</f>
        <v>0180</v>
      </c>
      <c r="D203" s="60" t="str">
        <f>'дод 7'!C256</f>
        <v>Інші субвенції з місцевого бюджету</v>
      </c>
      <c r="E203" s="98">
        <f t="shared" si="69"/>
        <v>5230784</v>
      </c>
      <c r="F203" s="98">
        <f>2500000+1145344+1585440</f>
        <v>5230784</v>
      </c>
      <c r="G203" s="98"/>
      <c r="H203" s="98"/>
      <c r="I203" s="98"/>
      <c r="J203" s="98">
        <f t="shared" si="74"/>
        <v>0</v>
      </c>
      <c r="K203" s="98"/>
      <c r="L203" s="98"/>
      <c r="M203" s="98"/>
      <c r="N203" s="98"/>
      <c r="O203" s="98"/>
      <c r="P203" s="98">
        <f t="shared" si="70"/>
        <v>5230784</v>
      </c>
      <c r="Q203" s="23"/>
      <c r="R203" s="32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  <c r="OX203" s="23"/>
      <c r="OY203" s="23"/>
      <c r="OZ203" s="23"/>
      <c r="PA203" s="23"/>
      <c r="PB203" s="23"/>
      <c r="PC203" s="23"/>
      <c r="PD203" s="23"/>
      <c r="PE203" s="23"/>
      <c r="PF203" s="23"/>
      <c r="PG203" s="23"/>
      <c r="PH203" s="23"/>
      <c r="PI203" s="23"/>
      <c r="PJ203" s="23"/>
      <c r="PK203" s="23"/>
      <c r="PL203" s="23"/>
      <c r="PM203" s="23"/>
      <c r="PN203" s="23"/>
      <c r="PO203" s="23"/>
      <c r="PP203" s="23"/>
      <c r="PQ203" s="23"/>
      <c r="PR203" s="23"/>
      <c r="PS203" s="23"/>
      <c r="PT203" s="23"/>
      <c r="PU203" s="23"/>
      <c r="PV203" s="23"/>
      <c r="PW203" s="23"/>
      <c r="PX203" s="23"/>
      <c r="PY203" s="23"/>
      <c r="PZ203" s="23"/>
      <c r="QA203" s="23"/>
      <c r="QB203" s="23"/>
      <c r="QC203" s="23"/>
      <c r="QD203" s="23"/>
      <c r="QE203" s="23"/>
      <c r="QF203" s="23"/>
      <c r="QG203" s="23"/>
      <c r="QH203" s="23"/>
      <c r="QI203" s="23"/>
      <c r="QJ203" s="23"/>
      <c r="QK203" s="23"/>
      <c r="QL203" s="23"/>
      <c r="QM203" s="23"/>
      <c r="QN203" s="23"/>
      <c r="QO203" s="23"/>
      <c r="QP203" s="23"/>
      <c r="QQ203" s="23"/>
      <c r="QR203" s="23"/>
      <c r="QS203" s="23"/>
      <c r="QT203" s="23"/>
      <c r="QU203" s="23"/>
      <c r="QV203" s="23"/>
      <c r="QW203" s="23"/>
      <c r="QX203" s="23"/>
      <c r="QY203" s="23"/>
      <c r="QZ203" s="23"/>
      <c r="RA203" s="23"/>
      <c r="RB203" s="23"/>
      <c r="RC203" s="23"/>
      <c r="RD203" s="23"/>
      <c r="RE203" s="23"/>
      <c r="RF203" s="23"/>
      <c r="RG203" s="23"/>
      <c r="RH203" s="23"/>
      <c r="RI203" s="23"/>
      <c r="RJ203" s="23"/>
      <c r="RK203" s="23"/>
      <c r="RL203" s="23"/>
      <c r="RM203" s="23"/>
      <c r="RN203" s="23"/>
      <c r="RO203" s="23"/>
      <c r="RP203" s="23"/>
      <c r="RQ203" s="23"/>
      <c r="RR203" s="23"/>
      <c r="RS203" s="23"/>
      <c r="RT203" s="23"/>
      <c r="RU203" s="23"/>
      <c r="RV203" s="23"/>
      <c r="RW203" s="23"/>
      <c r="RX203" s="23"/>
      <c r="RY203" s="23"/>
      <c r="RZ203" s="23"/>
      <c r="SA203" s="23"/>
      <c r="SB203" s="23"/>
      <c r="SC203" s="23"/>
      <c r="SD203" s="23"/>
      <c r="SE203" s="23"/>
      <c r="SF203" s="23"/>
      <c r="SG203" s="23"/>
      <c r="SH203" s="23"/>
      <c r="SI203" s="23"/>
      <c r="SJ203" s="23"/>
      <c r="SK203" s="23"/>
      <c r="SL203" s="23"/>
      <c r="SM203" s="23"/>
      <c r="SN203" s="23"/>
      <c r="SO203" s="23"/>
      <c r="SP203" s="23"/>
      <c r="SQ203" s="23"/>
      <c r="SR203" s="23"/>
      <c r="SS203" s="23"/>
      <c r="ST203" s="23"/>
      <c r="SU203" s="23"/>
      <c r="SV203" s="23"/>
      <c r="SW203" s="23"/>
      <c r="SX203" s="23"/>
      <c r="SY203" s="23"/>
      <c r="SZ203" s="23"/>
      <c r="TA203" s="23"/>
      <c r="TB203" s="23"/>
      <c r="TC203" s="23"/>
      <c r="TD203" s="23"/>
      <c r="TE203" s="23"/>
      <c r="TF203" s="23"/>
      <c r="TG203" s="23"/>
    </row>
    <row r="204" spans="1:527" s="27" customFormat="1" ht="31.5" x14ac:dyDescent="0.25">
      <c r="A204" s="105" t="s">
        <v>188</v>
      </c>
      <c r="B204" s="39"/>
      <c r="C204" s="39"/>
      <c r="D204" s="106" t="s">
        <v>363</v>
      </c>
      <c r="E204" s="94">
        <f>E205</f>
        <v>5902461</v>
      </c>
      <c r="F204" s="94">
        <f t="shared" ref="F204:J204" si="75">F205</f>
        <v>5902461</v>
      </c>
      <c r="G204" s="94">
        <f t="shared" si="75"/>
        <v>4512300</v>
      </c>
      <c r="H204" s="94">
        <f t="shared" si="75"/>
        <v>68181</v>
      </c>
      <c r="I204" s="94">
        <f t="shared" si="75"/>
        <v>0</v>
      </c>
      <c r="J204" s="94">
        <f t="shared" si="75"/>
        <v>8509988</v>
      </c>
      <c r="K204" s="94">
        <f t="shared" ref="K204" si="76">K205</f>
        <v>8509988</v>
      </c>
      <c r="L204" s="94">
        <f t="shared" ref="L204" si="77">L205</f>
        <v>0</v>
      </c>
      <c r="M204" s="94">
        <f t="shared" ref="M204" si="78">M205</f>
        <v>0</v>
      </c>
      <c r="N204" s="94">
        <f t="shared" ref="N204" si="79">N205</f>
        <v>0</v>
      </c>
      <c r="O204" s="94">
        <f t="shared" ref="O204:P204" si="80">O205</f>
        <v>8509988</v>
      </c>
      <c r="P204" s="94">
        <f t="shared" si="80"/>
        <v>14412449</v>
      </c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  <c r="IP204" s="32"/>
      <c r="IQ204" s="32"/>
      <c r="IR204" s="32"/>
      <c r="IS204" s="32"/>
      <c r="IT204" s="32"/>
      <c r="IU204" s="32"/>
      <c r="IV204" s="32"/>
      <c r="IW204" s="32"/>
      <c r="IX204" s="32"/>
      <c r="IY204" s="32"/>
      <c r="IZ204" s="32"/>
      <c r="JA204" s="32"/>
      <c r="JB204" s="32"/>
      <c r="JC204" s="32"/>
      <c r="JD204" s="32"/>
      <c r="JE204" s="32"/>
      <c r="JF204" s="32"/>
      <c r="JG204" s="32"/>
      <c r="JH204" s="32"/>
      <c r="JI204" s="32"/>
      <c r="JJ204" s="32"/>
      <c r="JK204" s="32"/>
      <c r="JL204" s="32"/>
      <c r="JM204" s="32"/>
      <c r="JN204" s="32"/>
      <c r="JO204" s="32"/>
      <c r="JP204" s="32"/>
      <c r="JQ204" s="32"/>
      <c r="JR204" s="32"/>
      <c r="JS204" s="32"/>
      <c r="JT204" s="32"/>
      <c r="JU204" s="32"/>
      <c r="JV204" s="32"/>
      <c r="JW204" s="32"/>
      <c r="JX204" s="32"/>
      <c r="JY204" s="32"/>
      <c r="JZ204" s="32"/>
      <c r="KA204" s="32"/>
      <c r="KB204" s="32"/>
      <c r="KC204" s="32"/>
      <c r="KD204" s="32"/>
      <c r="KE204" s="32"/>
      <c r="KF204" s="32"/>
      <c r="KG204" s="32"/>
      <c r="KH204" s="32"/>
      <c r="KI204" s="32"/>
      <c r="KJ204" s="32"/>
      <c r="KK204" s="32"/>
      <c r="KL204" s="32"/>
      <c r="KM204" s="32"/>
      <c r="KN204" s="32"/>
      <c r="KO204" s="32"/>
      <c r="KP204" s="32"/>
      <c r="KQ204" s="32"/>
      <c r="KR204" s="32"/>
      <c r="KS204" s="32"/>
      <c r="KT204" s="32"/>
      <c r="KU204" s="32"/>
      <c r="KV204" s="32"/>
      <c r="KW204" s="32"/>
      <c r="KX204" s="32"/>
      <c r="KY204" s="32"/>
      <c r="KZ204" s="32"/>
      <c r="LA204" s="32"/>
      <c r="LB204" s="32"/>
      <c r="LC204" s="32"/>
      <c r="LD204" s="32"/>
      <c r="LE204" s="32"/>
      <c r="LF204" s="32"/>
      <c r="LG204" s="32"/>
      <c r="LH204" s="32"/>
      <c r="LI204" s="32"/>
      <c r="LJ204" s="32"/>
      <c r="LK204" s="32"/>
      <c r="LL204" s="32"/>
      <c r="LM204" s="32"/>
      <c r="LN204" s="32"/>
      <c r="LO204" s="32"/>
      <c r="LP204" s="32"/>
      <c r="LQ204" s="32"/>
      <c r="LR204" s="32"/>
      <c r="LS204" s="32"/>
      <c r="LT204" s="32"/>
      <c r="LU204" s="32"/>
      <c r="LV204" s="32"/>
      <c r="LW204" s="32"/>
      <c r="LX204" s="32"/>
      <c r="LY204" s="32"/>
      <c r="LZ204" s="32"/>
      <c r="MA204" s="32"/>
      <c r="MB204" s="32"/>
      <c r="MC204" s="32"/>
      <c r="MD204" s="32"/>
      <c r="ME204" s="32"/>
      <c r="MF204" s="32"/>
      <c r="MG204" s="32"/>
      <c r="MH204" s="32"/>
      <c r="MI204" s="32"/>
      <c r="MJ204" s="32"/>
      <c r="MK204" s="32"/>
      <c r="ML204" s="32"/>
      <c r="MM204" s="32"/>
      <c r="MN204" s="32"/>
      <c r="MO204" s="32"/>
      <c r="MP204" s="32"/>
      <c r="MQ204" s="32"/>
      <c r="MR204" s="32"/>
      <c r="MS204" s="32"/>
      <c r="MT204" s="32"/>
      <c r="MU204" s="32"/>
      <c r="MV204" s="32"/>
      <c r="MW204" s="32"/>
      <c r="MX204" s="32"/>
      <c r="MY204" s="32"/>
      <c r="MZ204" s="32"/>
      <c r="NA204" s="32"/>
      <c r="NB204" s="32"/>
      <c r="NC204" s="32"/>
      <c r="ND204" s="32"/>
      <c r="NE204" s="32"/>
      <c r="NF204" s="32"/>
      <c r="NG204" s="32"/>
      <c r="NH204" s="32"/>
      <c r="NI204" s="32"/>
      <c r="NJ204" s="32"/>
      <c r="NK204" s="32"/>
      <c r="NL204" s="32"/>
      <c r="NM204" s="32"/>
      <c r="NN204" s="32"/>
      <c r="NO204" s="32"/>
      <c r="NP204" s="32"/>
      <c r="NQ204" s="32"/>
      <c r="NR204" s="32"/>
      <c r="NS204" s="32"/>
      <c r="NT204" s="32"/>
      <c r="NU204" s="32"/>
      <c r="NV204" s="32"/>
      <c r="NW204" s="32"/>
      <c r="NX204" s="32"/>
      <c r="NY204" s="32"/>
      <c r="NZ204" s="32"/>
      <c r="OA204" s="32"/>
      <c r="OB204" s="32"/>
      <c r="OC204" s="32"/>
      <c r="OD204" s="32"/>
      <c r="OE204" s="32"/>
      <c r="OF204" s="32"/>
      <c r="OG204" s="32"/>
      <c r="OH204" s="32"/>
      <c r="OI204" s="32"/>
      <c r="OJ204" s="32"/>
      <c r="OK204" s="32"/>
      <c r="OL204" s="32"/>
      <c r="OM204" s="32"/>
      <c r="ON204" s="32"/>
      <c r="OO204" s="32"/>
      <c r="OP204" s="32"/>
      <c r="OQ204" s="32"/>
      <c r="OR204" s="32"/>
      <c r="OS204" s="32"/>
      <c r="OT204" s="32"/>
      <c r="OU204" s="32"/>
      <c r="OV204" s="32"/>
      <c r="OW204" s="32"/>
      <c r="OX204" s="32"/>
      <c r="OY204" s="32"/>
      <c r="OZ204" s="32"/>
      <c r="PA204" s="32"/>
      <c r="PB204" s="32"/>
      <c r="PC204" s="32"/>
      <c r="PD204" s="32"/>
      <c r="PE204" s="32"/>
      <c r="PF204" s="32"/>
      <c r="PG204" s="32"/>
      <c r="PH204" s="32"/>
      <c r="PI204" s="32"/>
      <c r="PJ204" s="32"/>
      <c r="PK204" s="32"/>
      <c r="PL204" s="32"/>
      <c r="PM204" s="32"/>
      <c r="PN204" s="32"/>
      <c r="PO204" s="32"/>
      <c r="PP204" s="32"/>
      <c r="PQ204" s="32"/>
      <c r="PR204" s="32"/>
      <c r="PS204" s="32"/>
      <c r="PT204" s="32"/>
      <c r="PU204" s="32"/>
      <c r="PV204" s="32"/>
      <c r="PW204" s="32"/>
      <c r="PX204" s="32"/>
      <c r="PY204" s="32"/>
      <c r="PZ204" s="32"/>
      <c r="QA204" s="32"/>
      <c r="QB204" s="32"/>
      <c r="QC204" s="32"/>
      <c r="QD204" s="32"/>
      <c r="QE204" s="32"/>
      <c r="QF204" s="32"/>
      <c r="QG204" s="32"/>
      <c r="QH204" s="32"/>
      <c r="QI204" s="32"/>
      <c r="QJ204" s="32"/>
      <c r="QK204" s="32"/>
      <c r="QL204" s="32"/>
      <c r="QM204" s="32"/>
      <c r="QN204" s="32"/>
      <c r="QO204" s="32"/>
      <c r="QP204" s="32"/>
      <c r="QQ204" s="32"/>
      <c r="QR204" s="32"/>
      <c r="QS204" s="32"/>
      <c r="QT204" s="32"/>
      <c r="QU204" s="32"/>
      <c r="QV204" s="32"/>
      <c r="QW204" s="32"/>
      <c r="QX204" s="32"/>
      <c r="QY204" s="32"/>
      <c r="QZ204" s="32"/>
      <c r="RA204" s="32"/>
      <c r="RB204" s="32"/>
      <c r="RC204" s="32"/>
      <c r="RD204" s="32"/>
      <c r="RE204" s="32"/>
      <c r="RF204" s="32"/>
      <c r="RG204" s="32"/>
      <c r="RH204" s="32"/>
      <c r="RI204" s="32"/>
      <c r="RJ204" s="32"/>
      <c r="RK204" s="32"/>
      <c r="RL204" s="32"/>
      <c r="RM204" s="32"/>
      <c r="RN204" s="32"/>
      <c r="RO204" s="32"/>
      <c r="RP204" s="32"/>
      <c r="RQ204" s="32"/>
      <c r="RR204" s="32"/>
      <c r="RS204" s="32"/>
      <c r="RT204" s="32"/>
      <c r="RU204" s="32"/>
      <c r="RV204" s="32"/>
      <c r="RW204" s="32"/>
      <c r="RX204" s="32"/>
      <c r="RY204" s="32"/>
      <c r="RZ204" s="32"/>
      <c r="SA204" s="32"/>
      <c r="SB204" s="32"/>
      <c r="SC204" s="32"/>
      <c r="SD204" s="32"/>
      <c r="SE204" s="32"/>
      <c r="SF204" s="32"/>
      <c r="SG204" s="32"/>
      <c r="SH204" s="32"/>
      <c r="SI204" s="32"/>
      <c r="SJ204" s="32"/>
      <c r="SK204" s="32"/>
      <c r="SL204" s="32"/>
      <c r="SM204" s="32"/>
      <c r="SN204" s="32"/>
      <c r="SO204" s="32"/>
      <c r="SP204" s="32"/>
      <c r="SQ204" s="32"/>
      <c r="SR204" s="32"/>
      <c r="SS204" s="32"/>
      <c r="ST204" s="32"/>
      <c r="SU204" s="32"/>
      <c r="SV204" s="32"/>
      <c r="SW204" s="32"/>
      <c r="SX204" s="32"/>
      <c r="SY204" s="32"/>
      <c r="SZ204" s="32"/>
      <c r="TA204" s="32"/>
      <c r="TB204" s="32"/>
      <c r="TC204" s="32"/>
      <c r="TD204" s="32"/>
      <c r="TE204" s="32"/>
      <c r="TF204" s="32"/>
      <c r="TG204" s="32"/>
    </row>
    <row r="205" spans="1:527" s="34" customFormat="1" ht="31.5" x14ac:dyDescent="0.25">
      <c r="A205" s="107" t="s">
        <v>189</v>
      </c>
      <c r="B205" s="73"/>
      <c r="C205" s="73"/>
      <c r="D205" s="76" t="s">
        <v>363</v>
      </c>
      <c r="E205" s="97">
        <f>E207+E208+E209+E210</f>
        <v>5902461</v>
      </c>
      <c r="F205" s="97">
        <f t="shared" ref="F205:P205" si="81">F207+F208+F209+F210</f>
        <v>5902461</v>
      </c>
      <c r="G205" s="97">
        <f t="shared" si="81"/>
        <v>4512300</v>
      </c>
      <c r="H205" s="97">
        <f t="shared" si="81"/>
        <v>68181</v>
      </c>
      <c r="I205" s="97">
        <f t="shared" si="81"/>
        <v>0</v>
      </c>
      <c r="J205" s="97">
        <f t="shared" si="81"/>
        <v>8509988</v>
      </c>
      <c r="K205" s="97">
        <f>K207+K208+K209+K210</f>
        <v>8509988</v>
      </c>
      <c r="L205" s="97">
        <f t="shared" si="81"/>
        <v>0</v>
      </c>
      <c r="M205" s="97">
        <f t="shared" si="81"/>
        <v>0</v>
      </c>
      <c r="N205" s="97">
        <f t="shared" si="81"/>
        <v>0</v>
      </c>
      <c r="O205" s="97">
        <f t="shared" si="81"/>
        <v>8509988</v>
      </c>
      <c r="P205" s="97">
        <f t="shared" si="81"/>
        <v>14412449</v>
      </c>
      <c r="Q205" s="33"/>
      <c r="R205" s="32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  <c r="IV205" s="33"/>
      <c r="IW205" s="33"/>
      <c r="IX205" s="33"/>
      <c r="IY205" s="33"/>
      <c r="IZ205" s="33"/>
      <c r="JA205" s="33"/>
      <c r="JB205" s="33"/>
      <c r="JC205" s="33"/>
      <c r="JD205" s="33"/>
      <c r="JE205" s="33"/>
      <c r="JF205" s="33"/>
      <c r="JG205" s="33"/>
      <c r="JH205" s="33"/>
      <c r="JI205" s="33"/>
      <c r="JJ205" s="33"/>
      <c r="JK205" s="33"/>
      <c r="JL205" s="33"/>
      <c r="JM205" s="33"/>
      <c r="JN205" s="33"/>
      <c r="JO205" s="33"/>
      <c r="JP205" s="33"/>
      <c r="JQ205" s="33"/>
      <c r="JR205" s="33"/>
      <c r="JS205" s="33"/>
      <c r="JT205" s="33"/>
      <c r="JU205" s="33"/>
      <c r="JV205" s="33"/>
      <c r="JW205" s="33"/>
      <c r="JX205" s="33"/>
      <c r="JY205" s="33"/>
      <c r="JZ205" s="33"/>
      <c r="KA205" s="33"/>
      <c r="KB205" s="33"/>
      <c r="KC205" s="33"/>
      <c r="KD205" s="33"/>
      <c r="KE205" s="33"/>
      <c r="KF205" s="33"/>
      <c r="KG205" s="33"/>
      <c r="KH205" s="33"/>
      <c r="KI205" s="33"/>
      <c r="KJ205" s="33"/>
      <c r="KK205" s="33"/>
      <c r="KL205" s="33"/>
      <c r="KM205" s="33"/>
      <c r="KN205" s="33"/>
      <c r="KO205" s="33"/>
      <c r="KP205" s="33"/>
      <c r="KQ205" s="33"/>
      <c r="KR205" s="33"/>
      <c r="KS205" s="33"/>
      <c r="KT205" s="33"/>
      <c r="KU205" s="33"/>
      <c r="KV205" s="33"/>
      <c r="KW205" s="33"/>
      <c r="KX205" s="33"/>
      <c r="KY205" s="33"/>
      <c r="KZ205" s="33"/>
      <c r="LA205" s="33"/>
      <c r="LB205" s="33"/>
      <c r="LC205" s="33"/>
      <c r="LD205" s="33"/>
      <c r="LE205" s="33"/>
      <c r="LF205" s="33"/>
      <c r="LG205" s="33"/>
      <c r="LH205" s="33"/>
      <c r="LI205" s="33"/>
      <c r="LJ205" s="33"/>
      <c r="LK205" s="33"/>
      <c r="LL205" s="33"/>
      <c r="LM205" s="33"/>
      <c r="LN205" s="33"/>
      <c r="LO205" s="33"/>
      <c r="LP205" s="33"/>
      <c r="LQ205" s="33"/>
      <c r="LR205" s="33"/>
      <c r="LS205" s="33"/>
      <c r="LT205" s="33"/>
      <c r="LU205" s="33"/>
      <c r="LV205" s="33"/>
      <c r="LW205" s="33"/>
      <c r="LX205" s="33"/>
      <c r="LY205" s="33"/>
      <c r="LZ205" s="33"/>
      <c r="MA205" s="33"/>
      <c r="MB205" s="33"/>
      <c r="MC205" s="33"/>
      <c r="MD205" s="33"/>
      <c r="ME205" s="33"/>
      <c r="MF205" s="33"/>
      <c r="MG205" s="33"/>
      <c r="MH205" s="33"/>
      <c r="MI205" s="33"/>
      <c r="MJ205" s="33"/>
      <c r="MK205" s="33"/>
      <c r="ML205" s="33"/>
      <c r="MM205" s="33"/>
      <c r="MN205" s="33"/>
      <c r="MO205" s="33"/>
      <c r="MP205" s="33"/>
      <c r="MQ205" s="33"/>
      <c r="MR205" s="33"/>
      <c r="MS205" s="33"/>
      <c r="MT205" s="33"/>
      <c r="MU205" s="33"/>
      <c r="MV205" s="33"/>
      <c r="MW205" s="33"/>
      <c r="MX205" s="33"/>
      <c r="MY205" s="33"/>
      <c r="MZ205" s="33"/>
      <c r="NA205" s="33"/>
      <c r="NB205" s="33"/>
      <c r="NC205" s="33"/>
      <c r="ND205" s="33"/>
      <c r="NE205" s="33"/>
      <c r="NF205" s="33"/>
      <c r="NG205" s="33"/>
      <c r="NH205" s="33"/>
      <c r="NI205" s="33"/>
      <c r="NJ205" s="33"/>
      <c r="NK205" s="33"/>
      <c r="NL205" s="33"/>
      <c r="NM205" s="33"/>
      <c r="NN205" s="33"/>
      <c r="NO205" s="33"/>
      <c r="NP205" s="33"/>
      <c r="NQ205" s="33"/>
      <c r="NR205" s="33"/>
      <c r="NS205" s="33"/>
      <c r="NT205" s="33"/>
      <c r="NU205" s="33"/>
      <c r="NV205" s="33"/>
      <c r="NW205" s="33"/>
      <c r="NX205" s="33"/>
      <c r="NY205" s="33"/>
      <c r="NZ205" s="33"/>
      <c r="OA205" s="33"/>
      <c r="OB205" s="33"/>
      <c r="OC205" s="33"/>
      <c r="OD205" s="33"/>
      <c r="OE205" s="33"/>
      <c r="OF205" s="33"/>
      <c r="OG205" s="33"/>
      <c r="OH205" s="33"/>
      <c r="OI205" s="33"/>
      <c r="OJ205" s="33"/>
      <c r="OK205" s="33"/>
      <c r="OL205" s="33"/>
      <c r="OM205" s="33"/>
      <c r="ON205" s="33"/>
      <c r="OO205" s="33"/>
      <c r="OP205" s="33"/>
      <c r="OQ205" s="33"/>
      <c r="OR205" s="33"/>
      <c r="OS205" s="33"/>
      <c r="OT205" s="33"/>
      <c r="OU205" s="33"/>
      <c r="OV205" s="33"/>
      <c r="OW205" s="33"/>
      <c r="OX205" s="33"/>
      <c r="OY205" s="33"/>
      <c r="OZ205" s="33"/>
      <c r="PA205" s="33"/>
      <c r="PB205" s="33"/>
      <c r="PC205" s="33"/>
      <c r="PD205" s="33"/>
      <c r="PE205" s="33"/>
      <c r="PF205" s="33"/>
      <c r="PG205" s="33"/>
      <c r="PH205" s="33"/>
      <c r="PI205" s="33"/>
      <c r="PJ205" s="33"/>
      <c r="PK205" s="33"/>
      <c r="PL205" s="33"/>
      <c r="PM205" s="33"/>
      <c r="PN205" s="33"/>
      <c r="PO205" s="33"/>
      <c r="PP205" s="33"/>
      <c r="PQ205" s="33"/>
      <c r="PR205" s="33"/>
      <c r="PS205" s="33"/>
      <c r="PT205" s="33"/>
      <c r="PU205" s="33"/>
      <c r="PV205" s="33"/>
      <c r="PW205" s="33"/>
      <c r="PX205" s="33"/>
      <c r="PY205" s="33"/>
      <c r="PZ205" s="33"/>
      <c r="QA205" s="33"/>
      <c r="QB205" s="33"/>
      <c r="QC205" s="33"/>
      <c r="QD205" s="33"/>
      <c r="QE205" s="33"/>
      <c r="QF205" s="33"/>
      <c r="QG205" s="33"/>
      <c r="QH205" s="33"/>
      <c r="QI205" s="33"/>
      <c r="QJ205" s="33"/>
      <c r="QK205" s="33"/>
      <c r="QL205" s="33"/>
      <c r="QM205" s="33"/>
      <c r="QN205" s="33"/>
      <c r="QO205" s="33"/>
      <c r="QP205" s="33"/>
      <c r="QQ205" s="33"/>
      <c r="QR205" s="33"/>
      <c r="QS205" s="33"/>
      <c r="QT205" s="33"/>
      <c r="QU205" s="33"/>
      <c r="QV205" s="33"/>
      <c r="QW205" s="33"/>
      <c r="QX205" s="33"/>
      <c r="QY205" s="33"/>
      <c r="QZ205" s="33"/>
      <c r="RA205" s="33"/>
      <c r="RB205" s="33"/>
      <c r="RC205" s="33"/>
      <c r="RD205" s="33"/>
      <c r="RE205" s="33"/>
      <c r="RF205" s="33"/>
      <c r="RG205" s="33"/>
      <c r="RH205" s="33"/>
      <c r="RI205" s="33"/>
      <c r="RJ205" s="33"/>
      <c r="RK205" s="33"/>
      <c r="RL205" s="33"/>
      <c r="RM205" s="33"/>
      <c r="RN205" s="33"/>
      <c r="RO205" s="33"/>
      <c r="RP205" s="33"/>
      <c r="RQ205" s="33"/>
      <c r="RR205" s="33"/>
      <c r="RS205" s="33"/>
      <c r="RT205" s="33"/>
      <c r="RU205" s="33"/>
      <c r="RV205" s="33"/>
      <c r="RW205" s="33"/>
      <c r="RX205" s="33"/>
      <c r="RY205" s="33"/>
      <c r="RZ205" s="33"/>
      <c r="SA205" s="33"/>
      <c r="SB205" s="33"/>
      <c r="SC205" s="33"/>
      <c r="SD205" s="33"/>
      <c r="SE205" s="33"/>
      <c r="SF205" s="33"/>
      <c r="SG205" s="33"/>
      <c r="SH205" s="33"/>
      <c r="SI205" s="33"/>
      <c r="SJ205" s="33"/>
      <c r="SK205" s="33"/>
      <c r="SL205" s="33"/>
      <c r="SM205" s="33"/>
      <c r="SN205" s="33"/>
      <c r="SO205" s="33"/>
      <c r="SP205" s="33"/>
      <c r="SQ205" s="33"/>
      <c r="SR205" s="33"/>
      <c r="SS205" s="33"/>
      <c r="ST205" s="33"/>
      <c r="SU205" s="33"/>
      <c r="SV205" s="33"/>
      <c r="SW205" s="33"/>
      <c r="SX205" s="33"/>
      <c r="SY205" s="33"/>
      <c r="SZ205" s="33"/>
      <c r="TA205" s="33"/>
      <c r="TB205" s="33"/>
      <c r="TC205" s="33"/>
      <c r="TD205" s="33"/>
      <c r="TE205" s="33"/>
      <c r="TF205" s="33"/>
      <c r="TG205" s="33"/>
    </row>
    <row r="206" spans="1:527" s="34" customFormat="1" ht="141.75" x14ac:dyDescent="0.25">
      <c r="A206" s="107"/>
      <c r="B206" s="73"/>
      <c r="C206" s="73"/>
      <c r="D206" s="144" t="s">
        <v>619</v>
      </c>
      <c r="E206" s="97">
        <f>E211</f>
        <v>0</v>
      </c>
      <c r="F206" s="97">
        <f t="shared" ref="F206:P206" si="82">F211</f>
        <v>0</v>
      </c>
      <c r="G206" s="97">
        <f t="shared" si="82"/>
        <v>0</v>
      </c>
      <c r="H206" s="97">
        <f t="shared" si="82"/>
        <v>0</v>
      </c>
      <c r="I206" s="97">
        <f t="shared" si="82"/>
        <v>0</v>
      </c>
      <c r="J206" s="97">
        <f t="shared" si="82"/>
        <v>6778277.5</v>
      </c>
      <c r="K206" s="97">
        <f t="shared" si="82"/>
        <v>6778277.5</v>
      </c>
      <c r="L206" s="97">
        <f t="shared" si="82"/>
        <v>0</v>
      </c>
      <c r="M206" s="97">
        <f t="shared" si="82"/>
        <v>0</v>
      </c>
      <c r="N206" s="97">
        <f t="shared" si="82"/>
        <v>0</v>
      </c>
      <c r="O206" s="97">
        <f t="shared" si="82"/>
        <v>6778277.5</v>
      </c>
      <c r="P206" s="97">
        <f t="shared" si="82"/>
        <v>6778277.5</v>
      </c>
      <c r="Q206" s="33"/>
      <c r="R206" s="32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  <c r="IW206" s="33"/>
      <c r="IX206" s="33"/>
      <c r="IY206" s="33"/>
      <c r="IZ206" s="33"/>
      <c r="JA206" s="33"/>
      <c r="JB206" s="33"/>
      <c r="JC206" s="33"/>
      <c r="JD206" s="33"/>
      <c r="JE206" s="33"/>
      <c r="JF206" s="33"/>
      <c r="JG206" s="33"/>
      <c r="JH206" s="33"/>
      <c r="JI206" s="33"/>
      <c r="JJ206" s="33"/>
      <c r="JK206" s="33"/>
      <c r="JL206" s="33"/>
      <c r="JM206" s="33"/>
      <c r="JN206" s="33"/>
      <c r="JO206" s="33"/>
      <c r="JP206" s="33"/>
      <c r="JQ206" s="33"/>
      <c r="JR206" s="33"/>
      <c r="JS206" s="33"/>
      <c r="JT206" s="33"/>
      <c r="JU206" s="33"/>
      <c r="JV206" s="33"/>
      <c r="JW206" s="33"/>
      <c r="JX206" s="33"/>
      <c r="JY206" s="33"/>
      <c r="JZ206" s="33"/>
      <c r="KA206" s="33"/>
      <c r="KB206" s="33"/>
      <c r="KC206" s="33"/>
      <c r="KD206" s="33"/>
      <c r="KE206" s="33"/>
      <c r="KF206" s="33"/>
      <c r="KG206" s="33"/>
      <c r="KH206" s="33"/>
      <c r="KI206" s="33"/>
      <c r="KJ206" s="33"/>
      <c r="KK206" s="33"/>
      <c r="KL206" s="33"/>
      <c r="KM206" s="33"/>
      <c r="KN206" s="33"/>
      <c r="KO206" s="33"/>
      <c r="KP206" s="33"/>
      <c r="KQ206" s="33"/>
      <c r="KR206" s="33"/>
      <c r="KS206" s="33"/>
      <c r="KT206" s="33"/>
      <c r="KU206" s="33"/>
      <c r="KV206" s="33"/>
      <c r="KW206" s="33"/>
      <c r="KX206" s="33"/>
      <c r="KY206" s="33"/>
      <c r="KZ206" s="33"/>
      <c r="LA206" s="33"/>
      <c r="LB206" s="33"/>
      <c r="LC206" s="33"/>
      <c r="LD206" s="33"/>
      <c r="LE206" s="33"/>
      <c r="LF206" s="33"/>
      <c r="LG206" s="33"/>
      <c r="LH206" s="33"/>
      <c r="LI206" s="33"/>
      <c r="LJ206" s="33"/>
      <c r="LK206" s="33"/>
      <c r="LL206" s="33"/>
      <c r="LM206" s="33"/>
      <c r="LN206" s="33"/>
      <c r="LO206" s="33"/>
      <c r="LP206" s="33"/>
      <c r="LQ206" s="33"/>
      <c r="LR206" s="33"/>
      <c r="LS206" s="33"/>
      <c r="LT206" s="33"/>
      <c r="LU206" s="33"/>
      <c r="LV206" s="33"/>
      <c r="LW206" s="33"/>
      <c r="LX206" s="33"/>
      <c r="LY206" s="33"/>
      <c r="LZ206" s="33"/>
      <c r="MA206" s="33"/>
      <c r="MB206" s="33"/>
      <c r="MC206" s="33"/>
      <c r="MD206" s="33"/>
      <c r="ME206" s="33"/>
      <c r="MF206" s="33"/>
      <c r="MG206" s="33"/>
      <c r="MH206" s="33"/>
      <c r="MI206" s="33"/>
      <c r="MJ206" s="33"/>
      <c r="MK206" s="33"/>
      <c r="ML206" s="33"/>
      <c r="MM206" s="33"/>
      <c r="MN206" s="33"/>
      <c r="MO206" s="33"/>
      <c r="MP206" s="33"/>
      <c r="MQ206" s="33"/>
      <c r="MR206" s="33"/>
      <c r="MS206" s="33"/>
      <c r="MT206" s="33"/>
      <c r="MU206" s="33"/>
      <c r="MV206" s="33"/>
      <c r="MW206" s="33"/>
      <c r="MX206" s="33"/>
      <c r="MY206" s="33"/>
      <c r="MZ206" s="33"/>
      <c r="NA206" s="33"/>
      <c r="NB206" s="33"/>
      <c r="NC206" s="33"/>
      <c r="ND206" s="33"/>
      <c r="NE206" s="33"/>
      <c r="NF206" s="33"/>
      <c r="NG206" s="33"/>
      <c r="NH206" s="33"/>
      <c r="NI206" s="33"/>
      <c r="NJ206" s="33"/>
      <c r="NK206" s="33"/>
      <c r="NL206" s="33"/>
      <c r="NM206" s="33"/>
      <c r="NN206" s="33"/>
      <c r="NO206" s="33"/>
      <c r="NP206" s="33"/>
      <c r="NQ206" s="33"/>
      <c r="NR206" s="33"/>
      <c r="NS206" s="33"/>
      <c r="NT206" s="33"/>
      <c r="NU206" s="33"/>
      <c r="NV206" s="33"/>
      <c r="NW206" s="33"/>
      <c r="NX206" s="33"/>
      <c r="NY206" s="33"/>
      <c r="NZ206" s="33"/>
      <c r="OA206" s="33"/>
      <c r="OB206" s="33"/>
      <c r="OC206" s="33"/>
      <c r="OD206" s="33"/>
      <c r="OE206" s="33"/>
      <c r="OF206" s="33"/>
      <c r="OG206" s="33"/>
      <c r="OH206" s="33"/>
      <c r="OI206" s="33"/>
      <c r="OJ206" s="33"/>
      <c r="OK206" s="33"/>
      <c r="OL206" s="33"/>
      <c r="OM206" s="33"/>
      <c r="ON206" s="33"/>
      <c r="OO206" s="33"/>
      <c r="OP206" s="33"/>
      <c r="OQ206" s="33"/>
      <c r="OR206" s="33"/>
      <c r="OS206" s="33"/>
      <c r="OT206" s="33"/>
      <c r="OU206" s="33"/>
      <c r="OV206" s="33"/>
      <c r="OW206" s="33"/>
      <c r="OX206" s="33"/>
      <c r="OY206" s="33"/>
      <c r="OZ206" s="33"/>
      <c r="PA206" s="33"/>
      <c r="PB206" s="33"/>
      <c r="PC206" s="33"/>
      <c r="PD206" s="33"/>
      <c r="PE206" s="33"/>
      <c r="PF206" s="33"/>
      <c r="PG206" s="33"/>
      <c r="PH206" s="33"/>
      <c r="PI206" s="33"/>
      <c r="PJ206" s="33"/>
      <c r="PK206" s="33"/>
      <c r="PL206" s="33"/>
      <c r="PM206" s="33"/>
      <c r="PN206" s="33"/>
      <c r="PO206" s="33"/>
      <c r="PP206" s="33"/>
      <c r="PQ206" s="33"/>
      <c r="PR206" s="33"/>
      <c r="PS206" s="33"/>
      <c r="PT206" s="33"/>
      <c r="PU206" s="33"/>
      <c r="PV206" s="33"/>
      <c r="PW206" s="33"/>
      <c r="PX206" s="33"/>
      <c r="PY206" s="33"/>
      <c r="PZ206" s="33"/>
      <c r="QA206" s="33"/>
      <c r="QB206" s="33"/>
      <c r="QC206" s="33"/>
      <c r="QD206" s="33"/>
      <c r="QE206" s="33"/>
      <c r="QF206" s="33"/>
      <c r="QG206" s="33"/>
      <c r="QH206" s="33"/>
      <c r="QI206" s="33"/>
      <c r="QJ206" s="33"/>
      <c r="QK206" s="33"/>
      <c r="QL206" s="33"/>
      <c r="QM206" s="33"/>
      <c r="QN206" s="33"/>
      <c r="QO206" s="33"/>
      <c r="QP206" s="33"/>
      <c r="QQ206" s="33"/>
      <c r="QR206" s="33"/>
      <c r="QS206" s="33"/>
      <c r="QT206" s="33"/>
      <c r="QU206" s="33"/>
      <c r="QV206" s="33"/>
      <c r="QW206" s="33"/>
      <c r="QX206" s="33"/>
      <c r="QY206" s="33"/>
      <c r="QZ206" s="33"/>
      <c r="RA206" s="33"/>
      <c r="RB206" s="33"/>
      <c r="RC206" s="33"/>
      <c r="RD206" s="33"/>
      <c r="RE206" s="33"/>
      <c r="RF206" s="33"/>
      <c r="RG206" s="33"/>
      <c r="RH206" s="33"/>
      <c r="RI206" s="33"/>
      <c r="RJ206" s="33"/>
      <c r="RK206" s="33"/>
      <c r="RL206" s="33"/>
      <c r="RM206" s="33"/>
      <c r="RN206" s="33"/>
      <c r="RO206" s="33"/>
      <c r="RP206" s="33"/>
      <c r="RQ206" s="33"/>
      <c r="RR206" s="33"/>
      <c r="RS206" s="33"/>
      <c r="RT206" s="33"/>
      <c r="RU206" s="33"/>
      <c r="RV206" s="33"/>
      <c r="RW206" s="33"/>
      <c r="RX206" s="33"/>
      <c r="RY206" s="33"/>
      <c r="RZ206" s="33"/>
      <c r="SA206" s="33"/>
      <c r="SB206" s="33"/>
      <c r="SC206" s="33"/>
      <c r="SD206" s="33"/>
      <c r="SE206" s="33"/>
      <c r="SF206" s="33"/>
      <c r="SG206" s="33"/>
      <c r="SH206" s="33"/>
      <c r="SI206" s="33"/>
      <c r="SJ206" s="33"/>
      <c r="SK206" s="33"/>
      <c r="SL206" s="33"/>
      <c r="SM206" s="33"/>
      <c r="SN206" s="33"/>
      <c r="SO206" s="33"/>
      <c r="SP206" s="33"/>
      <c r="SQ206" s="33"/>
      <c r="SR206" s="33"/>
      <c r="SS206" s="33"/>
      <c r="ST206" s="33"/>
      <c r="SU206" s="33"/>
      <c r="SV206" s="33"/>
      <c r="SW206" s="33"/>
      <c r="SX206" s="33"/>
      <c r="SY206" s="33"/>
      <c r="SZ206" s="33"/>
      <c r="TA206" s="33"/>
      <c r="TB206" s="33"/>
      <c r="TC206" s="33"/>
      <c r="TD206" s="33"/>
      <c r="TE206" s="33"/>
      <c r="TF206" s="33"/>
      <c r="TG206" s="33"/>
    </row>
    <row r="207" spans="1:527" s="22" customFormat="1" ht="47.25" x14ac:dyDescent="0.25">
      <c r="A207" s="59" t="s">
        <v>190</v>
      </c>
      <c r="B207" s="92" t="str">
        <f>'дод 7'!A19</f>
        <v>0160</v>
      </c>
      <c r="C207" s="92" t="str">
        <f>'дод 7'!B19</f>
        <v>0111</v>
      </c>
      <c r="D207" s="36" t="s">
        <v>493</v>
      </c>
      <c r="E207" s="98">
        <f>F207+I207</f>
        <v>5718281</v>
      </c>
      <c r="F207" s="98">
        <f>5689700+12000+4281+12300</f>
        <v>5718281</v>
      </c>
      <c r="G207" s="98">
        <f>4491300+21000</f>
        <v>4512300</v>
      </c>
      <c r="H207" s="98">
        <f>51600+4281+12300</f>
        <v>68181</v>
      </c>
      <c r="I207" s="98"/>
      <c r="J207" s="98">
        <f>L207+O207</f>
        <v>0</v>
      </c>
      <c r="K207" s="98">
        <f>12000-12000</f>
        <v>0</v>
      </c>
      <c r="L207" s="98"/>
      <c r="M207" s="98"/>
      <c r="N207" s="98"/>
      <c r="O207" s="98">
        <f>12000-12000</f>
        <v>0</v>
      </c>
      <c r="P207" s="98">
        <f>E207+J207</f>
        <v>5718281</v>
      </c>
      <c r="Q207" s="23"/>
      <c r="R207" s="32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  <c r="TF207" s="23"/>
      <c r="TG207" s="23"/>
    </row>
    <row r="208" spans="1:527" s="22" customFormat="1" ht="63" x14ac:dyDescent="0.25">
      <c r="A208" s="59" t="s">
        <v>334</v>
      </c>
      <c r="B208" s="92">
        <v>3111</v>
      </c>
      <c r="C208" s="92">
        <v>1040</v>
      </c>
      <c r="D208" s="36" t="str">
        <f>'дод 7'!C117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08" s="98">
        <f>F208+I208</f>
        <v>91140</v>
      </c>
      <c r="F208" s="98">
        <f>50000+21140+20000</f>
        <v>91140</v>
      </c>
      <c r="G208" s="98"/>
      <c r="H208" s="98"/>
      <c r="I208" s="98"/>
      <c r="J208" s="98">
        <f t="shared" ref="J208:J211" si="83">L208+O208</f>
        <v>0</v>
      </c>
      <c r="K208" s="98">
        <f>21140-21140</f>
        <v>0</v>
      </c>
      <c r="L208" s="98"/>
      <c r="M208" s="98"/>
      <c r="N208" s="98"/>
      <c r="O208" s="98">
        <f>21140-21140</f>
        <v>0</v>
      </c>
      <c r="P208" s="98">
        <f>E208+J208</f>
        <v>91140</v>
      </c>
      <c r="Q208" s="23"/>
      <c r="R208" s="32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  <c r="TF208" s="23"/>
      <c r="TG208" s="23"/>
    </row>
    <row r="209" spans="1:527" s="22" customFormat="1" ht="31.5" customHeight="1" x14ac:dyDescent="0.25">
      <c r="A209" s="59" t="s">
        <v>191</v>
      </c>
      <c r="B209" s="92" t="str">
        <f>'дод 7'!A118</f>
        <v>3112</v>
      </c>
      <c r="C209" s="92" t="str">
        <f>'дод 7'!B118</f>
        <v>1040</v>
      </c>
      <c r="D209" s="60" t="str">
        <f>'дод 7'!C118</f>
        <v>Заходи державної політики з питань дітей та їх соціального захисту</v>
      </c>
      <c r="E209" s="98">
        <f>F209+I209</f>
        <v>93040</v>
      </c>
      <c r="F209" s="98">
        <f>96240-3200</f>
        <v>93040</v>
      </c>
      <c r="G209" s="98"/>
      <c r="H209" s="98"/>
      <c r="I209" s="98"/>
      <c r="J209" s="98">
        <f t="shared" si="83"/>
        <v>0</v>
      </c>
      <c r="K209" s="98"/>
      <c r="L209" s="98"/>
      <c r="M209" s="98"/>
      <c r="N209" s="98"/>
      <c r="O209" s="98"/>
      <c r="P209" s="98">
        <f>E209+J209</f>
        <v>93040</v>
      </c>
      <c r="Q209" s="23"/>
      <c r="R209" s="32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  <c r="TF209" s="23"/>
      <c r="TG209" s="23"/>
    </row>
    <row r="210" spans="1:527" s="22" customFormat="1" ht="94.5" x14ac:dyDescent="0.25">
      <c r="A210" s="59" t="s">
        <v>437</v>
      </c>
      <c r="B210" s="92">
        <v>6083</v>
      </c>
      <c r="C210" s="59" t="s">
        <v>68</v>
      </c>
      <c r="D210" s="11" t="s">
        <v>438</v>
      </c>
      <c r="E210" s="98">
        <f>F210+I210</f>
        <v>0</v>
      </c>
      <c r="F210" s="98"/>
      <c r="G210" s="98"/>
      <c r="H210" s="98"/>
      <c r="I210" s="98"/>
      <c r="J210" s="98">
        <f t="shared" si="83"/>
        <v>8509988</v>
      </c>
      <c r="K210" s="98">
        <f>30000+3200+11386782-2402628+1305344-2205876.5+393166.5</f>
        <v>8509988</v>
      </c>
      <c r="L210" s="98"/>
      <c r="M210" s="98"/>
      <c r="N210" s="98"/>
      <c r="O210" s="98">
        <f>30000+3200+11386782-2402628+1305344-2205876.5+393166.5</f>
        <v>8509988</v>
      </c>
      <c r="P210" s="98">
        <f>E210+J210</f>
        <v>8509988</v>
      </c>
      <c r="Q210" s="23"/>
      <c r="R210" s="32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</row>
    <row r="211" spans="1:527" s="24" customFormat="1" ht="138.75" customHeight="1" x14ac:dyDescent="0.25">
      <c r="A211" s="83"/>
      <c r="B211" s="110"/>
      <c r="C211" s="83"/>
      <c r="D211" s="89" t="s">
        <v>619</v>
      </c>
      <c r="E211" s="98">
        <f>F211+I211</f>
        <v>0</v>
      </c>
      <c r="F211" s="100"/>
      <c r="G211" s="100"/>
      <c r="H211" s="100"/>
      <c r="I211" s="100"/>
      <c r="J211" s="98">
        <f t="shared" si="83"/>
        <v>6778277.5</v>
      </c>
      <c r="K211" s="100">
        <f>11386782-2402628-2205876.5</f>
        <v>6778277.5</v>
      </c>
      <c r="L211" s="100"/>
      <c r="M211" s="100"/>
      <c r="N211" s="100"/>
      <c r="O211" s="100">
        <f>11386782-2402628-2205876.5</f>
        <v>6778277.5</v>
      </c>
      <c r="P211" s="98">
        <f>E211+J211</f>
        <v>6778277.5</v>
      </c>
      <c r="Q211" s="30"/>
      <c r="R211" s="32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  <c r="IV211" s="30"/>
      <c r="IW211" s="30"/>
      <c r="IX211" s="30"/>
      <c r="IY211" s="30"/>
      <c r="IZ211" s="30"/>
      <c r="JA211" s="30"/>
      <c r="JB211" s="30"/>
      <c r="JC211" s="30"/>
      <c r="JD211" s="30"/>
      <c r="JE211" s="30"/>
      <c r="JF211" s="30"/>
      <c r="JG211" s="30"/>
      <c r="JH211" s="30"/>
      <c r="JI211" s="30"/>
      <c r="JJ211" s="30"/>
      <c r="JK211" s="30"/>
      <c r="JL211" s="30"/>
      <c r="JM211" s="30"/>
      <c r="JN211" s="30"/>
      <c r="JO211" s="30"/>
      <c r="JP211" s="30"/>
      <c r="JQ211" s="30"/>
      <c r="JR211" s="30"/>
      <c r="JS211" s="30"/>
      <c r="JT211" s="30"/>
      <c r="JU211" s="30"/>
      <c r="JV211" s="30"/>
      <c r="JW211" s="30"/>
      <c r="JX211" s="30"/>
      <c r="JY211" s="30"/>
      <c r="JZ211" s="30"/>
      <c r="KA211" s="30"/>
      <c r="KB211" s="30"/>
      <c r="KC211" s="30"/>
      <c r="KD211" s="30"/>
      <c r="KE211" s="30"/>
      <c r="KF211" s="30"/>
      <c r="KG211" s="30"/>
      <c r="KH211" s="30"/>
      <c r="KI211" s="30"/>
      <c r="KJ211" s="30"/>
      <c r="KK211" s="30"/>
      <c r="KL211" s="30"/>
      <c r="KM211" s="30"/>
      <c r="KN211" s="30"/>
      <c r="KO211" s="30"/>
      <c r="KP211" s="30"/>
      <c r="KQ211" s="30"/>
      <c r="KR211" s="30"/>
      <c r="KS211" s="30"/>
      <c r="KT211" s="30"/>
      <c r="KU211" s="30"/>
      <c r="KV211" s="30"/>
      <c r="KW211" s="30"/>
      <c r="KX211" s="30"/>
      <c r="KY211" s="30"/>
      <c r="KZ211" s="30"/>
      <c r="LA211" s="30"/>
      <c r="LB211" s="30"/>
      <c r="LC211" s="30"/>
      <c r="LD211" s="30"/>
      <c r="LE211" s="30"/>
      <c r="LF211" s="30"/>
      <c r="LG211" s="30"/>
      <c r="LH211" s="30"/>
      <c r="LI211" s="30"/>
      <c r="LJ211" s="30"/>
      <c r="LK211" s="30"/>
      <c r="LL211" s="30"/>
      <c r="LM211" s="30"/>
      <c r="LN211" s="30"/>
      <c r="LO211" s="30"/>
      <c r="LP211" s="30"/>
      <c r="LQ211" s="30"/>
      <c r="LR211" s="30"/>
      <c r="LS211" s="30"/>
      <c r="LT211" s="30"/>
      <c r="LU211" s="30"/>
      <c r="LV211" s="30"/>
      <c r="LW211" s="30"/>
      <c r="LX211" s="30"/>
      <c r="LY211" s="30"/>
      <c r="LZ211" s="30"/>
      <c r="MA211" s="30"/>
      <c r="MB211" s="30"/>
      <c r="MC211" s="30"/>
      <c r="MD211" s="30"/>
      <c r="ME211" s="30"/>
      <c r="MF211" s="30"/>
      <c r="MG211" s="30"/>
      <c r="MH211" s="30"/>
      <c r="MI211" s="30"/>
      <c r="MJ211" s="30"/>
      <c r="MK211" s="30"/>
      <c r="ML211" s="30"/>
      <c r="MM211" s="30"/>
      <c r="MN211" s="30"/>
      <c r="MO211" s="30"/>
      <c r="MP211" s="30"/>
      <c r="MQ211" s="30"/>
      <c r="MR211" s="30"/>
      <c r="MS211" s="30"/>
      <c r="MT211" s="30"/>
      <c r="MU211" s="30"/>
      <c r="MV211" s="30"/>
      <c r="MW211" s="30"/>
      <c r="MX211" s="30"/>
      <c r="MY211" s="30"/>
      <c r="MZ211" s="30"/>
      <c r="NA211" s="30"/>
      <c r="NB211" s="30"/>
      <c r="NC211" s="30"/>
      <c r="ND211" s="30"/>
      <c r="NE211" s="30"/>
      <c r="NF211" s="30"/>
      <c r="NG211" s="30"/>
      <c r="NH211" s="30"/>
      <c r="NI211" s="30"/>
      <c r="NJ211" s="30"/>
      <c r="NK211" s="30"/>
      <c r="NL211" s="30"/>
      <c r="NM211" s="30"/>
      <c r="NN211" s="30"/>
      <c r="NO211" s="30"/>
      <c r="NP211" s="30"/>
      <c r="NQ211" s="30"/>
      <c r="NR211" s="30"/>
      <c r="NS211" s="30"/>
      <c r="NT211" s="30"/>
      <c r="NU211" s="30"/>
      <c r="NV211" s="30"/>
      <c r="NW211" s="30"/>
      <c r="NX211" s="30"/>
      <c r="NY211" s="30"/>
      <c r="NZ211" s="30"/>
      <c r="OA211" s="30"/>
      <c r="OB211" s="30"/>
      <c r="OC211" s="30"/>
      <c r="OD211" s="30"/>
      <c r="OE211" s="30"/>
      <c r="OF211" s="30"/>
      <c r="OG211" s="30"/>
      <c r="OH211" s="30"/>
      <c r="OI211" s="30"/>
      <c r="OJ211" s="30"/>
      <c r="OK211" s="30"/>
      <c r="OL211" s="30"/>
      <c r="OM211" s="30"/>
      <c r="ON211" s="30"/>
      <c r="OO211" s="30"/>
      <c r="OP211" s="30"/>
      <c r="OQ211" s="30"/>
      <c r="OR211" s="30"/>
      <c r="OS211" s="30"/>
      <c r="OT211" s="30"/>
      <c r="OU211" s="30"/>
      <c r="OV211" s="30"/>
      <c r="OW211" s="30"/>
      <c r="OX211" s="30"/>
      <c r="OY211" s="30"/>
      <c r="OZ211" s="30"/>
      <c r="PA211" s="30"/>
      <c r="PB211" s="30"/>
      <c r="PC211" s="30"/>
      <c r="PD211" s="30"/>
      <c r="PE211" s="30"/>
      <c r="PF211" s="30"/>
      <c r="PG211" s="30"/>
      <c r="PH211" s="30"/>
      <c r="PI211" s="30"/>
      <c r="PJ211" s="30"/>
      <c r="PK211" s="30"/>
      <c r="PL211" s="30"/>
      <c r="PM211" s="30"/>
      <c r="PN211" s="30"/>
      <c r="PO211" s="30"/>
      <c r="PP211" s="30"/>
      <c r="PQ211" s="30"/>
      <c r="PR211" s="30"/>
      <c r="PS211" s="30"/>
      <c r="PT211" s="30"/>
      <c r="PU211" s="30"/>
      <c r="PV211" s="30"/>
      <c r="PW211" s="30"/>
      <c r="PX211" s="30"/>
      <c r="PY211" s="30"/>
      <c r="PZ211" s="30"/>
      <c r="QA211" s="30"/>
      <c r="QB211" s="30"/>
      <c r="QC211" s="30"/>
      <c r="QD211" s="30"/>
      <c r="QE211" s="30"/>
      <c r="QF211" s="30"/>
      <c r="QG211" s="30"/>
      <c r="QH211" s="30"/>
      <c r="QI211" s="30"/>
      <c r="QJ211" s="30"/>
      <c r="QK211" s="30"/>
      <c r="QL211" s="30"/>
      <c r="QM211" s="30"/>
      <c r="QN211" s="30"/>
      <c r="QO211" s="30"/>
      <c r="QP211" s="30"/>
      <c r="QQ211" s="30"/>
      <c r="QR211" s="30"/>
      <c r="QS211" s="30"/>
      <c r="QT211" s="30"/>
      <c r="QU211" s="30"/>
      <c r="QV211" s="30"/>
      <c r="QW211" s="30"/>
      <c r="QX211" s="30"/>
      <c r="QY211" s="30"/>
      <c r="QZ211" s="30"/>
      <c r="RA211" s="30"/>
      <c r="RB211" s="30"/>
      <c r="RC211" s="30"/>
      <c r="RD211" s="30"/>
      <c r="RE211" s="30"/>
      <c r="RF211" s="30"/>
      <c r="RG211" s="30"/>
      <c r="RH211" s="30"/>
      <c r="RI211" s="30"/>
      <c r="RJ211" s="30"/>
      <c r="RK211" s="30"/>
      <c r="RL211" s="30"/>
      <c r="RM211" s="30"/>
      <c r="RN211" s="30"/>
      <c r="RO211" s="30"/>
      <c r="RP211" s="30"/>
      <c r="RQ211" s="30"/>
      <c r="RR211" s="30"/>
      <c r="RS211" s="30"/>
      <c r="RT211" s="30"/>
      <c r="RU211" s="30"/>
      <c r="RV211" s="30"/>
      <c r="RW211" s="30"/>
      <c r="RX211" s="30"/>
      <c r="RY211" s="30"/>
      <c r="RZ211" s="30"/>
      <c r="SA211" s="30"/>
      <c r="SB211" s="30"/>
      <c r="SC211" s="30"/>
      <c r="SD211" s="30"/>
      <c r="SE211" s="30"/>
      <c r="SF211" s="30"/>
      <c r="SG211" s="30"/>
      <c r="SH211" s="30"/>
      <c r="SI211" s="30"/>
      <c r="SJ211" s="30"/>
      <c r="SK211" s="30"/>
      <c r="SL211" s="30"/>
      <c r="SM211" s="30"/>
      <c r="SN211" s="30"/>
      <c r="SO211" s="30"/>
      <c r="SP211" s="30"/>
      <c r="SQ211" s="30"/>
      <c r="SR211" s="30"/>
      <c r="SS211" s="30"/>
      <c r="ST211" s="30"/>
      <c r="SU211" s="30"/>
      <c r="SV211" s="30"/>
      <c r="SW211" s="30"/>
      <c r="SX211" s="30"/>
      <c r="SY211" s="30"/>
      <c r="SZ211" s="30"/>
      <c r="TA211" s="30"/>
      <c r="TB211" s="30"/>
      <c r="TC211" s="30"/>
      <c r="TD211" s="30"/>
      <c r="TE211" s="30"/>
      <c r="TF211" s="30"/>
      <c r="TG211" s="30"/>
    </row>
    <row r="212" spans="1:527" s="27" customFormat="1" ht="22.5" customHeight="1" x14ac:dyDescent="0.25">
      <c r="A212" s="109" t="s">
        <v>26</v>
      </c>
      <c r="B212" s="111"/>
      <c r="C212" s="111"/>
      <c r="D212" s="106" t="s">
        <v>335</v>
      </c>
      <c r="E212" s="94">
        <f>E213</f>
        <v>82887057</v>
      </c>
      <c r="F212" s="94">
        <f t="shared" ref="F212:J212" si="84">F213</f>
        <v>82887057</v>
      </c>
      <c r="G212" s="94">
        <f t="shared" si="84"/>
        <v>62264330</v>
      </c>
      <c r="H212" s="94">
        <f t="shared" si="84"/>
        <v>2956627</v>
      </c>
      <c r="I212" s="94">
        <f t="shared" si="84"/>
        <v>0</v>
      </c>
      <c r="J212" s="94">
        <f t="shared" si="84"/>
        <v>5080600</v>
      </c>
      <c r="K212" s="94">
        <f t="shared" ref="K212" si="85">K213</f>
        <v>2320500</v>
      </c>
      <c r="L212" s="94">
        <f t="shared" ref="L212" si="86">L213</f>
        <v>2756970</v>
      </c>
      <c r="M212" s="94">
        <f t="shared" ref="M212" si="87">M213</f>
        <v>2239004</v>
      </c>
      <c r="N212" s="94">
        <f t="shared" ref="N212" si="88">N213</f>
        <v>3300</v>
      </c>
      <c r="O212" s="94">
        <f t="shared" ref="O212:P212" si="89">O213</f>
        <v>2323630</v>
      </c>
      <c r="P212" s="94">
        <f t="shared" si="89"/>
        <v>87967657</v>
      </c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2"/>
      <c r="IE212" s="32"/>
      <c r="IF212" s="32"/>
      <c r="IG212" s="32"/>
      <c r="IH212" s="32"/>
      <c r="II212" s="32"/>
      <c r="IJ212" s="32"/>
      <c r="IK212" s="32"/>
      <c r="IL212" s="32"/>
      <c r="IM212" s="32"/>
      <c r="IN212" s="32"/>
      <c r="IO212" s="32"/>
      <c r="IP212" s="32"/>
      <c r="IQ212" s="32"/>
      <c r="IR212" s="32"/>
      <c r="IS212" s="32"/>
      <c r="IT212" s="32"/>
      <c r="IU212" s="32"/>
      <c r="IV212" s="32"/>
      <c r="IW212" s="32"/>
      <c r="IX212" s="32"/>
      <c r="IY212" s="32"/>
      <c r="IZ212" s="32"/>
      <c r="JA212" s="32"/>
      <c r="JB212" s="32"/>
      <c r="JC212" s="32"/>
      <c r="JD212" s="32"/>
      <c r="JE212" s="32"/>
      <c r="JF212" s="32"/>
      <c r="JG212" s="32"/>
      <c r="JH212" s="32"/>
      <c r="JI212" s="32"/>
      <c r="JJ212" s="32"/>
      <c r="JK212" s="32"/>
      <c r="JL212" s="32"/>
      <c r="JM212" s="32"/>
      <c r="JN212" s="32"/>
      <c r="JO212" s="32"/>
      <c r="JP212" s="32"/>
      <c r="JQ212" s="32"/>
      <c r="JR212" s="32"/>
      <c r="JS212" s="32"/>
      <c r="JT212" s="32"/>
      <c r="JU212" s="32"/>
      <c r="JV212" s="32"/>
      <c r="JW212" s="32"/>
      <c r="JX212" s="32"/>
      <c r="JY212" s="32"/>
      <c r="JZ212" s="32"/>
      <c r="KA212" s="32"/>
      <c r="KB212" s="32"/>
      <c r="KC212" s="32"/>
      <c r="KD212" s="32"/>
      <c r="KE212" s="32"/>
      <c r="KF212" s="32"/>
      <c r="KG212" s="32"/>
      <c r="KH212" s="32"/>
      <c r="KI212" s="32"/>
      <c r="KJ212" s="32"/>
      <c r="KK212" s="32"/>
      <c r="KL212" s="32"/>
      <c r="KM212" s="32"/>
      <c r="KN212" s="32"/>
      <c r="KO212" s="32"/>
      <c r="KP212" s="32"/>
      <c r="KQ212" s="32"/>
      <c r="KR212" s="32"/>
      <c r="KS212" s="32"/>
      <c r="KT212" s="32"/>
      <c r="KU212" s="32"/>
      <c r="KV212" s="32"/>
      <c r="KW212" s="32"/>
      <c r="KX212" s="32"/>
      <c r="KY212" s="32"/>
      <c r="KZ212" s="32"/>
      <c r="LA212" s="32"/>
      <c r="LB212" s="32"/>
      <c r="LC212" s="32"/>
      <c r="LD212" s="32"/>
      <c r="LE212" s="32"/>
      <c r="LF212" s="32"/>
      <c r="LG212" s="32"/>
      <c r="LH212" s="32"/>
      <c r="LI212" s="32"/>
      <c r="LJ212" s="32"/>
      <c r="LK212" s="32"/>
      <c r="LL212" s="32"/>
      <c r="LM212" s="32"/>
      <c r="LN212" s="32"/>
      <c r="LO212" s="32"/>
      <c r="LP212" s="32"/>
      <c r="LQ212" s="32"/>
      <c r="LR212" s="32"/>
      <c r="LS212" s="32"/>
      <c r="LT212" s="32"/>
      <c r="LU212" s="32"/>
      <c r="LV212" s="32"/>
      <c r="LW212" s="32"/>
      <c r="LX212" s="32"/>
      <c r="LY212" s="32"/>
      <c r="LZ212" s="32"/>
      <c r="MA212" s="32"/>
      <c r="MB212" s="32"/>
      <c r="MC212" s="32"/>
      <c r="MD212" s="32"/>
      <c r="ME212" s="32"/>
      <c r="MF212" s="32"/>
      <c r="MG212" s="32"/>
      <c r="MH212" s="32"/>
      <c r="MI212" s="32"/>
      <c r="MJ212" s="32"/>
      <c r="MK212" s="32"/>
      <c r="ML212" s="32"/>
      <c r="MM212" s="32"/>
      <c r="MN212" s="32"/>
      <c r="MO212" s="32"/>
      <c r="MP212" s="32"/>
      <c r="MQ212" s="32"/>
      <c r="MR212" s="32"/>
      <c r="MS212" s="32"/>
      <c r="MT212" s="32"/>
      <c r="MU212" s="32"/>
      <c r="MV212" s="32"/>
      <c r="MW212" s="32"/>
      <c r="MX212" s="32"/>
      <c r="MY212" s="32"/>
      <c r="MZ212" s="32"/>
      <c r="NA212" s="32"/>
      <c r="NB212" s="32"/>
      <c r="NC212" s="32"/>
      <c r="ND212" s="32"/>
      <c r="NE212" s="32"/>
      <c r="NF212" s="32"/>
      <c r="NG212" s="32"/>
      <c r="NH212" s="32"/>
      <c r="NI212" s="32"/>
      <c r="NJ212" s="32"/>
      <c r="NK212" s="32"/>
      <c r="NL212" s="32"/>
      <c r="NM212" s="32"/>
      <c r="NN212" s="32"/>
      <c r="NO212" s="32"/>
      <c r="NP212" s="32"/>
      <c r="NQ212" s="32"/>
      <c r="NR212" s="32"/>
      <c r="NS212" s="32"/>
      <c r="NT212" s="32"/>
      <c r="NU212" s="32"/>
      <c r="NV212" s="32"/>
      <c r="NW212" s="32"/>
      <c r="NX212" s="32"/>
      <c r="NY212" s="32"/>
      <c r="NZ212" s="32"/>
      <c r="OA212" s="32"/>
      <c r="OB212" s="32"/>
      <c r="OC212" s="32"/>
      <c r="OD212" s="32"/>
      <c r="OE212" s="32"/>
      <c r="OF212" s="32"/>
      <c r="OG212" s="32"/>
      <c r="OH212" s="32"/>
      <c r="OI212" s="32"/>
      <c r="OJ212" s="32"/>
      <c r="OK212" s="32"/>
      <c r="OL212" s="32"/>
      <c r="OM212" s="32"/>
      <c r="ON212" s="32"/>
      <c r="OO212" s="32"/>
      <c r="OP212" s="32"/>
      <c r="OQ212" s="32"/>
      <c r="OR212" s="32"/>
      <c r="OS212" s="32"/>
      <c r="OT212" s="32"/>
      <c r="OU212" s="32"/>
      <c r="OV212" s="32"/>
      <c r="OW212" s="32"/>
      <c r="OX212" s="32"/>
      <c r="OY212" s="32"/>
      <c r="OZ212" s="32"/>
      <c r="PA212" s="32"/>
      <c r="PB212" s="32"/>
      <c r="PC212" s="32"/>
      <c r="PD212" s="32"/>
      <c r="PE212" s="32"/>
      <c r="PF212" s="32"/>
      <c r="PG212" s="32"/>
      <c r="PH212" s="32"/>
      <c r="PI212" s="32"/>
      <c r="PJ212" s="32"/>
      <c r="PK212" s="32"/>
      <c r="PL212" s="32"/>
      <c r="PM212" s="32"/>
      <c r="PN212" s="32"/>
      <c r="PO212" s="32"/>
      <c r="PP212" s="32"/>
      <c r="PQ212" s="32"/>
      <c r="PR212" s="32"/>
      <c r="PS212" s="32"/>
      <c r="PT212" s="32"/>
      <c r="PU212" s="32"/>
      <c r="PV212" s="32"/>
      <c r="PW212" s="32"/>
      <c r="PX212" s="32"/>
      <c r="PY212" s="32"/>
      <c r="PZ212" s="32"/>
      <c r="QA212" s="32"/>
      <c r="QB212" s="32"/>
      <c r="QC212" s="32"/>
      <c r="QD212" s="32"/>
      <c r="QE212" s="32"/>
      <c r="QF212" s="32"/>
      <c r="QG212" s="32"/>
      <c r="QH212" s="32"/>
      <c r="QI212" s="32"/>
      <c r="QJ212" s="32"/>
      <c r="QK212" s="32"/>
      <c r="QL212" s="32"/>
      <c r="QM212" s="32"/>
      <c r="QN212" s="32"/>
      <c r="QO212" s="32"/>
      <c r="QP212" s="32"/>
      <c r="QQ212" s="32"/>
      <c r="QR212" s="32"/>
      <c r="QS212" s="32"/>
      <c r="QT212" s="32"/>
      <c r="QU212" s="32"/>
      <c r="QV212" s="32"/>
      <c r="QW212" s="32"/>
      <c r="QX212" s="32"/>
      <c r="QY212" s="32"/>
      <c r="QZ212" s="32"/>
      <c r="RA212" s="32"/>
      <c r="RB212" s="32"/>
      <c r="RC212" s="32"/>
      <c r="RD212" s="32"/>
      <c r="RE212" s="32"/>
      <c r="RF212" s="32"/>
      <c r="RG212" s="32"/>
      <c r="RH212" s="32"/>
      <c r="RI212" s="32"/>
      <c r="RJ212" s="32"/>
      <c r="RK212" s="32"/>
      <c r="RL212" s="32"/>
      <c r="RM212" s="32"/>
      <c r="RN212" s="32"/>
      <c r="RO212" s="32"/>
      <c r="RP212" s="32"/>
      <c r="RQ212" s="32"/>
      <c r="RR212" s="32"/>
      <c r="RS212" s="32"/>
      <c r="RT212" s="32"/>
      <c r="RU212" s="32"/>
      <c r="RV212" s="32"/>
      <c r="RW212" s="32"/>
      <c r="RX212" s="32"/>
      <c r="RY212" s="32"/>
      <c r="RZ212" s="32"/>
      <c r="SA212" s="32"/>
      <c r="SB212" s="32"/>
      <c r="SC212" s="32"/>
      <c r="SD212" s="32"/>
      <c r="SE212" s="32"/>
      <c r="SF212" s="32"/>
      <c r="SG212" s="32"/>
      <c r="SH212" s="32"/>
      <c r="SI212" s="32"/>
      <c r="SJ212" s="32"/>
      <c r="SK212" s="32"/>
      <c r="SL212" s="32"/>
      <c r="SM212" s="32"/>
      <c r="SN212" s="32"/>
      <c r="SO212" s="32"/>
      <c r="SP212" s="32"/>
      <c r="SQ212" s="32"/>
      <c r="SR212" s="32"/>
      <c r="SS212" s="32"/>
      <c r="ST212" s="32"/>
      <c r="SU212" s="32"/>
      <c r="SV212" s="32"/>
      <c r="SW212" s="32"/>
      <c r="SX212" s="32"/>
      <c r="SY212" s="32"/>
      <c r="SZ212" s="32"/>
      <c r="TA212" s="32"/>
      <c r="TB212" s="32"/>
      <c r="TC212" s="32"/>
      <c r="TD212" s="32"/>
      <c r="TE212" s="32"/>
      <c r="TF212" s="32"/>
      <c r="TG212" s="32"/>
    </row>
    <row r="213" spans="1:527" s="34" customFormat="1" ht="21.75" customHeight="1" x14ac:dyDescent="0.25">
      <c r="A213" s="95" t="s">
        <v>192</v>
      </c>
      <c r="B213" s="108"/>
      <c r="C213" s="108"/>
      <c r="D213" s="76" t="s">
        <v>335</v>
      </c>
      <c r="E213" s="97">
        <f>E214+E215+E216+E218+E219++E221+E217+E220+E222</f>
        <v>82887057</v>
      </c>
      <c r="F213" s="97">
        <f t="shared" ref="F213:P213" si="90">F214+F215+F216+F218+F219++F221+F217+F220+F222</f>
        <v>82887057</v>
      </c>
      <c r="G213" s="97">
        <f t="shared" si="90"/>
        <v>62264330</v>
      </c>
      <c r="H213" s="97">
        <f t="shared" si="90"/>
        <v>2956627</v>
      </c>
      <c r="I213" s="97">
        <f t="shared" si="90"/>
        <v>0</v>
      </c>
      <c r="J213" s="97">
        <f t="shared" si="90"/>
        <v>5080600</v>
      </c>
      <c r="K213" s="97">
        <f t="shared" si="90"/>
        <v>2320500</v>
      </c>
      <c r="L213" s="97">
        <f t="shared" si="90"/>
        <v>2756970</v>
      </c>
      <c r="M213" s="97">
        <f t="shared" si="90"/>
        <v>2239004</v>
      </c>
      <c r="N213" s="97">
        <f t="shared" si="90"/>
        <v>3300</v>
      </c>
      <c r="O213" s="97">
        <f t="shared" si="90"/>
        <v>2323630</v>
      </c>
      <c r="P213" s="97">
        <f t="shared" si="90"/>
        <v>87967657</v>
      </c>
      <c r="Q213" s="33"/>
      <c r="R213" s="32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  <c r="IT213" s="33"/>
      <c r="IU213" s="33"/>
      <c r="IV213" s="33"/>
      <c r="IW213" s="33"/>
      <c r="IX213" s="33"/>
      <c r="IY213" s="33"/>
      <c r="IZ213" s="33"/>
      <c r="JA213" s="33"/>
      <c r="JB213" s="33"/>
      <c r="JC213" s="33"/>
      <c r="JD213" s="33"/>
      <c r="JE213" s="33"/>
      <c r="JF213" s="33"/>
      <c r="JG213" s="33"/>
      <c r="JH213" s="33"/>
      <c r="JI213" s="33"/>
      <c r="JJ213" s="33"/>
      <c r="JK213" s="33"/>
      <c r="JL213" s="33"/>
      <c r="JM213" s="33"/>
      <c r="JN213" s="33"/>
      <c r="JO213" s="33"/>
      <c r="JP213" s="33"/>
      <c r="JQ213" s="33"/>
      <c r="JR213" s="33"/>
      <c r="JS213" s="33"/>
      <c r="JT213" s="33"/>
      <c r="JU213" s="33"/>
      <c r="JV213" s="33"/>
      <c r="JW213" s="33"/>
      <c r="JX213" s="33"/>
      <c r="JY213" s="33"/>
      <c r="JZ213" s="33"/>
      <c r="KA213" s="33"/>
      <c r="KB213" s="33"/>
      <c r="KC213" s="33"/>
      <c r="KD213" s="33"/>
      <c r="KE213" s="33"/>
      <c r="KF213" s="33"/>
      <c r="KG213" s="33"/>
      <c r="KH213" s="33"/>
      <c r="KI213" s="33"/>
      <c r="KJ213" s="33"/>
      <c r="KK213" s="33"/>
      <c r="KL213" s="33"/>
      <c r="KM213" s="33"/>
      <c r="KN213" s="33"/>
      <c r="KO213" s="33"/>
      <c r="KP213" s="33"/>
      <c r="KQ213" s="33"/>
      <c r="KR213" s="33"/>
      <c r="KS213" s="33"/>
      <c r="KT213" s="33"/>
      <c r="KU213" s="33"/>
      <c r="KV213" s="33"/>
      <c r="KW213" s="33"/>
      <c r="KX213" s="33"/>
      <c r="KY213" s="33"/>
      <c r="KZ213" s="33"/>
      <c r="LA213" s="33"/>
      <c r="LB213" s="33"/>
      <c r="LC213" s="33"/>
      <c r="LD213" s="33"/>
      <c r="LE213" s="33"/>
      <c r="LF213" s="33"/>
      <c r="LG213" s="33"/>
      <c r="LH213" s="33"/>
      <c r="LI213" s="33"/>
      <c r="LJ213" s="33"/>
      <c r="LK213" s="33"/>
      <c r="LL213" s="33"/>
      <c r="LM213" s="33"/>
      <c r="LN213" s="33"/>
      <c r="LO213" s="33"/>
      <c r="LP213" s="33"/>
      <c r="LQ213" s="33"/>
      <c r="LR213" s="33"/>
      <c r="LS213" s="33"/>
      <c r="LT213" s="33"/>
      <c r="LU213" s="33"/>
      <c r="LV213" s="33"/>
      <c r="LW213" s="33"/>
      <c r="LX213" s="33"/>
      <c r="LY213" s="33"/>
      <c r="LZ213" s="33"/>
      <c r="MA213" s="33"/>
      <c r="MB213" s="33"/>
      <c r="MC213" s="33"/>
      <c r="MD213" s="33"/>
      <c r="ME213" s="33"/>
      <c r="MF213" s="33"/>
      <c r="MG213" s="33"/>
      <c r="MH213" s="33"/>
      <c r="MI213" s="33"/>
      <c r="MJ213" s="33"/>
      <c r="MK213" s="33"/>
      <c r="ML213" s="33"/>
      <c r="MM213" s="33"/>
      <c r="MN213" s="33"/>
      <c r="MO213" s="33"/>
      <c r="MP213" s="33"/>
      <c r="MQ213" s="33"/>
      <c r="MR213" s="33"/>
      <c r="MS213" s="33"/>
      <c r="MT213" s="33"/>
      <c r="MU213" s="33"/>
      <c r="MV213" s="33"/>
      <c r="MW213" s="33"/>
      <c r="MX213" s="33"/>
      <c r="MY213" s="33"/>
      <c r="MZ213" s="33"/>
      <c r="NA213" s="33"/>
      <c r="NB213" s="33"/>
      <c r="NC213" s="33"/>
      <c r="ND213" s="33"/>
      <c r="NE213" s="33"/>
      <c r="NF213" s="33"/>
      <c r="NG213" s="33"/>
      <c r="NH213" s="33"/>
      <c r="NI213" s="33"/>
      <c r="NJ213" s="33"/>
      <c r="NK213" s="33"/>
      <c r="NL213" s="33"/>
      <c r="NM213" s="33"/>
      <c r="NN213" s="33"/>
      <c r="NO213" s="33"/>
      <c r="NP213" s="33"/>
      <c r="NQ213" s="33"/>
      <c r="NR213" s="33"/>
      <c r="NS213" s="33"/>
      <c r="NT213" s="33"/>
      <c r="NU213" s="33"/>
      <c r="NV213" s="33"/>
      <c r="NW213" s="33"/>
      <c r="NX213" s="33"/>
      <c r="NY213" s="33"/>
      <c r="NZ213" s="33"/>
      <c r="OA213" s="33"/>
      <c r="OB213" s="33"/>
      <c r="OC213" s="33"/>
      <c r="OD213" s="33"/>
      <c r="OE213" s="33"/>
      <c r="OF213" s="33"/>
      <c r="OG213" s="33"/>
      <c r="OH213" s="33"/>
      <c r="OI213" s="33"/>
      <c r="OJ213" s="33"/>
      <c r="OK213" s="33"/>
      <c r="OL213" s="33"/>
      <c r="OM213" s="33"/>
      <c r="ON213" s="33"/>
      <c r="OO213" s="33"/>
      <c r="OP213" s="33"/>
      <c r="OQ213" s="33"/>
      <c r="OR213" s="33"/>
      <c r="OS213" s="33"/>
      <c r="OT213" s="33"/>
      <c r="OU213" s="33"/>
      <c r="OV213" s="33"/>
      <c r="OW213" s="33"/>
      <c r="OX213" s="33"/>
      <c r="OY213" s="33"/>
      <c r="OZ213" s="33"/>
      <c r="PA213" s="33"/>
      <c r="PB213" s="33"/>
      <c r="PC213" s="33"/>
      <c r="PD213" s="33"/>
      <c r="PE213" s="33"/>
      <c r="PF213" s="33"/>
      <c r="PG213" s="33"/>
      <c r="PH213" s="33"/>
      <c r="PI213" s="33"/>
      <c r="PJ213" s="33"/>
      <c r="PK213" s="33"/>
      <c r="PL213" s="33"/>
      <c r="PM213" s="33"/>
      <c r="PN213" s="33"/>
      <c r="PO213" s="33"/>
      <c r="PP213" s="33"/>
      <c r="PQ213" s="33"/>
      <c r="PR213" s="33"/>
      <c r="PS213" s="33"/>
      <c r="PT213" s="33"/>
      <c r="PU213" s="33"/>
      <c r="PV213" s="33"/>
      <c r="PW213" s="33"/>
      <c r="PX213" s="33"/>
      <c r="PY213" s="33"/>
      <c r="PZ213" s="33"/>
      <c r="QA213" s="33"/>
      <c r="QB213" s="33"/>
      <c r="QC213" s="33"/>
      <c r="QD213" s="33"/>
      <c r="QE213" s="33"/>
      <c r="QF213" s="33"/>
      <c r="QG213" s="33"/>
      <c r="QH213" s="33"/>
      <c r="QI213" s="33"/>
      <c r="QJ213" s="33"/>
      <c r="QK213" s="33"/>
      <c r="QL213" s="33"/>
      <c r="QM213" s="33"/>
      <c r="QN213" s="33"/>
      <c r="QO213" s="33"/>
      <c r="QP213" s="33"/>
      <c r="QQ213" s="33"/>
      <c r="QR213" s="33"/>
      <c r="QS213" s="33"/>
      <c r="QT213" s="33"/>
      <c r="QU213" s="33"/>
      <c r="QV213" s="33"/>
      <c r="QW213" s="33"/>
      <c r="QX213" s="33"/>
      <c r="QY213" s="33"/>
      <c r="QZ213" s="33"/>
      <c r="RA213" s="33"/>
      <c r="RB213" s="33"/>
      <c r="RC213" s="33"/>
      <c r="RD213" s="33"/>
      <c r="RE213" s="33"/>
      <c r="RF213" s="33"/>
      <c r="RG213" s="33"/>
      <c r="RH213" s="33"/>
      <c r="RI213" s="33"/>
      <c r="RJ213" s="33"/>
      <c r="RK213" s="33"/>
      <c r="RL213" s="33"/>
      <c r="RM213" s="33"/>
      <c r="RN213" s="33"/>
      <c r="RO213" s="33"/>
      <c r="RP213" s="33"/>
      <c r="RQ213" s="33"/>
      <c r="RR213" s="33"/>
      <c r="RS213" s="33"/>
      <c r="RT213" s="33"/>
      <c r="RU213" s="33"/>
      <c r="RV213" s="33"/>
      <c r="RW213" s="33"/>
      <c r="RX213" s="33"/>
      <c r="RY213" s="33"/>
      <c r="RZ213" s="33"/>
      <c r="SA213" s="33"/>
      <c r="SB213" s="33"/>
      <c r="SC213" s="33"/>
      <c r="SD213" s="33"/>
      <c r="SE213" s="33"/>
      <c r="SF213" s="33"/>
      <c r="SG213" s="33"/>
      <c r="SH213" s="33"/>
      <c r="SI213" s="33"/>
      <c r="SJ213" s="33"/>
      <c r="SK213" s="33"/>
      <c r="SL213" s="33"/>
      <c r="SM213" s="33"/>
      <c r="SN213" s="33"/>
      <c r="SO213" s="33"/>
      <c r="SP213" s="33"/>
      <c r="SQ213" s="33"/>
      <c r="SR213" s="33"/>
      <c r="SS213" s="33"/>
      <c r="ST213" s="33"/>
      <c r="SU213" s="33"/>
      <c r="SV213" s="33"/>
      <c r="SW213" s="33"/>
      <c r="SX213" s="33"/>
      <c r="SY213" s="33"/>
      <c r="SZ213" s="33"/>
      <c r="TA213" s="33"/>
      <c r="TB213" s="33"/>
      <c r="TC213" s="33"/>
      <c r="TD213" s="33"/>
      <c r="TE213" s="33"/>
      <c r="TF213" s="33"/>
      <c r="TG213" s="33"/>
    </row>
    <row r="214" spans="1:527" s="22" customFormat="1" ht="47.25" x14ac:dyDescent="0.25">
      <c r="A214" s="59" t="s">
        <v>139</v>
      </c>
      <c r="B214" s="92" t="str">
        <f>'дод 7'!A19</f>
        <v>0160</v>
      </c>
      <c r="C214" s="92" t="str">
        <f>'дод 7'!B19</f>
        <v>0111</v>
      </c>
      <c r="D214" s="36" t="s">
        <v>493</v>
      </c>
      <c r="E214" s="98">
        <f t="shared" ref="E214:E222" si="91">F214+I214</f>
        <v>2178335</v>
      </c>
      <c r="F214" s="98">
        <f>2163700+3335+7200+4100</f>
        <v>2178335</v>
      </c>
      <c r="G214" s="98">
        <v>1695500</v>
      </c>
      <c r="H214" s="98">
        <f>18000+3335+7200+4100</f>
        <v>32635</v>
      </c>
      <c r="I214" s="98"/>
      <c r="J214" s="98">
        <f>L214+O214</f>
        <v>0</v>
      </c>
      <c r="K214" s="98"/>
      <c r="L214" s="98"/>
      <c r="M214" s="98"/>
      <c r="N214" s="98"/>
      <c r="O214" s="98"/>
      <c r="P214" s="98">
        <f t="shared" ref="P214:P222" si="92">E214+J214</f>
        <v>2178335</v>
      </c>
      <c r="Q214" s="23"/>
      <c r="R214" s="32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</row>
    <row r="215" spans="1:527" s="22" customFormat="1" ht="19.5" customHeight="1" x14ac:dyDescent="0.25">
      <c r="A215" s="59" t="s">
        <v>508</v>
      </c>
      <c r="B215" s="92">
        <v>1080</v>
      </c>
      <c r="C215" s="59" t="s">
        <v>57</v>
      </c>
      <c r="D215" s="60" t="s">
        <v>509</v>
      </c>
      <c r="E215" s="98">
        <f t="shared" si="91"/>
        <v>51160475</v>
      </c>
      <c r="F215" s="98">
        <f>50652500+65000+20000+30000+15000+165515+166200+46260</f>
        <v>51160475</v>
      </c>
      <c r="G215" s="98">
        <v>40594000</v>
      </c>
      <c r="H215" s="98">
        <f>612300+165515+166200+46260</f>
        <v>990275</v>
      </c>
      <c r="I215" s="98"/>
      <c r="J215" s="98">
        <f t="shared" ref="J215:J222" si="93">L215+O215</f>
        <v>2729100</v>
      </c>
      <c r="K215" s="98"/>
      <c r="L215" s="98">
        <v>2725970</v>
      </c>
      <c r="M215" s="98">
        <v>2226904</v>
      </c>
      <c r="N215" s="98"/>
      <c r="O215" s="98">
        <v>3130</v>
      </c>
      <c r="P215" s="98">
        <f t="shared" si="92"/>
        <v>53889575</v>
      </c>
      <c r="Q215" s="23"/>
      <c r="R215" s="32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</row>
    <row r="216" spans="1:527" s="22" customFormat="1" ht="21" customHeight="1" x14ac:dyDescent="0.25">
      <c r="A216" s="59" t="s">
        <v>193</v>
      </c>
      <c r="B216" s="92" t="str">
        <f>'дод 7'!A142</f>
        <v>4030</v>
      </c>
      <c r="C216" s="92" t="str">
        <f>'дод 7'!B142</f>
        <v>0824</v>
      </c>
      <c r="D216" s="60" t="str">
        <f>'дод 7'!C142</f>
        <v>Забезпечення діяльності бібліотек</v>
      </c>
      <c r="E216" s="98">
        <f t="shared" si="91"/>
        <v>23641974</v>
      </c>
      <c r="F216" s="98">
        <f>22627900+77000+112000+10000+2500+194764+62500+199000+50000+372700-12200-95970+41780</f>
        <v>23641974</v>
      </c>
      <c r="G216" s="98">
        <f>16852700-95970</f>
        <v>16756730</v>
      </c>
      <c r="H216" s="98">
        <f>1133500+194764+372700+41780</f>
        <v>1742744</v>
      </c>
      <c r="I216" s="98"/>
      <c r="J216" s="98">
        <f t="shared" si="93"/>
        <v>252500</v>
      </c>
      <c r="K216" s="98">
        <f>195000+20000+5000+7500</f>
        <v>227500</v>
      </c>
      <c r="L216" s="98">
        <v>25000</v>
      </c>
      <c r="M216" s="98">
        <v>12100</v>
      </c>
      <c r="N216" s="98"/>
      <c r="O216" s="98">
        <f>195000+20000+5000+7500</f>
        <v>227500</v>
      </c>
      <c r="P216" s="98">
        <f t="shared" si="92"/>
        <v>23894474</v>
      </c>
      <c r="Q216" s="23"/>
      <c r="R216" s="32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  <c r="TF216" s="23"/>
      <c r="TG216" s="23"/>
    </row>
    <row r="217" spans="1:527" s="22" customFormat="1" ht="48.75" customHeight="1" x14ac:dyDescent="0.25">
      <c r="A217" s="59">
        <v>1014060</v>
      </c>
      <c r="B217" s="92" t="str">
        <f>'дод 7'!A143</f>
        <v>4060</v>
      </c>
      <c r="C217" s="92" t="str">
        <f>'дод 7'!B143</f>
        <v>0828</v>
      </c>
      <c r="D217" s="60" t="str">
        <f>'дод 7'!C143</f>
        <v>Забезпечення діяльності палаців i будинків культури, клубів, центрів дозвілля та iнших клубних закладів</v>
      </c>
      <c r="E217" s="98">
        <f t="shared" si="91"/>
        <v>2297816</v>
      </c>
      <c r="F217" s="98">
        <f>2160300+15160+20000+25000+40000+10156+22000+5200</f>
        <v>2297816</v>
      </c>
      <c r="G217" s="98">
        <f>1531600-2000</f>
        <v>1529600</v>
      </c>
      <c r="H217" s="98">
        <f>115700+15160+10156</f>
        <v>141016</v>
      </c>
      <c r="I217" s="98"/>
      <c r="J217" s="98">
        <f t="shared" si="93"/>
        <v>6000</v>
      </c>
      <c r="K217" s="98">
        <f>40000-40000</f>
        <v>0</v>
      </c>
      <c r="L217" s="98">
        <v>6000</v>
      </c>
      <c r="M217" s="98"/>
      <c r="N217" s="98">
        <v>3300</v>
      </c>
      <c r="O217" s="98">
        <f>40000-40000</f>
        <v>0</v>
      </c>
      <c r="P217" s="98">
        <f t="shared" si="92"/>
        <v>2303816</v>
      </c>
      <c r="Q217" s="23"/>
      <c r="R217" s="32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</row>
    <row r="218" spans="1:527" s="24" customFormat="1" ht="33.75" customHeight="1" x14ac:dyDescent="0.25">
      <c r="A218" s="59">
        <v>1014081</v>
      </c>
      <c r="B218" s="92" t="str">
        <f>'дод 7'!A144</f>
        <v>4081</v>
      </c>
      <c r="C218" s="92" t="str">
        <f>'дод 7'!B144</f>
        <v>0829</v>
      </c>
      <c r="D218" s="60" t="str">
        <f>'дод 7'!C144</f>
        <v>Забезпечення діяльності інших закладів в галузі культури і мистецтва</v>
      </c>
      <c r="E218" s="98">
        <f t="shared" si="91"/>
        <v>2228457</v>
      </c>
      <c r="F218" s="98">
        <f>2206400+1827+9400+7000+3830</f>
        <v>2228457</v>
      </c>
      <c r="G218" s="98">
        <f>1693000-4500</f>
        <v>1688500</v>
      </c>
      <c r="H218" s="98">
        <f>34900+1827+9400+3830</f>
        <v>49957</v>
      </c>
      <c r="I218" s="98"/>
      <c r="J218" s="98">
        <f t="shared" si="93"/>
        <v>23000</v>
      </c>
      <c r="K218" s="98">
        <v>23000</v>
      </c>
      <c r="L218" s="98"/>
      <c r="M218" s="98"/>
      <c r="N218" s="98"/>
      <c r="O218" s="98">
        <v>23000</v>
      </c>
      <c r="P218" s="98">
        <f t="shared" si="92"/>
        <v>2251457</v>
      </c>
      <c r="Q218" s="30"/>
      <c r="R218" s="32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  <c r="IV218" s="30"/>
      <c r="IW218" s="30"/>
      <c r="IX218" s="30"/>
      <c r="IY218" s="30"/>
      <c r="IZ218" s="30"/>
      <c r="JA218" s="30"/>
      <c r="JB218" s="30"/>
      <c r="JC218" s="30"/>
      <c r="JD218" s="30"/>
      <c r="JE218" s="30"/>
      <c r="JF218" s="30"/>
      <c r="JG218" s="30"/>
      <c r="JH218" s="30"/>
      <c r="JI218" s="30"/>
      <c r="JJ218" s="30"/>
      <c r="JK218" s="30"/>
      <c r="JL218" s="30"/>
      <c r="JM218" s="30"/>
      <c r="JN218" s="30"/>
      <c r="JO218" s="30"/>
      <c r="JP218" s="30"/>
      <c r="JQ218" s="30"/>
      <c r="JR218" s="30"/>
      <c r="JS218" s="30"/>
      <c r="JT218" s="30"/>
      <c r="JU218" s="30"/>
      <c r="JV218" s="30"/>
      <c r="JW218" s="30"/>
      <c r="JX218" s="30"/>
      <c r="JY218" s="30"/>
      <c r="JZ218" s="30"/>
      <c r="KA218" s="30"/>
      <c r="KB218" s="30"/>
      <c r="KC218" s="30"/>
      <c r="KD218" s="30"/>
      <c r="KE218" s="30"/>
      <c r="KF218" s="30"/>
      <c r="KG218" s="30"/>
      <c r="KH218" s="30"/>
      <c r="KI218" s="30"/>
      <c r="KJ218" s="30"/>
      <c r="KK218" s="30"/>
      <c r="KL218" s="30"/>
      <c r="KM218" s="30"/>
      <c r="KN218" s="30"/>
      <c r="KO218" s="30"/>
      <c r="KP218" s="30"/>
      <c r="KQ218" s="30"/>
      <c r="KR218" s="30"/>
      <c r="KS218" s="30"/>
      <c r="KT218" s="30"/>
      <c r="KU218" s="30"/>
      <c r="KV218" s="30"/>
      <c r="KW218" s="30"/>
      <c r="KX218" s="30"/>
      <c r="KY218" s="30"/>
      <c r="KZ218" s="30"/>
      <c r="LA218" s="30"/>
      <c r="LB218" s="30"/>
      <c r="LC218" s="30"/>
      <c r="LD218" s="30"/>
      <c r="LE218" s="30"/>
      <c r="LF218" s="30"/>
      <c r="LG218" s="30"/>
      <c r="LH218" s="30"/>
      <c r="LI218" s="30"/>
      <c r="LJ218" s="30"/>
      <c r="LK218" s="30"/>
      <c r="LL218" s="30"/>
      <c r="LM218" s="30"/>
      <c r="LN218" s="30"/>
      <c r="LO218" s="30"/>
      <c r="LP218" s="30"/>
      <c r="LQ218" s="30"/>
      <c r="LR218" s="30"/>
      <c r="LS218" s="30"/>
      <c r="LT218" s="30"/>
      <c r="LU218" s="30"/>
      <c r="LV218" s="30"/>
      <c r="LW218" s="30"/>
      <c r="LX218" s="30"/>
      <c r="LY218" s="30"/>
      <c r="LZ218" s="30"/>
      <c r="MA218" s="30"/>
      <c r="MB218" s="30"/>
      <c r="MC218" s="30"/>
      <c r="MD218" s="30"/>
      <c r="ME218" s="30"/>
      <c r="MF218" s="30"/>
      <c r="MG218" s="30"/>
      <c r="MH218" s="30"/>
      <c r="MI218" s="30"/>
      <c r="MJ218" s="30"/>
      <c r="MK218" s="30"/>
      <c r="ML218" s="30"/>
      <c r="MM218" s="30"/>
      <c r="MN218" s="30"/>
      <c r="MO218" s="30"/>
      <c r="MP218" s="30"/>
      <c r="MQ218" s="30"/>
      <c r="MR218" s="30"/>
      <c r="MS218" s="30"/>
      <c r="MT218" s="30"/>
      <c r="MU218" s="30"/>
      <c r="MV218" s="30"/>
      <c r="MW218" s="30"/>
      <c r="MX218" s="30"/>
      <c r="MY218" s="30"/>
      <c r="MZ218" s="30"/>
      <c r="NA218" s="30"/>
      <c r="NB218" s="30"/>
      <c r="NC218" s="30"/>
      <c r="ND218" s="30"/>
      <c r="NE218" s="30"/>
      <c r="NF218" s="30"/>
      <c r="NG218" s="30"/>
      <c r="NH218" s="30"/>
      <c r="NI218" s="30"/>
      <c r="NJ218" s="30"/>
      <c r="NK218" s="30"/>
      <c r="NL218" s="30"/>
      <c r="NM218" s="30"/>
      <c r="NN218" s="30"/>
      <c r="NO218" s="30"/>
      <c r="NP218" s="30"/>
      <c r="NQ218" s="30"/>
      <c r="NR218" s="30"/>
      <c r="NS218" s="30"/>
      <c r="NT218" s="30"/>
      <c r="NU218" s="30"/>
      <c r="NV218" s="30"/>
      <c r="NW218" s="30"/>
      <c r="NX218" s="30"/>
      <c r="NY218" s="30"/>
      <c r="NZ218" s="30"/>
      <c r="OA218" s="30"/>
      <c r="OB218" s="30"/>
      <c r="OC218" s="30"/>
      <c r="OD218" s="30"/>
      <c r="OE218" s="30"/>
      <c r="OF218" s="30"/>
      <c r="OG218" s="30"/>
      <c r="OH218" s="30"/>
      <c r="OI218" s="30"/>
      <c r="OJ218" s="30"/>
      <c r="OK218" s="30"/>
      <c r="OL218" s="30"/>
      <c r="OM218" s="30"/>
      <c r="ON218" s="30"/>
      <c r="OO218" s="30"/>
      <c r="OP218" s="30"/>
      <c r="OQ218" s="30"/>
      <c r="OR218" s="30"/>
      <c r="OS218" s="30"/>
      <c r="OT218" s="30"/>
      <c r="OU218" s="30"/>
      <c r="OV218" s="30"/>
      <c r="OW218" s="30"/>
      <c r="OX218" s="30"/>
      <c r="OY218" s="30"/>
      <c r="OZ218" s="30"/>
      <c r="PA218" s="30"/>
      <c r="PB218" s="30"/>
      <c r="PC218" s="30"/>
      <c r="PD218" s="30"/>
      <c r="PE218" s="30"/>
      <c r="PF218" s="30"/>
      <c r="PG218" s="30"/>
      <c r="PH218" s="30"/>
      <c r="PI218" s="30"/>
      <c r="PJ218" s="30"/>
      <c r="PK218" s="30"/>
      <c r="PL218" s="30"/>
      <c r="PM218" s="30"/>
      <c r="PN218" s="30"/>
      <c r="PO218" s="30"/>
      <c r="PP218" s="30"/>
      <c r="PQ218" s="30"/>
      <c r="PR218" s="30"/>
      <c r="PS218" s="30"/>
      <c r="PT218" s="30"/>
      <c r="PU218" s="30"/>
      <c r="PV218" s="30"/>
      <c r="PW218" s="30"/>
      <c r="PX218" s="30"/>
      <c r="PY218" s="30"/>
      <c r="PZ218" s="30"/>
      <c r="QA218" s="30"/>
      <c r="QB218" s="30"/>
      <c r="QC218" s="30"/>
      <c r="QD218" s="30"/>
      <c r="QE218" s="30"/>
      <c r="QF218" s="30"/>
      <c r="QG218" s="30"/>
      <c r="QH218" s="30"/>
      <c r="QI218" s="30"/>
      <c r="QJ218" s="30"/>
      <c r="QK218" s="30"/>
      <c r="QL218" s="30"/>
      <c r="QM218" s="30"/>
      <c r="QN218" s="30"/>
      <c r="QO218" s="30"/>
      <c r="QP218" s="30"/>
      <c r="QQ218" s="30"/>
      <c r="QR218" s="30"/>
      <c r="QS218" s="30"/>
      <c r="QT218" s="30"/>
      <c r="QU218" s="30"/>
      <c r="QV218" s="30"/>
      <c r="QW218" s="30"/>
      <c r="QX218" s="30"/>
      <c r="QY218" s="30"/>
      <c r="QZ218" s="30"/>
      <c r="RA218" s="30"/>
      <c r="RB218" s="30"/>
      <c r="RC218" s="30"/>
      <c r="RD218" s="30"/>
      <c r="RE218" s="30"/>
      <c r="RF218" s="30"/>
      <c r="RG218" s="30"/>
      <c r="RH218" s="30"/>
      <c r="RI218" s="30"/>
      <c r="RJ218" s="30"/>
      <c r="RK218" s="30"/>
      <c r="RL218" s="30"/>
      <c r="RM218" s="30"/>
      <c r="RN218" s="30"/>
      <c r="RO218" s="30"/>
      <c r="RP218" s="30"/>
      <c r="RQ218" s="30"/>
      <c r="RR218" s="30"/>
      <c r="RS218" s="30"/>
      <c r="RT218" s="30"/>
      <c r="RU218" s="30"/>
      <c r="RV218" s="30"/>
      <c r="RW218" s="30"/>
      <c r="RX218" s="30"/>
      <c r="RY218" s="30"/>
      <c r="RZ218" s="30"/>
      <c r="SA218" s="30"/>
      <c r="SB218" s="30"/>
      <c r="SC218" s="30"/>
      <c r="SD218" s="30"/>
      <c r="SE218" s="30"/>
      <c r="SF218" s="30"/>
      <c r="SG218" s="30"/>
      <c r="SH218" s="30"/>
      <c r="SI218" s="30"/>
      <c r="SJ218" s="30"/>
      <c r="SK218" s="30"/>
      <c r="SL218" s="30"/>
      <c r="SM218" s="30"/>
      <c r="SN218" s="30"/>
      <c r="SO218" s="30"/>
      <c r="SP218" s="30"/>
      <c r="SQ218" s="30"/>
      <c r="SR218" s="30"/>
      <c r="SS218" s="30"/>
      <c r="ST218" s="30"/>
      <c r="SU218" s="30"/>
      <c r="SV218" s="30"/>
      <c r="SW218" s="30"/>
      <c r="SX218" s="30"/>
      <c r="SY218" s="30"/>
      <c r="SZ218" s="30"/>
      <c r="TA218" s="30"/>
      <c r="TB218" s="30"/>
      <c r="TC218" s="30"/>
      <c r="TD218" s="30"/>
      <c r="TE218" s="30"/>
      <c r="TF218" s="30"/>
      <c r="TG218" s="30"/>
    </row>
    <row r="219" spans="1:527" s="24" customFormat="1" ht="25.5" customHeight="1" x14ac:dyDescent="0.25">
      <c r="A219" s="59">
        <v>1014082</v>
      </c>
      <c r="B219" s="92" t="str">
        <f>'дод 7'!A145</f>
        <v>4082</v>
      </c>
      <c r="C219" s="92" t="str">
        <f>'дод 7'!B145</f>
        <v>0829</v>
      </c>
      <c r="D219" s="60" t="str">
        <f>'дод 7'!C145</f>
        <v>Інші заходи в галузі культури і мистецтва</v>
      </c>
      <c r="E219" s="98">
        <f t="shared" si="91"/>
        <v>1380000</v>
      </c>
      <c r="F219" s="98">
        <f>1100000+100000+85000+95000</f>
        <v>1380000</v>
      </c>
      <c r="G219" s="98"/>
      <c r="H219" s="98"/>
      <c r="I219" s="98"/>
      <c r="J219" s="98">
        <f t="shared" si="93"/>
        <v>0</v>
      </c>
      <c r="K219" s="98"/>
      <c r="L219" s="98"/>
      <c r="M219" s="98"/>
      <c r="N219" s="98"/>
      <c r="O219" s="98"/>
      <c r="P219" s="98">
        <f t="shared" si="92"/>
        <v>1380000</v>
      </c>
      <c r="Q219" s="30"/>
      <c r="R219" s="32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  <c r="IV219" s="30"/>
      <c r="IW219" s="30"/>
      <c r="IX219" s="30"/>
      <c r="IY219" s="30"/>
      <c r="IZ219" s="30"/>
      <c r="JA219" s="30"/>
      <c r="JB219" s="30"/>
      <c r="JC219" s="30"/>
      <c r="JD219" s="30"/>
      <c r="JE219" s="30"/>
      <c r="JF219" s="30"/>
      <c r="JG219" s="30"/>
      <c r="JH219" s="30"/>
      <c r="JI219" s="30"/>
      <c r="JJ219" s="30"/>
      <c r="JK219" s="30"/>
      <c r="JL219" s="30"/>
      <c r="JM219" s="30"/>
      <c r="JN219" s="30"/>
      <c r="JO219" s="30"/>
      <c r="JP219" s="30"/>
      <c r="JQ219" s="30"/>
      <c r="JR219" s="30"/>
      <c r="JS219" s="30"/>
      <c r="JT219" s="30"/>
      <c r="JU219" s="30"/>
      <c r="JV219" s="30"/>
      <c r="JW219" s="30"/>
      <c r="JX219" s="30"/>
      <c r="JY219" s="30"/>
      <c r="JZ219" s="30"/>
      <c r="KA219" s="30"/>
      <c r="KB219" s="30"/>
      <c r="KC219" s="30"/>
      <c r="KD219" s="30"/>
      <c r="KE219" s="30"/>
      <c r="KF219" s="30"/>
      <c r="KG219" s="30"/>
      <c r="KH219" s="30"/>
      <c r="KI219" s="30"/>
      <c r="KJ219" s="30"/>
      <c r="KK219" s="30"/>
      <c r="KL219" s="30"/>
      <c r="KM219" s="30"/>
      <c r="KN219" s="30"/>
      <c r="KO219" s="30"/>
      <c r="KP219" s="30"/>
      <c r="KQ219" s="30"/>
      <c r="KR219" s="30"/>
      <c r="KS219" s="30"/>
      <c r="KT219" s="30"/>
      <c r="KU219" s="30"/>
      <c r="KV219" s="30"/>
      <c r="KW219" s="30"/>
      <c r="KX219" s="30"/>
      <c r="KY219" s="30"/>
      <c r="KZ219" s="30"/>
      <c r="LA219" s="30"/>
      <c r="LB219" s="30"/>
      <c r="LC219" s="30"/>
      <c r="LD219" s="30"/>
      <c r="LE219" s="30"/>
      <c r="LF219" s="30"/>
      <c r="LG219" s="30"/>
      <c r="LH219" s="30"/>
      <c r="LI219" s="30"/>
      <c r="LJ219" s="30"/>
      <c r="LK219" s="30"/>
      <c r="LL219" s="30"/>
      <c r="LM219" s="30"/>
      <c r="LN219" s="30"/>
      <c r="LO219" s="30"/>
      <c r="LP219" s="30"/>
      <c r="LQ219" s="30"/>
      <c r="LR219" s="30"/>
      <c r="LS219" s="30"/>
      <c r="LT219" s="30"/>
      <c r="LU219" s="30"/>
      <c r="LV219" s="30"/>
      <c r="LW219" s="30"/>
      <c r="LX219" s="30"/>
      <c r="LY219" s="30"/>
      <c r="LZ219" s="30"/>
      <c r="MA219" s="30"/>
      <c r="MB219" s="30"/>
      <c r="MC219" s="30"/>
      <c r="MD219" s="30"/>
      <c r="ME219" s="30"/>
      <c r="MF219" s="30"/>
      <c r="MG219" s="30"/>
      <c r="MH219" s="30"/>
      <c r="MI219" s="30"/>
      <c r="MJ219" s="30"/>
      <c r="MK219" s="30"/>
      <c r="ML219" s="30"/>
      <c r="MM219" s="30"/>
      <c r="MN219" s="30"/>
      <c r="MO219" s="30"/>
      <c r="MP219" s="30"/>
      <c r="MQ219" s="30"/>
      <c r="MR219" s="30"/>
      <c r="MS219" s="30"/>
      <c r="MT219" s="30"/>
      <c r="MU219" s="30"/>
      <c r="MV219" s="30"/>
      <c r="MW219" s="30"/>
      <c r="MX219" s="30"/>
      <c r="MY219" s="30"/>
      <c r="MZ219" s="30"/>
      <c r="NA219" s="30"/>
      <c r="NB219" s="30"/>
      <c r="NC219" s="30"/>
      <c r="ND219" s="30"/>
      <c r="NE219" s="30"/>
      <c r="NF219" s="30"/>
      <c r="NG219" s="30"/>
      <c r="NH219" s="30"/>
      <c r="NI219" s="30"/>
      <c r="NJ219" s="30"/>
      <c r="NK219" s="30"/>
      <c r="NL219" s="30"/>
      <c r="NM219" s="30"/>
      <c r="NN219" s="30"/>
      <c r="NO219" s="30"/>
      <c r="NP219" s="30"/>
      <c r="NQ219" s="30"/>
      <c r="NR219" s="30"/>
      <c r="NS219" s="30"/>
      <c r="NT219" s="30"/>
      <c r="NU219" s="30"/>
      <c r="NV219" s="30"/>
      <c r="NW219" s="30"/>
      <c r="NX219" s="30"/>
      <c r="NY219" s="30"/>
      <c r="NZ219" s="30"/>
      <c r="OA219" s="30"/>
      <c r="OB219" s="30"/>
      <c r="OC219" s="30"/>
      <c r="OD219" s="30"/>
      <c r="OE219" s="30"/>
      <c r="OF219" s="30"/>
      <c r="OG219" s="30"/>
      <c r="OH219" s="30"/>
      <c r="OI219" s="30"/>
      <c r="OJ219" s="30"/>
      <c r="OK219" s="30"/>
      <c r="OL219" s="30"/>
      <c r="OM219" s="30"/>
      <c r="ON219" s="30"/>
      <c r="OO219" s="30"/>
      <c r="OP219" s="30"/>
      <c r="OQ219" s="30"/>
      <c r="OR219" s="30"/>
      <c r="OS219" s="30"/>
      <c r="OT219" s="30"/>
      <c r="OU219" s="30"/>
      <c r="OV219" s="30"/>
      <c r="OW219" s="30"/>
      <c r="OX219" s="30"/>
      <c r="OY219" s="30"/>
      <c r="OZ219" s="30"/>
      <c r="PA219" s="30"/>
      <c r="PB219" s="30"/>
      <c r="PC219" s="30"/>
      <c r="PD219" s="30"/>
      <c r="PE219" s="30"/>
      <c r="PF219" s="30"/>
      <c r="PG219" s="30"/>
      <c r="PH219" s="30"/>
      <c r="PI219" s="30"/>
      <c r="PJ219" s="30"/>
      <c r="PK219" s="30"/>
      <c r="PL219" s="30"/>
      <c r="PM219" s="30"/>
      <c r="PN219" s="30"/>
      <c r="PO219" s="30"/>
      <c r="PP219" s="30"/>
      <c r="PQ219" s="30"/>
      <c r="PR219" s="30"/>
      <c r="PS219" s="30"/>
      <c r="PT219" s="30"/>
      <c r="PU219" s="30"/>
      <c r="PV219" s="30"/>
      <c r="PW219" s="30"/>
      <c r="PX219" s="30"/>
      <c r="PY219" s="30"/>
      <c r="PZ219" s="30"/>
      <c r="QA219" s="30"/>
      <c r="QB219" s="30"/>
      <c r="QC219" s="30"/>
      <c r="QD219" s="30"/>
      <c r="QE219" s="30"/>
      <c r="QF219" s="30"/>
      <c r="QG219" s="30"/>
      <c r="QH219" s="30"/>
      <c r="QI219" s="30"/>
      <c r="QJ219" s="30"/>
      <c r="QK219" s="30"/>
      <c r="QL219" s="30"/>
      <c r="QM219" s="30"/>
      <c r="QN219" s="30"/>
      <c r="QO219" s="30"/>
      <c r="QP219" s="30"/>
      <c r="QQ219" s="30"/>
      <c r="QR219" s="30"/>
      <c r="QS219" s="30"/>
      <c r="QT219" s="30"/>
      <c r="QU219" s="30"/>
      <c r="QV219" s="30"/>
      <c r="QW219" s="30"/>
      <c r="QX219" s="30"/>
      <c r="QY219" s="30"/>
      <c r="QZ219" s="30"/>
      <c r="RA219" s="30"/>
      <c r="RB219" s="30"/>
      <c r="RC219" s="30"/>
      <c r="RD219" s="30"/>
      <c r="RE219" s="30"/>
      <c r="RF219" s="30"/>
      <c r="RG219" s="30"/>
      <c r="RH219" s="30"/>
      <c r="RI219" s="30"/>
      <c r="RJ219" s="30"/>
      <c r="RK219" s="30"/>
      <c r="RL219" s="30"/>
      <c r="RM219" s="30"/>
      <c r="RN219" s="30"/>
      <c r="RO219" s="30"/>
      <c r="RP219" s="30"/>
      <c r="RQ219" s="30"/>
      <c r="RR219" s="30"/>
      <c r="RS219" s="30"/>
      <c r="RT219" s="30"/>
      <c r="RU219" s="30"/>
      <c r="RV219" s="30"/>
      <c r="RW219" s="30"/>
      <c r="RX219" s="30"/>
      <c r="RY219" s="30"/>
      <c r="RZ219" s="30"/>
      <c r="SA219" s="30"/>
      <c r="SB219" s="30"/>
      <c r="SC219" s="30"/>
      <c r="SD219" s="30"/>
      <c r="SE219" s="30"/>
      <c r="SF219" s="30"/>
      <c r="SG219" s="30"/>
      <c r="SH219" s="30"/>
      <c r="SI219" s="30"/>
      <c r="SJ219" s="30"/>
      <c r="SK219" s="30"/>
      <c r="SL219" s="30"/>
      <c r="SM219" s="30"/>
      <c r="SN219" s="30"/>
      <c r="SO219" s="30"/>
      <c r="SP219" s="30"/>
      <c r="SQ219" s="30"/>
      <c r="SR219" s="30"/>
      <c r="SS219" s="30"/>
      <c r="ST219" s="30"/>
      <c r="SU219" s="30"/>
      <c r="SV219" s="30"/>
      <c r="SW219" s="30"/>
      <c r="SX219" s="30"/>
      <c r="SY219" s="30"/>
      <c r="SZ219" s="30"/>
      <c r="TA219" s="30"/>
      <c r="TB219" s="30"/>
      <c r="TC219" s="30"/>
      <c r="TD219" s="30"/>
      <c r="TE219" s="30"/>
      <c r="TF219" s="30"/>
      <c r="TG219" s="30"/>
    </row>
    <row r="220" spans="1:527" s="24" customFormat="1" ht="21.75" customHeight="1" x14ac:dyDescent="0.25">
      <c r="A220" s="59" t="s">
        <v>455</v>
      </c>
      <c r="B220" s="59" t="s">
        <v>456</v>
      </c>
      <c r="C220" s="59" t="s">
        <v>111</v>
      </c>
      <c r="D220" s="6" t="s">
        <v>550</v>
      </c>
      <c r="E220" s="98">
        <f t="shared" si="91"/>
        <v>0</v>
      </c>
      <c r="F220" s="98"/>
      <c r="G220" s="98"/>
      <c r="H220" s="98"/>
      <c r="I220" s="98"/>
      <c r="J220" s="98">
        <f t="shared" si="93"/>
        <v>570000</v>
      </c>
      <c r="K220" s="98">
        <f>950000+20000-400000</f>
        <v>570000</v>
      </c>
      <c r="L220" s="98"/>
      <c r="M220" s="98"/>
      <c r="N220" s="98"/>
      <c r="O220" s="98">
        <f>950000+20000-400000</f>
        <v>570000</v>
      </c>
      <c r="P220" s="98">
        <f t="shared" si="92"/>
        <v>570000</v>
      </c>
      <c r="Q220" s="30"/>
      <c r="R220" s="32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/>
      <c r="MA220" s="30"/>
      <c r="MB220" s="30"/>
      <c r="MC220" s="30"/>
      <c r="MD220" s="30"/>
      <c r="ME220" s="30"/>
      <c r="MF220" s="30"/>
      <c r="MG220" s="30"/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30"/>
      <c r="MW220" s="30"/>
      <c r="MX220" s="30"/>
      <c r="MY220" s="30"/>
      <c r="MZ220" s="30"/>
      <c r="NA220" s="30"/>
      <c r="NB220" s="30"/>
      <c r="NC220" s="30"/>
      <c r="ND220" s="30"/>
      <c r="NE220" s="30"/>
      <c r="NF220" s="30"/>
      <c r="NG220" s="30"/>
      <c r="NH220" s="30"/>
      <c r="NI220" s="30"/>
      <c r="NJ220" s="30"/>
      <c r="NK220" s="30"/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30"/>
      <c r="NY220" s="30"/>
      <c r="NZ220" s="30"/>
      <c r="OA220" s="30"/>
      <c r="OB220" s="30"/>
      <c r="OC220" s="30"/>
      <c r="OD220" s="30"/>
      <c r="OE220" s="30"/>
      <c r="OF220" s="30"/>
      <c r="OG220" s="30"/>
      <c r="OH220" s="30"/>
      <c r="OI220" s="30"/>
      <c r="OJ220" s="30"/>
      <c r="OK220" s="30"/>
      <c r="OL220" s="30"/>
      <c r="OM220" s="30"/>
      <c r="ON220" s="30"/>
      <c r="OO220" s="30"/>
      <c r="OP220" s="30"/>
      <c r="OQ220" s="30"/>
      <c r="OR220" s="30"/>
      <c r="OS220" s="30"/>
      <c r="OT220" s="30"/>
      <c r="OU220" s="30"/>
      <c r="OV220" s="30"/>
      <c r="OW220" s="30"/>
      <c r="OX220" s="30"/>
      <c r="OY220" s="30"/>
      <c r="OZ220" s="30"/>
      <c r="PA220" s="30"/>
      <c r="PB220" s="30"/>
      <c r="PC220" s="30"/>
      <c r="PD220" s="30"/>
      <c r="PE220" s="30"/>
      <c r="PF220" s="30"/>
      <c r="PG220" s="30"/>
      <c r="PH220" s="30"/>
      <c r="PI220" s="30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0"/>
      <c r="SM220" s="30"/>
      <c r="SN220" s="30"/>
      <c r="SO220" s="30"/>
      <c r="SP220" s="30"/>
      <c r="SQ220" s="30"/>
      <c r="SR220" s="30"/>
      <c r="SS220" s="30"/>
      <c r="ST220" s="30"/>
      <c r="SU220" s="30"/>
      <c r="SV220" s="30"/>
      <c r="SW220" s="30"/>
      <c r="SX220" s="30"/>
      <c r="SY220" s="30"/>
      <c r="SZ220" s="30"/>
      <c r="TA220" s="30"/>
      <c r="TB220" s="30"/>
      <c r="TC220" s="30"/>
      <c r="TD220" s="30"/>
      <c r="TE220" s="30"/>
      <c r="TF220" s="30"/>
      <c r="TG220" s="30"/>
    </row>
    <row r="221" spans="1:527" s="22" customFormat="1" ht="22.5" customHeight="1" x14ac:dyDescent="0.25">
      <c r="A221" s="59" t="s">
        <v>145</v>
      </c>
      <c r="B221" s="92" t="str">
        <f>'дод 7'!A218</f>
        <v>7640</v>
      </c>
      <c r="C221" s="92" t="str">
        <f>'дод 7'!B218</f>
        <v>0470</v>
      </c>
      <c r="D221" s="60" t="s">
        <v>422</v>
      </c>
      <c r="E221" s="98">
        <f t="shared" si="91"/>
        <v>0</v>
      </c>
      <c r="F221" s="98"/>
      <c r="G221" s="98"/>
      <c r="H221" s="98"/>
      <c r="I221" s="98"/>
      <c r="J221" s="98">
        <f t="shared" si="93"/>
        <v>1500000</v>
      </c>
      <c r="K221" s="98">
        <v>1500000</v>
      </c>
      <c r="L221" s="98"/>
      <c r="M221" s="98"/>
      <c r="N221" s="98"/>
      <c r="O221" s="98">
        <v>1500000</v>
      </c>
      <c r="P221" s="98">
        <f t="shared" si="92"/>
        <v>1500000</v>
      </c>
      <c r="Q221" s="23"/>
      <c r="R221" s="32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  <c r="TF221" s="23"/>
      <c r="TG221" s="23"/>
    </row>
    <row r="222" spans="1:527" s="22" customFormat="1" ht="22.5" hidden="1" customHeight="1" x14ac:dyDescent="0.25">
      <c r="A222" s="59">
        <v>1018340</v>
      </c>
      <c r="B222" s="92" t="str">
        <f>'дод 7'!A240</f>
        <v>8340</v>
      </c>
      <c r="C222" s="92" t="str">
        <f>'дод 7'!B240</f>
        <v>0540</v>
      </c>
      <c r="D222" s="116" t="str">
        <f>'дод 7'!C240</f>
        <v>Природоохоронні заходи за рахунок цільових фондів</v>
      </c>
      <c r="E222" s="98">
        <f t="shared" si="91"/>
        <v>0</v>
      </c>
      <c r="F222" s="98"/>
      <c r="G222" s="98"/>
      <c r="H222" s="98"/>
      <c r="I222" s="98"/>
      <c r="J222" s="98">
        <f t="shared" si="93"/>
        <v>0</v>
      </c>
      <c r="K222" s="98"/>
      <c r="L222" s="98"/>
      <c r="M222" s="98"/>
      <c r="N222" s="98"/>
      <c r="O222" s="98"/>
      <c r="P222" s="98">
        <f t="shared" si="92"/>
        <v>0</v>
      </c>
      <c r="Q222" s="23"/>
      <c r="R222" s="32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</row>
    <row r="223" spans="1:527" s="27" customFormat="1" ht="34.5" customHeight="1" x14ac:dyDescent="0.25">
      <c r="A223" s="109" t="s">
        <v>194</v>
      </c>
      <c r="B223" s="111"/>
      <c r="C223" s="111"/>
      <c r="D223" s="106" t="s">
        <v>32</v>
      </c>
      <c r="E223" s="94">
        <f>E224</f>
        <v>307176477.62</v>
      </c>
      <c r="F223" s="94">
        <f t="shared" ref="F223:J223" si="94">F224</f>
        <v>274335654.31</v>
      </c>
      <c r="G223" s="94">
        <f t="shared" si="94"/>
        <v>11254400</v>
      </c>
      <c r="H223" s="94">
        <f t="shared" si="94"/>
        <v>37982808</v>
      </c>
      <c r="I223" s="94">
        <f t="shared" si="94"/>
        <v>32840823.309999999</v>
      </c>
      <c r="J223" s="94">
        <f t="shared" si="94"/>
        <v>198284467.81999999</v>
      </c>
      <c r="K223" s="94">
        <f t="shared" ref="K223" si="95">K224</f>
        <v>179157701.25</v>
      </c>
      <c r="L223" s="94">
        <f t="shared" ref="L223" si="96">L224</f>
        <v>15832686.57</v>
      </c>
      <c r="M223" s="94">
        <f t="shared" ref="M223" si="97">M224</f>
        <v>0</v>
      </c>
      <c r="N223" s="94">
        <f t="shared" ref="N223" si="98">N224</f>
        <v>0</v>
      </c>
      <c r="O223" s="94">
        <f t="shared" ref="O223:P223" si="99">O224</f>
        <v>182451781.25</v>
      </c>
      <c r="P223" s="94">
        <f t="shared" si="99"/>
        <v>505460945.43999994</v>
      </c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  <c r="HO223" s="32"/>
      <c r="HP223" s="32"/>
      <c r="HQ223" s="32"/>
      <c r="HR223" s="32"/>
      <c r="HS223" s="32"/>
      <c r="HT223" s="32"/>
      <c r="HU223" s="32"/>
      <c r="HV223" s="32"/>
      <c r="HW223" s="32"/>
      <c r="HX223" s="32"/>
      <c r="HY223" s="32"/>
      <c r="HZ223" s="32"/>
      <c r="IA223" s="32"/>
      <c r="IB223" s="32"/>
      <c r="IC223" s="32"/>
      <c r="ID223" s="32"/>
      <c r="IE223" s="32"/>
      <c r="IF223" s="32"/>
      <c r="IG223" s="32"/>
      <c r="IH223" s="32"/>
      <c r="II223" s="32"/>
      <c r="IJ223" s="32"/>
      <c r="IK223" s="32"/>
      <c r="IL223" s="32"/>
      <c r="IM223" s="32"/>
      <c r="IN223" s="32"/>
      <c r="IO223" s="32"/>
      <c r="IP223" s="32"/>
      <c r="IQ223" s="32"/>
      <c r="IR223" s="32"/>
      <c r="IS223" s="32"/>
      <c r="IT223" s="32"/>
      <c r="IU223" s="32"/>
      <c r="IV223" s="32"/>
      <c r="IW223" s="32"/>
      <c r="IX223" s="32"/>
      <c r="IY223" s="32"/>
      <c r="IZ223" s="32"/>
      <c r="JA223" s="32"/>
      <c r="JB223" s="32"/>
      <c r="JC223" s="32"/>
      <c r="JD223" s="32"/>
      <c r="JE223" s="32"/>
      <c r="JF223" s="32"/>
      <c r="JG223" s="32"/>
      <c r="JH223" s="32"/>
      <c r="JI223" s="32"/>
      <c r="JJ223" s="32"/>
      <c r="JK223" s="32"/>
      <c r="JL223" s="32"/>
      <c r="JM223" s="32"/>
      <c r="JN223" s="32"/>
      <c r="JO223" s="32"/>
      <c r="JP223" s="32"/>
      <c r="JQ223" s="32"/>
      <c r="JR223" s="32"/>
      <c r="JS223" s="32"/>
      <c r="JT223" s="32"/>
      <c r="JU223" s="32"/>
      <c r="JV223" s="32"/>
      <c r="JW223" s="32"/>
      <c r="JX223" s="32"/>
      <c r="JY223" s="32"/>
      <c r="JZ223" s="32"/>
      <c r="KA223" s="32"/>
      <c r="KB223" s="32"/>
      <c r="KC223" s="32"/>
      <c r="KD223" s="32"/>
      <c r="KE223" s="32"/>
      <c r="KF223" s="32"/>
      <c r="KG223" s="32"/>
      <c r="KH223" s="32"/>
      <c r="KI223" s="32"/>
      <c r="KJ223" s="32"/>
      <c r="KK223" s="32"/>
      <c r="KL223" s="32"/>
      <c r="KM223" s="32"/>
      <c r="KN223" s="32"/>
      <c r="KO223" s="32"/>
      <c r="KP223" s="32"/>
      <c r="KQ223" s="32"/>
      <c r="KR223" s="32"/>
      <c r="KS223" s="32"/>
      <c r="KT223" s="32"/>
      <c r="KU223" s="32"/>
      <c r="KV223" s="32"/>
      <c r="KW223" s="32"/>
      <c r="KX223" s="32"/>
      <c r="KY223" s="32"/>
      <c r="KZ223" s="32"/>
      <c r="LA223" s="32"/>
      <c r="LB223" s="32"/>
      <c r="LC223" s="32"/>
      <c r="LD223" s="32"/>
      <c r="LE223" s="32"/>
      <c r="LF223" s="32"/>
      <c r="LG223" s="32"/>
      <c r="LH223" s="32"/>
      <c r="LI223" s="32"/>
      <c r="LJ223" s="32"/>
      <c r="LK223" s="32"/>
      <c r="LL223" s="32"/>
      <c r="LM223" s="32"/>
      <c r="LN223" s="32"/>
      <c r="LO223" s="32"/>
      <c r="LP223" s="32"/>
      <c r="LQ223" s="32"/>
      <c r="LR223" s="32"/>
      <c r="LS223" s="32"/>
      <c r="LT223" s="32"/>
      <c r="LU223" s="32"/>
      <c r="LV223" s="32"/>
      <c r="LW223" s="32"/>
      <c r="LX223" s="32"/>
      <c r="LY223" s="32"/>
      <c r="LZ223" s="32"/>
      <c r="MA223" s="32"/>
      <c r="MB223" s="32"/>
      <c r="MC223" s="32"/>
      <c r="MD223" s="32"/>
      <c r="ME223" s="32"/>
      <c r="MF223" s="32"/>
      <c r="MG223" s="32"/>
      <c r="MH223" s="32"/>
      <c r="MI223" s="32"/>
      <c r="MJ223" s="32"/>
      <c r="MK223" s="32"/>
      <c r="ML223" s="32"/>
      <c r="MM223" s="32"/>
      <c r="MN223" s="32"/>
      <c r="MO223" s="32"/>
      <c r="MP223" s="32"/>
      <c r="MQ223" s="32"/>
      <c r="MR223" s="32"/>
      <c r="MS223" s="32"/>
      <c r="MT223" s="32"/>
      <c r="MU223" s="32"/>
      <c r="MV223" s="32"/>
      <c r="MW223" s="32"/>
      <c r="MX223" s="32"/>
      <c r="MY223" s="32"/>
      <c r="MZ223" s="32"/>
      <c r="NA223" s="32"/>
      <c r="NB223" s="32"/>
      <c r="NC223" s="32"/>
      <c r="ND223" s="32"/>
      <c r="NE223" s="32"/>
      <c r="NF223" s="32"/>
      <c r="NG223" s="32"/>
      <c r="NH223" s="32"/>
      <c r="NI223" s="32"/>
      <c r="NJ223" s="32"/>
      <c r="NK223" s="32"/>
      <c r="NL223" s="32"/>
      <c r="NM223" s="32"/>
      <c r="NN223" s="32"/>
      <c r="NO223" s="32"/>
      <c r="NP223" s="32"/>
      <c r="NQ223" s="32"/>
      <c r="NR223" s="32"/>
      <c r="NS223" s="32"/>
      <c r="NT223" s="32"/>
      <c r="NU223" s="32"/>
      <c r="NV223" s="32"/>
      <c r="NW223" s="32"/>
      <c r="NX223" s="32"/>
      <c r="NY223" s="32"/>
      <c r="NZ223" s="32"/>
      <c r="OA223" s="32"/>
      <c r="OB223" s="32"/>
      <c r="OC223" s="32"/>
      <c r="OD223" s="32"/>
      <c r="OE223" s="32"/>
      <c r="OF223" s="32"/>
      <c r="OG223" s="32"/>
      <c r="OH223" s="32"/>
      <c r="OI223" s="32"/>
      <c r="OJ223" s="32"/>
      <c r="OK223" s="32"/>
      <c r="OL223" s="32"/>
      <c r="OM223" s="32"/>
      <c r="ON223" s="32"/>
      <c r="OO223" s="32"/>
      <c r="OP223" s="32"/>
      <c r="OQ223" s="32"/>
      <c r="OR223" s="32"/>
      <c r="OS223" s="32"/>
      <c r="OT223" s="32"/>
      <c r="OU223" s="32"/>
      <c r="OV223" s="32"/>
      <c r="OW223" s="32"/>
      <c r="OX223" s="32"/>
      <c r="OY223" s="32"/>
      <c r="OZ223" s="32"/>
      <c r="PA223" s="32"/>
      <c r="PB223" s="32"/>
      <c r="PC223" s="32"/>
      <c r="PD223" s="32"/>
      <c r="PE223" s="32"/>
      <c r="PF223" s="32"/>
      <c r="PG223" s="32"/>
      <c r="PH223" s="32"/>
      <c r="PI223" s="32"/>
      <c r="PJ223" s="32"/>
      <c r="PK223" s="32"/>
      <c r="PL223" s="32"/>
      <c r="PM223" s="32"/>
      <c r="PN223" s="32"/>
      <c r="PO223" s="32"/>
      <c r="PP223" s="32"/>
      <c r="PQ223" s="32"/>
      <c r="PR223" s="32"/>
      <c r="PS223" s="32"/>
      <c r="PT223" s="32"/>
      <c r="PU223" s="32"/>
      <c r="PV223" s="32"/>
      <c r="PW223" s="32"/>
      <c r="PX223" s="32"/>
      <c r="PY223" s="32"/>
      <c r="PZ223" s="32"/>
      <c r="QA223" s="32"/>
      <c r="QB223" s="32"/>
      <c r="QC223" s="32"/>
      <c r="QD223" s="32"/>
      <c r="QE223" s="32"/>
      <c r="QF223" s="32"/>
      <c r="QG223" s="32"/>
      <c r="QH223" s="32"/>
      <c r="QI223" s="32"/>
      <c r="QJ223" s="32"/>
      <c r="QK223" s="32"/>
      <c r="QL223" s="32"/>
      <c r="QM223" s="32"/>
      <c r="QN223" s="32"/>
      <c r="QO223" s="32"/>
      <c r="QP223" s="32"/>
      <c r="QQ223" s="32"/>
      <c r="QR223" s="32"/>
      <c r="QS223" s="32"/>
      <c r="QT223" s="32"/>
      <c r="QU223" s="32"/>
      <c r="QV223" s="32"/>
      <c r="QW223" s="32"/>
      <c r="QX223" s="32"/>
      <c r="QY223" s="32"/>
      <c r="QZ223" s="32"/>
      <c r="RA223" s="32"/>
      <c r="RB223" s="32"/>
      <c r="RC223" s="32"/>
      <c r="RD223" s="32"/>
      <c r="RE223" s="32"/>
      <c r="RF223" s="32"/>
      <c r="RG223" s="32"/>
      <c r="RH223" s="32"/>
      <c r="RI223" s="32"/>
      <c r="RJ223" s="32"/>
      <c r="RK223" s="32"/>
      <c r="RL223" s="32"/>
      <c r="RM223" s="32"/>
      <c r="RN223" s="32"/>
      <c r="RO223" s="32"/>
      <c r="RP223" s="32"/>
      <c r="RQ223" s="32"/>
      <c r="RR223" s="32"/>
      <c r="RS223" s="32"/>
      <c r="RT223" s="32"/>
      <c r="RU223" s="32"/>
      <c r="RV223" s="32"/>
      <c r="RW223" s="32"/>
      <c r="RX223" s="32"/>
      <c r="RY223" s="32"/>
      <c r="RZ223" s="32"/>
      <c r="SA223" s="32"/>
      <c r="SB223" s="32"/>
      <c r="SC223" s="32"/>
      <c r="SD223" s="32"/>
      <c r="SE223" s="32"/>
      <c r="SF223" s="32"/>
      <c r="SG223" s="32"/>
      <c r="SH223" s="32"/>
      <c r="SI223" s="32"/>
      <c r="SJ223" s="32"/>
      <c r="SK223" s="32"/>
      <c r="SL223" s="32"/>
      <c r="SM223" s="32"/>
      <c r="SN223" s="32"/>
      <c r="SO223" s="32"/>
      <c r="SP223" s="32"/>
      <c r="SQ223" s="32"/>
      <c r="SR223" s="32"/>
      <c r="SS223" s="32"/>
      <c r="ST223" s="32"/>
      <c r="SU223" s="32"/>
      <c r="SV223" s="32"/>
      <c r="SW223" s="32"/>
      <c r="SX223" s="32"/>
      <c r="SY223" s="32"/>
      <c r="SZ223" s="32"/>
      <c r="TA223" s="32"/>
      <c r="TB223" s="32"/>
      <c r="TC223" s="32"/>
      <c r="TD223" s="32"/>
      <c r="TE223" s="32"/>
      <c r="TF223" s="32"/>
      <c r="TG223" s="32"/>
    </row>
    <row r="224" spans="1:527" s="34" customFormat="1" ht="31.5" x14ac:dyDescent="0.25">
      <c r="A224" s="95" t="s">
        <v>195</v>
      </c>
      <c r="B224" s="108"/>
      <c r="C224" s="108"/>
      <c r="D224" s="76" t="s">
        <v>396</v>
      </c>
      <c r="E224" s="97">
        <f t="shared" ref="E224:P224" si="100">E231+E232+E233+E234+E235+E236+E237+E238+E239+E242+E243+E244+E246+E245+E248+E250+E255+E257+E258+E259+E261+E264+E265+E266+E247+E252+E263+E262+E240</f>
        <v>307176477.62</v>
      </c>
      <c r="F224" s="97">
        <f t="shared" si="100"/>
        <v>274335654.31</v>
      </c>
      <c r="G224" s="97">
        <f t="shared" si="100"/>
        <v>11254400</v>
      </c>
      <c r="H224" s="97">
        <f t="shared" si="100"/>
        <v>37982808</v>
      </c>
      <c r="I224" s="97">
        <f t="shared" si="100"/>
        <v>32840823.309999999</v>
      </c>
      <c r="J224" s="97">
        <f t="shared" si="100"/>
        <v>198284467.81999999</v>
      </c>
      <c r="K224" s="97">
        <f t="shared" si="100"/>
        <v>179157701.25</v>
      </c>
      <c r="L224" s="97">
        <f t="shared" si="100"/>
        <v>15832686.57</v>
      </c>
      <c r="M224" s="97">
        <f t="shared" si="100"/>
        <v>0</v>
      </c>
      <c r="N224" s="97">
        <f t="shared" si="100"/>
        <v>0</v>
      </c>
      <c r="O224" s="97">
        <f t="shared" si="100"/>
        <v>182451781.25</v>
      </c>
      <c r="P224" s="97">
        <f t="shared" si="100"/>
        <v>505460945.43999994</v>
      </c>
      <c r="Q224" s="33"/>
      <c r="R224" s="32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  <c r="IT224" s="33"/>
      <c r="IU224" s="33"/>
      <c r="IV224" s="33"/>
      <c r="IW224" s="33"/>
      <c r="IX224" s="33"/>
      <c r="IY224" s="33"/>
      <c r="IZ224" s="33"/>
      <c r="JA224" s="33"/>
      <c r="JB224" s="33"/>
      <c r="JC224" s="33"/>
      <c r="JD224" s="33"/>
      <c r="JE224" s="33"/>
      <c r="JF224" s="33"/>
      <c r="JG224" s="33"/>
      <c r="JH224" s="33"/>
      <c r="JI224" s="33"/>
      <c r="JJ224" s="33"/>
      <c r="JK224" s="33"/>
      <c r="JL224" s="33"/>
      <c r="JM224" s="33"/>
      <c r="JN224" s="33"/>
      <c r="JO224" s="33"/>
      <c r="JP224" s="33"/>
      <c r="JQ224" s="33"/>
      <c r="JR224" s="33"/>
      <c r="JS224" s="33"/>
      <c r="JT224" s="33"/>
      <c r="JU224" s="33"/>
      <c r="JV224" s="33"/>
      <c r="JW224" s="33"/>
      <c r="JX224" s="33"/>
      <c r="JY224" s="33"/>
      <c r="JZ224" s="33"/>
      <c r="KA224" s="33"/>
      <c r="KB224" s="33"/>
      <c r="KC224" s="33"/>
      <c r="KD224" s="33"/>
      <c r="KE224" s="33"/>
      <c r="KF224" s="33"/>
      <c r="KG224" s="33"/>
      <c r="KH224" s="33"/>
      <c r="KI224" s="33"/>
      <c r="KJ224" s="33"/>
      <c r="KK224" s="33"/>
      <c r="KL224" s="33"/>
      <c r="KM224" s="33"/>
      <c r="KN224" s="33"/>
      <c r="KO224" s="33"/>
      <c r="KP224" s="33"/>
      <c r="KQ224" s="33"/>
      <c r="KR224" s="33"/>
      <c r="KS224" s="33"/>
      <c r="KT224" s="33"/>
      <c r="KU224" s="33"/>
      <c r="KV224" s="33"/>
      <c r="KW224" s="33"/>
      <c r="KX224" s="33"/>
      <c r="KY224" s="33"/>
      <c r="KZ224" s="33"/>
      <c r="LA224" s="33"/>
      <c r="LB224" s="33"/>
      <c r="LC224" s="33"/>
      <c r="LD224" s="33"/>
      <c r="LE224" s="33"/>
      <c r="LF224" s="33"/>
      <c r="LG224" s="33"/>
      <c r="LH224" s="33"/>
      <c r="LI224" s="33"/>
      <c r="LJ224" s="33"/>
      <c r="LK224" s="33"/>
      <c r="LL224" s="33"/>
      <c r="LM224" s="33"/>
      <c r="LN224" s="33"/>
      <c r="LO224" s="33"/>
      <c r="LP224" s="33"/>
      <c r="LQ224" s="33"/>
      <c r="LR224" s="33"/>
      <c r="LS224" s="33"/>
      <c r="LT224" s="33"/>
      <c r="LU224" s="33"/>
      <c r="LV224" s="33"/>
      <c r="LW224" s="33"/>
      <c r="LX224" s="33"/>
      <c r="LY224" s="33"/>
      <c r="LZ224" s="33"/>
      <c r="MA224" s="33"/>
      <c r="MB224" s="33"/>
      <c r="MC224" s="33"/>
      <c r="MD224" s="33"/>
      <c r="ME224" s="33"/>
      <c r="MF224" s="33"/>
      <c r="MG224" s="33"/>
      <c r="MH224" s="33"/>
      <c r="MI224" s="33"/>
      <c r="MJ224" s="33"/>
      <c r="MK224" s="33"/>
      <c r="ML224" s="33"/>
      <c r="MM224" s="33"/>
      <c r="MN224" s="33"/>
      <c r="MO224" s="33"/>
      <c r="MP224" s="33"/>
      <c r="MQ224" s="33"/>
      <c r="MR224" s="33"/>
      <c r="MS224" s="33"/>
      <c r="MT224" s="33"/>
      <c r="MU224" s="33"/>
      <c r="MV224" s="33"/>
      <c r="MW224" s="33"/>
      <c r="MX224" s="33"/>
      <c r="MY224" s="33"/>
      <c r="MZ224" s="33"/>
      <c r="NA224" s="33"/>
      <c r="NB224" s="33"/>
      <c r="NC224" s="33"/>
      <c r="ND224" s="33"/>
      <c r="NE224" s="33"/>
      <c r="NF224" s="33"/>
      <c r="NG224" s="33"/>
      <c r="NH224" s="33"/>
      <c r="NI224" s="33"/>
      <c r="NJ224" s="33"/>
      <c r="NK224" s="33"/>
      <c r="NL224" s="33"/>
      <c r="NM224" s="33"/>
      <c r="NN224" s="33"/>
      <c r="NO224" s="33"/>
      <c r="NP224" s="33"/>
      <c r="NQ224" s="33"/>
      <c r="NR224" s="33"/>
      <c r="NS224" s="33"/>
      <c r="NT224" s="33"/>
      <c r="NU224" s="33"/>
      <c r="NV224" s="33"/>
      <c r="NW224" s="33"/>
      <c r="NX224" s="33"/>
      <c r="NY224" s="33"/>
      <c r="NZ224" s="33"/>
      <c r="OA224" s="33"/>
      <c r="OB224" s="33"/>
      <c r="OC224" s="33"/>
      <c r="OD224" s="33"/>
      <c r="OE224" s="33"/>
      <c r="OF224" s="33"/>
      <c r="OG224" s="33"/>
      <c r="OH224" s="33"/>
      <c r="OI224" s="33"/>
      <c r="OJ224" s="33"/>
      <c r="OK224" s="33"/>
      <c r="OL224" s="33"/>
      <c r="OM224" s="33"/>
      <c r="ON224" s="33"/>
      <c r="OO224" s="33"/>
      <c r="OP224" s="33"/>
      <c r="OQ224" s="33"/>
      <c r="OR224" s="33"/>
      <c r="OS224" s="33"/>
      <c r="OT224" s="33"/>
      <c r="OU224" s="33"/>
      <c r="OV224" s="33"/>
      <c r="OW224" s="33"/>
      <c r="OX224" s="33"/>
      <c r="OY224" s="33"/>
      <c r="OZ224" s="33"/>
      <c r="PA224" s="33"/>
      <c r="PB224" s="33"/>
      <c r="PC224" s="33"/>
      <c r="PD224" s="33"/>
      <c r="PE224" s="33"/>
      <c r="PF224" s="33"/>
      <c r="PG224" s="33"/>
      <c r="PH224" s="33"/>
      <c r="PI224" s="33"/>
      <c r="PJ224" s="33"/>
      <c r="PK224" s="33"/>
      <c r="PL224" s="33"/>
      <c r="PM224" s="33"/>
      <c r="PN224" s="33"/>
      <c r="PO224" s="33"/>
      <c r="PP224" s="33"/>
      <c r="PQ224" s="33"/>
      <c r="PR224" s="33"/>
      <c r="PS224" s="33"/>
      <c r="PT224" s="33"/>
      <c r="PU224" s="33"/>
      <c r="PV224" s="33"/>
      <c r="PW224" s="33"/>
      <c r="PX224" s="33"/>
      <c r="PY224" s="33"/>
      <c r="PZ224" s="33"/>
      <c r="QA224" s="33"/>
      <c r="QB224" s="33"/>
      <c r="QC224" s="33"/>
      <c r="QD224" s="33"/>
      <c r="QE224" s="33"/>
      <c r="QF224" s="33"/>
      <c r="QG224" s="33"/>
      <c r="QH224" s="33"/>
      <c r="QI224" s="33"/>
      <c r="QJ224" s="33"/>
      <c r="QK224" s="33"/>
      <c r="QL224" s="33"/>
      <c r="QM224" s="33"/>
      <c r="QN224" s="33"/>
      <c r="QO224" s="33"/>
      <c r="QP224" s="33"/>
      <c r="QQ224" s="33"/>
      <c r="QR224" s="33"/>
      <c r="QS224" s="33"/>
      <c r="QT224" s="33"/>
      <c r="QU224" s="33"/>
      <c r="QV224" s="33"/>
      <c r="QW224" s="33"/>
      <c r="QX224" s="33"/>
      <c r="QY224" s="33"/>
      <c r="QZ224" s="33"/>
      <c r="RA224" s="33"/>
      <c r="RB224" s="33"/>
      <c r="RC224" s="33"/>
      <c r="RD224" s="33"/>
      <c r="RE224" s="33"/>
      <c r="RF224" s="33"/>
      <c r="RG224" s="33"/>
      <c r="RH224" s="33"/>
      <c r="RI224" s="33"/>
      <c r="RJ224" s="33"/>
      <c r="RK224" s="33"/>
      <c r="RL224" s="33"/>
      <c r="RM224" s="33"/>
      <c r="RN224" s="33"/>
      <c r="RO224" s="33"/>
      <c r="RP224" s="33"/>
      <c r="RQ224" s="33"/>
      <c r="RR224" s="33"/>
      <c r="RS224" s="33"/>
      <c r="RT224" s="33"/>
      <c r="RU224" s="33"/>
      <c r="RV224" s="33"/>
      <c r="RW224" s="33"/>
      <c r="RX224" s="33"/>
      <c r="RY224" s="33"/>
      <c r="RZ224" s="33"/>
      <c r="SA224" s="33"/>
      <c r="SB224" s="33"/>
      <c r="SC224" s="33"/>
      <c r="SD224" s="33"/>
      <c r="SE224" s="33"/>
      <c r="SF224" s="33"/>
      <c r="SG224" s="33"/>
      <c r="SH224" s="33"/>
      <c r="SI224" s="33"/>
      <c r="SJ224" s="33"/>
      <c r="SK224" s="33"/>
      <c r="SL224" s="33"/>
      <c r="SM224" s="33"/>
      <c r="SN224" s="33"/>
      <c r="SO224" s="33"/>
      <c r="SP224" s="33"/>
      <c r="SQ224" s="33"/>
      <c r="SR224" s="33"/>
      <c r="SS224" s="33"/>
      <c r="ST224" s="33"/>
      <c r="SU224" s="33"/>
      <c r="SV224" s="33"/>
      <c r="SW224" s="33"/>
      <c r="SX224" s="33"/>
      <c r="SY224" s="33"/>
      <c r="SZ224" s="33"/>
      <c r="TA224" s="33"/>
      <c r="TB224" s="33"/>
      <c r="TC224" s="33"/>
      <c r="TD224" s="33"/>
      <c r="TE224" s="33"/>
      <c r="TF224" s="33"/>
      <c r="TG224" s="33"/>
    </row>
    <row r="225" spans="1:527" s="34" customFormat="1" ht="117.75" customHeight="1" x14ac:dyDescent="0.25">
      <c r="A225" s="95"/>
      <c r="B225" s="108"/>
      <c r="C225" s="108"/>
      <c r="D225" s="76" t="s">
        <v>397</v>
      </c>
      <c r="E225" s="97">
        <f>E253</f>
        <v>0</v>
      </c>
      <c r="F225" s="97">
        <f t="shared" ref="F225:P225" si="101">F253</f>
        <v>0</v>
      </c>
      <c r="G225" s="97">
        <f t="shared" si="101"/>
        <v>0</v>
      </c>
      <c r="H225" s="97">
        <f t="shared" si="101"/>
        <v>0</v>
      </c>
      <c r="I225" s="97">
        <f t="shared" si="101"/>
        <v>0</v>
      </c>
      <c r="J225" s="97">
        <f t="shared" si="101"/>
        <v>12100000</v>
      </c>
      <c r="K225" s="97">
        <f t="shared" si="101"/>
        <v>0</v>
      </c>
      <c r="L225" s="97">
        <f t="shared" si="101"/>
        <v>12100000</v>
      </c>
      <c r="M225" s="97">
        <f t="shared" si="101"/>
        <v>0</v>
      </c>
      <c r="N225" s="97">
        <f t="shared" si="101"/>
        <v>0</v>
      </c>
      <c r="O225" s="97">
        <f t="shared" si="101"/>
        <v>0</v>
      </c>
      <c r="P225" s="97">
        <f t="shared" si="101"/>
        <v>12100000</v>
      </c>
      <c r="Q225" s="33"/>
      <c r="R225" s="32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  <c r="IW225" s="33"/>
      <c r="IX225" s="33"/>
      <c r="IY225" s="33"/>
      <c r="IZ225" s="33"/>
      <c r="JA225" s="33"/>
      <c r="JB225" s="33"/>
      <c r="JC225" s="33"/>
      <c r="JD225" s="33"/>
      <c r="JE225" s="33"/>
      <c r="JF225" s="33"/>
      <c r="JG225" s="33"/>
      <c r="JH225" s="33"/>
      <c r="JI225" s="33"/>
      <c r="JJ225" s="33"/>
      <c r="JK225" s="33"/>
      <c r="JL225" s="33"/>
      <c r="JM225" s="33"/>
      <c r="JN225" s="33"/>
      <c r="JO225" s="33"/>
      <c r="JP225" s="33"/>
      <c r="JQ225" s="33"/>
      <c r="JR225" s="33"/>
      <c r="JS225" s="33"/>
      <c r="JT225" s="33"/>
      <c r="JU225" s="33"/>
      <c r="JV225" s="33"/>
      <c r="JW225" s="33"/>
      <c r="JX225" s="33"/>
      <c r="JY225" s="33"/>
      <c r="JZ225" s="33"/>
      <c r="KA225" s="33"/>
      <c r="KB225" s="33"/>
      <c r="KC225" s="33"/>
      <c r="KD225" s="33"/>
      <c r="KE225" s="33"/>
      <c r="KF225" s="33"/>
      <c r="KG225" s="33"/>
      <c r="KH225" s="33"/>
      <c r="KI225" s="33"/>
      <c r="KJ225" s="33"/>
      <c r="KK225" s="33"/>
      <c r="KL225" s="33"/>
      <c r="KM225" s="33"/>
      <c r="KN225" s="33"/>
      <c r="KO225" s="33"/>
      <c r="KP225" s="33"/>
      <c r="KQ225" s="33"/>
      <c r="KR225" s="33"/>
      <c r="KS225" s="33"/>
      <c r="KT225" s="33"/>
      <c r="KU225" s="33"/>
      <c r="KV225" s="33"/>
      <c r="KW225" s="33"/>
      <c r="KX225" s="33"/>
      <c r="KY225" s="33"/>
      <c r="KZ225" s="33"/>
      <c r="LA225" s="33"/>
      <c r="LB225" s="33"/>
      <c r="LC225" s="33"/>
      <c r="LD225" s="33"/>
      <c r="LE225" s="33"/>
      <c r="LF225" s="33"/>
      <c r="LG225" s="33"/>
      <c r="LH225" s="33"/>
      <c r="LI225" s="33"/>
      <c r="LJ225" s="33"/>
      <c r="LK225" s="33"/>
      <c r="LL225" s="33"/>
      <c r="LM225" s="33"/>
      <c r="LN225" s="33"/>
      <c r="LO225" s="33"/>
      <c r="LP225" s="33"/>
      <c r="LQ225" s="33"/>
      <c r="LR225" s="33"/>
      <c r="LS225" s="33"/>
      <c r="LT225" s="33"/>
      <c r="LU225" s="33"/>
      <c r="LV225" s="33"/>
      <c r="LW225" s="33"/>
      <c r="LX225" s="33"/>
      <c r="LY225" s="33"/>
      <c r="LZ225" s="33"/>
      <c r="MA225" s="33"/>
      <c r="MB225" s="33"/>
      <c r="MC225" s="33"/>
      <c r="MD225" s="33"/>
      <c r="ME225" s="33"/>
      <c r="MF225" s="33"/>
      <c r="MG225" s="33"/>
      <c r="MH225" s="33"/>
      <c r="MI225" s="33"/>
      <c r="MJ225" s="33"/>
      <c r="MK225" s="33"/>
      <c r="ML225" s="33"/>
      <c r="MM225" s="33"/>
      <c r="MN225" s="33"/>
      <c r="MO225" s="33"/>
      <c r="MP225" s="33"/>
      <c r="MQ225" s="33"/>
      <c r="MR225" s="33"/>
      <c r="MS225" s="33"/>
      <c r="MT225" s="33"/>
      <c r="MU225" s="33"/>
      <c r="MV225" s="33"/>
      <c r="MW225" s="33"/>
      <c r="MX225" s="33"/>
      <c r="MY225" s="33"/>
      <c r="MZ225" s="33"/>
      <c r="NA225" s="33"/>
      <c r="NB225" s="33"/>
      <c r="NC225" s="33"/>
      <c r="ND225" s="33"/>
      <c r="NE225" s="33"/>
      <c r="NF225" s="33"/>
      <c r="NG225" s="33"/>
      <c r="NH225" s="33"/>
      <c r="NI225" s="33"/>
      <c r="NJ225" s="33"/>
      <c r="NK225" s="33"/>
      <c r="NL225" s="33"/>
      <c r="NM225" s="33"/>
      <c r="NN225" s="33"/>
      <c r="NO225" s="33"/>
      <c r="NP225" s="33"/>
      <c r="NQ225" s="33"/>
      <c r="NR225" s="33"/>
      <c r="NS225" s="33"/>
      <c r="NT225" s="33"/>
      <c r="NU225" s="33"/>
      <c r="NV225" s="33"/>
      <c r="NW225" s="33"/>
      <c r="NX225" s="33"/>
      <c r="NY225" s="33"/>
      <c r="NZ225" s="33"/>
      <c r="OA225" s="33"/>
      <c r="OB225" s="33"/>
      <c r="OC225" s="33"/>
      <c r="OD225" s="33"/>
      <c r="OE225" s="33"/>
      <c r="OF225" s="33"/>
      <c r="OG225" s="33"/>
      <c r="OH225" s="33"/>
      <c r="OI225" s="33"/>
      <c r="OJ225" s="33"/>
      <c r="OK225" s="33"/>
      <c r="OL225" s="33"/>
      <c r="OM225" s="33"/>
      <c r="ON225" s="33"/>
      <c r="OO225" s="33"/>
      <c r="OP225" s="33"/>
      <c r="OQ225" s="33"/>
      <c r="OR225" s="33"/>
      <c r="OS225" s="33"/>
      <c r="OT225" s="33"/>
      <c r="OU225" s="33"/>
      <c r="OV225" s="33"/>
      <c r="OW225" s="33"/>
      <c r="OX225" s="33"/>
      <c r="OY225" s="33"/>
      <c r="OZ225" s="33"/>
      <c r="PA225" s="33"/>
      <c r="PB225" s="33"/>
      <c r="PC225" s="33"/>
      <c r="PD225" s="33"/>
      <c r="PE225" s="33"/>
      <c r="PF225" s="33"/>
      <c r="PG225" s="33"/>
      <c r="PH225" s="33"/>
      <c r="PI225" s="33"/>
      <c r="PJ225" s="33"/>
      <c r="PK225" s="33"/>
      <c r="PL225" s="33"/>
      <c r="PM225" s="33"/>
      <c r="PN225" s="33"/>
      <c r="PO225" s="33"/>
      <c r="PP225" s="33"/>
      <c r="PQ225" s="33"/>
      <c r="PR225" s="33"/>
      <c r="PS225" s="33"/>
      <c r="PT225" s="33"/>
      <c r="PU225" s="33"/>
      <c r="PV225" s="33"/>
      <c r="PW225" s="33"/>
      <c r="PX225" s="33"/>
      <c r="PY225" s="33"/>
      <c r="PZ225" s="33"/>
      <c r="QA225" s="33"/>
      <c r="QB225" s="33"/>
      <c r="QC225" s="33"/>
      <c r="QD225" s="33"/>
      <c r="QE225" s="33"/>
      <c r="QF225" s="33"/>
      <c r="QG225" s="33"/>
      <c r="QH225" s="33"/>
      <c r="QI225" s="33"/>
      <c r="QJ225" s="33"/>
      <c r="QK225" s="33"/>
      <c r="QL225" s="33"/>
      <c r="QM225" s="33"/>
      <c r="QN225" s="33"/>
      <c r="QO225" s="33"/>
      <c r="QP225" s="33"/>
      <c r="QQ225" s="33"/>
      <c r="QR225" s="33"/>
      <c r="QS225" s="33"/>
      <c r="QT225" s="33"/>
      <c r="QU225" s="33"/>
      <c r="QV225" s="33"/>
      <c r="QW225" s="33"/>
      <c r="QX225" s="33"/>
      <c r="QY225" s="33"/>
      <c r="QZ225" s="33"/>
      <c r="RA225" s="33"/>
      <c r="RB225" s="33"/>
      <c r="RC225" s="33"/>
      <c r="RD225" s="33"/>
      <c r="RE225" s="33"/>
      <c r="RF225" s="33"/>
      <c r="RG225" s="33"/>
      <c r="RH225" s="33"/>
      <c r="RI225" s="33"/>
      <c r="RJ225" s="33"/>
      <c r="RK225" s="33"/>
      <c r="RL225" s="33"/>
      <c r="RM225" s="33"/>
      <c r="RN225" s="33"/>
      <c r="RO225" s="33"/>
      <c r="RP225" s="33"/>
      <c r="RQ225" s="33"/>
      <c r="RR225" s="33"/>
      <c r="RS225" s="33"/>
      <c r="RT225" s="33"/>
      <c r="RU225" s="33"/>
      <c r="RV225" s="33"/>
      <c r="RW225" s="33"/>
      <c r="RX225" s="33"/>
      <c r="RY225" s="33"/>
      <c r="RZ225" s="33"/>
      <c r="SA225" s="33"/>
      <c r="SB225" s="33"/>
      <c r="SC225" s="33"/>
      <c r="SD225" s="33"/>
      <c r="SE225" s="33"/>
      <c r="SF225" s="33"/>
      <c r="SG225" s="33"/>
      <c r="SH225" s="33"/>
      <c r="SI225" s="33"/>
      <c r="SJ225" s="33"/>
      <c r="SK225" s="33"/>
      <c r="SL225" s="33"/>
      <c r="SM225" s="33"/>
      <c r="SN225" s="33"/>
      <c r="SO225" s="33"/>
      <c r="SP225" s="33"/>
      <c r="SQ225" s="33"/>
      <c r="SR225" s="33"/>
      <c r="SS225" s="33"/>
      <c r="ST225" s="33"/>
      <c r="SU225" s="33"/>
      <c r="SV225" s="33"/>
      <c r="SW225" s="33"/>
      <c r="SX225" s="33"/>
      <c r="SY225" s="33"/>
      <c r="SZ225" s="33"/>
      <c r="TA225" s="33"/>
      <c r="TB225" s="33"/>
      <c r="TC225" s="33"/>
      <c r="TD225" s="33"/>
      <c r="TE225" s="33"/>
      <c r="TF225" s="33"/>
      <c r="TG225" s="33"/>
    </row>
    <row r="226" spans="1:527" s="34" customFormat="1" ht="84" customHeight="1" x14ac:dyDescent="0.25">
      <c r="A226" s="95"/>
      <c r="B226" s="108"/>
      <c r="C226" s="108"/>
      <c r="D226" s="76" t="s">
        <v>539</v>
      </c>
      <c r="E226" s="97">
        <f>E254</f>
        <v>1527346</v>
      </c>
      <c r="F226" s="97">
        <f t="shared" ref="F226:P226" si="102">F254</f>
        <v>1527346</v>
      </c>
      <c r="G226" s="97">
        <f t="shared" si="102"/>
        <v>0</v>
      </c>
      <c r="H226" s="97">
        <f t="shared" si="102"/>
        <v>0</v>
      </c>
      <c r="I226" s="97">
        <f t="shared" si="102"/>
        <v>0</v>
      </c>
      <c r="J226" s="97">
        <f t="shared" si="102"/>
        <v>0</v>
      </c>
      <c r="K226" s="97">
        <f t="shared" si="102"/>
        <v>0</v>
      </c>
      <c r="L226" s="97">
        <f t="shared" si="102"/>
        <v>0</v>
      </c>
      <c r="M226" s="97">
        <f t="shared" si="102"/>
        <v>0</v>
      </c>
      <c r="N226" s="97">
        <f t="shared" si="102"/>
        <v>0</v>
      </c>
      <c r="O226" s="97">
        <f t="shared" si="102"/>
        <v>0</v>
      </c>
      <c r="P226" s="97">
        <f t="shared" si="102"/>
        <v>1527346</v>
      </c>
      <c r="Q226" s="33"/>
      <c r="R226" s="32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3"/>
      <c r="LZ226" s="33"/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3"/>
      <c r="MZ226" s="33"/>
      <c r="NA226" s="33"/>
      <c r="NB226" s="33"/>
      <c r="NC226" s="33"/>
      <c r="ND226" s="33"/>
      <c r="NE226" s="33"/>
      <c r="NF226" s="33"/>
      <c r="NG226" s="33"/>
      <c r="NH226" s="33"/>
      <c r="NI226" s="33"/>
      <c r="NJ226" s="33"/>
      <c r="NK226" s="33"/>
      <c r="NL226" s="33"/>
      <c r="NM226" s="33"/>
      <c r="NN226" s="33"/>
      <c r="NO226" s="33"/>
      <c r="NP226" s="33"/>
      <c r="NQ226" s="33"/>
      <c r="NR226" s="33"/>
      <c r="NS226" s="33"/>
      <c r="NT226" s="33"/>
      <c r="NU226" s="33"/>
      <c r="NV226" s="33"/>
      <c r="NW226" s="33"/>
      <c r="NX226" s="33"/>
      <c r="NY226" s="33"/>
      <c r="NZ226" s="33"/>
      <c r="OA226" s="33"/>
      <c r="OB226" s="33"/>
      <c r="OC226" s="33"/>
      <c r="OD226" s="33"/>
      <c r="OE226" s="33"/>
      <c r="OF226" s="33"/>
      <c r="OG226" s="33"/>
      <c r="OH226" s="33"/>
      <c r="OI226" s="33"/>
      <c r="OJ226" s="33"/>
      <c r="OK226" s="33"/>
      <c r="OL226" s="33"/>
      <c r="OM226" s="33"/>
      <c r="ON226" s="33"/>
      <c r="OO226" s="33"/>
      <c r="OP226" s="33"/>
      <c r="OQ226" s="33"/>
      <c r="OR226" s="33"/>
      <c r="OS226" s="33"/>
      <c r="OT226" s="33"/>
      <c r="OU226" s="33"/>
      <c r="OV226" s="33"/>
      <c r="OW226" s="33"/>
      <c r="OX226" s="33"/>
      <c r="OY226" s="33"/>
      <c r="OZ226" s="33"/>
      <c r="PA226" s="33"/>
      <c r="PB226" s="33"/>
      <c r="PC226" s="33"/>
      <c r="PD226" s="33"/>
      <c r="PE226" s="33"/>
      <c r="PF226" s="33"/>
      <c r="PG226" s="33"/>
      <c r="PH226" s="33"/>
      <c r="PI226" s="33"/>
      <c r="PJ226" s="33"/>
      <c r="PK226" s="33"/>
      <c r="PL226" s="33"/>
      <c r="PM226" s="33"/>
      <c r="PN226" s="33"/>
      <c r="PO226" s="33"/>
      <c r="PP226" s="33"/>
      <c r="PQ226" s="33"/>
      <c r="PR226" s="33"/>
      <c r="PS226" s="33"/>
      <c r="PT226" s="33"/>
      <c r="PU226" s="33"/>
      <c r="PV226" s="33"/>
      <c r="PW226" s="33"/>
      <c r="PX226" s="33"/>
      <c r="PY226" s="33"/>
      <c r="PZ226" s="33"/>
      <c r="QA226" s="33"/>
      <c r="QB226" s="33"/>
      <c r="QC226" s="33"/>
      <c r="QD226" s="33"/>
      <c r="QE226" s="33"/>
      <c r="QF226" s="33"/>
      <c r="QG226" s="33"/>
      <c r="QH226" s="33"/>
      <c r="QI226" s="33"/>
      <c r="QJ226" s="33"/>
      <c r="QK226" s="33"/>
      <c r="QL226" s="33"/>
      <c r="QM226" s="33"/>
      <c r="QN226" s="33"/>
      <c r="QO226" s="33"/>
      <c r="QP226" s="33"/>
      <c r="QQ226" s="33"/>
      <c r="QR226" s="33"/>
      <c r="QS226" s="33"/>
      <c r="QT226" s="33"/>
      <c r="QU226" s="33"/>
      <c r="QV226" s="33"/>
      <c r="QW226" s="33"/>
      <c r="QX226" s="33"/>
      <c r="QY226" s="33"/>
      <c r="QZ226" s="33"/>
      <c r="RA226" s="33"/>
      <c r="RB226" s="33"/>
      <c r="RC226" s="33"/>
      <c r="RD226" s="33"/>
      <c r="RE226" s="33"/>
      <c r="RF226" s="33"/>
      <c r="RG226" s="33"/>
      <c r="RH226" s="33"/>
      <c r="RI226" s="33"/>
      <c r="RJ226" s="33"/>
      <c r="RK226" s="33"/>
      <c r="RL226" s="33"/>
      <c r="RM226" s="33"/>
      <c r="RN226" s="33"/>
      <c r="RO226" s="33"/>
      <c r="RP226" s="33"/>
      <c r="RQ226" s="33"/>
      <c r="RR226" s="33"/>
      <c r="RS226" s="33"/>
      <c r="RT226" s="33"/>
      <c r="RU226" s="33"/>
      <c r="RV226" s="33"/>
      <c r="RW226" s="33"/>
      <c r="RX226" s="33"/>
      <c r="RY226" s="33"/>
      <c r="RZ226" s="33"/>
      <c r="SA226" s="33"/>
      <c r="SB226" s="33"/>
      <c r="SC226" s="33"/>
      <c r="SD226" s="33"/>
      <c r="SE226" s="33"/>
      <c r="SF226" s="33"/>
      <c r="SG226" s="33"/>
      <c r="SH226" s="33"/>
      <c r="SI226" s="33"/>
      <c r="SJ226" s="33"/>
      <c r="SK226" s="33"/>
      <c r="SL226" s="33"/>
      <c r="SM226" s="33"/>
      <c r="SN226" s="33"/>
      <c r="SO226" s="33"/>
      <c r="SP226" s="33"/>
      <c r="SQ226" s="33"/>
      <c r="SR226" s="33"/>
      <c r="SS226" s="33"/>
      <c r="ST226" s="33"/>
      <c r="SU226" s="33"/>
      <c r="SV226" s="33"/>
      <c r="SW226" s="33"/>
      <c r="SX226" s="33"/>
      <c r="SY226" s="33"/>
      <c r="SZ226" s="33"/>
      <c r="TA226" s="33"/>
      <c r="TB226" s="33"/>
      <c r="TC226" s="33"/>
      <c r="TD226" s="33"/>
      <c r="TE226" s="33"/>
      <c r="TF226" s="33"/>
      <c r="TG226" s="33"/>
    </row>
    <row r="227" spans="1:527" s="34" customFormat="1" ht="61.5" customHeight="1" x14ac:dyDescent="0.25">
      <c r="A227" s="95"/>
      <c r="B227" s="108"/>
      <c r="C227" s="108"/>
      <c r="D227" s="76" t="s">
        <v>388</v>
      </c>
      <c r="E227" s="97">
        <f>E249</f>
        <v>0</v>
      </c>
      <c r="F227" s="97">
        <f t="shared" ref="F227:P227" si="103">F249</f>
        <v>0</v>
      </c>
      <c r="G227" s="97">
        <f t="shared" si="103"/>
        <v>0</v>
      </c>
      <c r="H227" s="97">
        <f t="shared" si="103"/>
        <v>0</v>
      </c>
      <c r="I227" s="97">
        <f t="shared" si="103"/>
        <v>0</v>
      </c>
      <c r="J227" s="97">
        <f t="shared" si="103"/>
        <v>11377714</v>
      </c>
      <c r="K227" s="97">
        <f t="shared" si="103"/>
        <v>11377714</v>
      </c>
      <c r="L227" s="97">
        <f t="shared" si="103"/>
        <v>0</v>
      </c>
      <c r="M227" s="97">
        <f t="shared" si="103"/>
        <v>0</v>
      </c>
      <c r="N227" s="97">
        <f t="shared" si="103"/>
        <v>0</v>
      </c>
      <c r="O227" s="97">
        <f t="shared" si="103"/>
        <v>11377714</v>
      </c>
      <c r="P227" s="97">
        <f t="shared" si="103"/>
        <v>11377714</v>
      </c>
      <c r="Q227" s="33"/>
      <c r="R227" s="32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  <c r="SQ227" s="33"/>
      <c r="SR227" s="33"/>
      <c r="SS227" s="33"/>
      <c r="ST227" s="33"/>
      <c r="SU227" s="33"/>
      <c r="SV227" s="33"/>
      <c r="SW227" s="33"/>
      <c r="SX227" s="33"/>
      <c r="SY227" s="33"/>
      <c r="SZ227" s="33"/>
      <c r="TA227" s="33"/>
      <c r="TB227" s="33"/>
      <c r="TC227" s="33"/>
      <c r="TD227" s="33"/>
      <c r="TE227" s="33"/>
      <c r="TF227" s="33"/>
      <c r="TG227" s="33"/>
    </row>
    <row r="228" spans="1:527" s="34" customFormat="1" ht="141.75" x14ac:dyDescent="0.25">
      <c r="A228" s="95"/>
      <c r="B228" s="108"/>
      <c r="C228" s="108"/>
      <c r="D228" s="144" t="s">
        <v>619</v>
      </c>
      <c r="E228" s="97">
        <f>E240</f>
        <v>0</v>
      </c>
      <c r="F228" s="97">
        <f t="shared" ref="F228:P228" si="104">F240</f>
        <v>0</v>
      </c>
      <c r="G228" s="97">
        <f t="shared" si="104"/>
        <v>0</v>
      </c>
      <c r="H228" s="97">
        <f t="shared" si="104"/>
        <v>0</v>
      </c>
      <c r="I228" s="97">
        <f t="shared" si="104"/>
        <v>0</v>
      </c>
      <c r="J228" s="97">
        <f t="shared" si="104"/>
        <v>0</v>
      </c>
      <c r="K228" s="97">
        <f t="shared" si="104"/>
        <v>0</v>
      </c>
      <c r="L228" s="97">
        <f t="shared" si="104"/>
        <v>0</v>
      </c>
      <c r="M228" s="97">
        <f t="shared" si="104"/>
        <v>0</v>
      </c>
      <c r="N228" s="97">
        <f t="shared" si="104"/>
        <v>0</v>
      </c>
      <c r="O228" s="97">
        <f t="shared" si="104"/>
        <v>0</v>
      </c>
      <c r="P228" s="97">
        <f t="shared" si="104"/>
        <v>0</v>
      </c>
      <c r="Q228" s="33"/>
      <c r="R228" s="32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3"/>
      <c r="KY228" s="33"/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3"/>
      <c r="MZ228" s="33"/>
      <c r="NA228" s="33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  <c r="QA228" s="33"/>
      <c r="QB228" s="33"/>
      <c r="QC228" s="33"/>
      <c r="QD228" s="33"/>
      <c r="QE228" s="33"/>
      <c r="QF228" s="33"/>
      <c r="QG228" s="33"/>
      <c r="QH228" s="33"/>
      <c r="QI228" s="33"/>
      <c r="QJ228" s="33"/>
      <c r="QK228" s="33"/>
      <c r="QL228" s="33"/>
      <c r="QM228" s="33"/>
      <c r="QN228" s="33"/>
      <c r="QO228" s="33"/>
      <c r="QP228" s="33"/>
      <c r="QQ228" s="33"/>
      <c r="QR228" s="33"/>
      <c r="QS228" s="33"/>
      <c r="QT228" s="33"/>
      <c r="QU228" s="33"/>
      <c r="QV228" s="33"/>
      <c r="QW228" s="33"/>
      <c r="QX228" s="33"/>
      <c r="QY228" s="33"/>
      <c r="QZ228" s="33"/>
      <c r="RA228" s="33"/>
      <c r="RB228" s="33"/>
      <c r="RC228" s="33"/>
      <c r="RD228" s="33"/>
      <c r="RE228" s="33"/>
      <c r="RF228" s="33"/>
      <c r="RG228" s="33"/>
      <c r="RH228" s="33"/>
      <c r="RI228" s="33"/>
      <c r="RJ228" s="33"/>
      <c r="RK228" s="33"/>
      <c r="RL228" s="33"/>
      <c r="RM228" s="33"/>
      <c r="RN228" s="33"/>
      <c r="RO228" s="33"/>
      <c r="RP228" s="33"/>
      <c r="RQ228" s="33"/>
      <c r="RR228" s="33"/>
      <c r="RS228" s="33"/>
      <c r="RT228" s="33"/>
      <c r="RU228" s="33"/>
      <c r="RV228" s="33"/>
      <c r="RW228" s="33"/>
      <c r="RX228" s="33"/>
      <c r="RY228" s="33"/>
      <c r="RZ228" s="33"/>
      <c r="SA228" s="33"/>
      <c r="SB228" s="33"/>
      <c r="SC228" s="33"/>
      <c r="SD228" s="33"/>
      <c r="SE228" s="33"/>
      <c r="SF228" s="33"/>
      <c r="SG228" s="33"/>
      <c r="SH228" s="33"/>
      <c r="SI228" s="33"/>
      <c r="SJ228" s="33"/>
      <c r="SK228" s="33"/>
      <c r="SL228" s="33"/>
      <c r="SM228" s="33"/>
      <c r="SN228" s="33"/>
      <c r="SO228" s="33"/>
      <c r="SP228" s="33"/>
      <c r="SQ228" s="33"/>
      <c r="SR228" s="33"/>
      <c r="SS228" s="33"/>
      <c r="ST228" s="33"/>
      <c r="SU228" s="33"/>
      <c r="SV228" s="33"/>
      <c r="SW228" s="33"/>
      <c r="SX228" s="33"/>
      <c r="SY228" s="33"/>
      <c r="SZ228" s="33"/>
      <c r="TA228" s="33"/>
      <c r="TB228" s="33"/>
      <c r="TC228" s="33"/>
      <c r="TD228" s="33"/>
      <c r="TE228" s="33"/>
      <c r="TF228" s="33"/>
      <c r="TG228" s="33"/>
    </row>
    <row r="229" spans="1:527" s="34" customFormat="1" ht="15.75" x14ac:dyDescent="0.25">
      <c r="A229" s="95"/>
      <c r="B229" s="108"/>
      <c r="C229" s="108"/>
      <c r="D229" s="82" t="s">
        <v>393</v>
      </c>
      <c r="E229" s="97">
        <f>E251+E256</f>
        <v>200000</v>
      </c>
      <c r="F229" s="97">
        <f t="shared" ref="F229:P229" si="105">F251+F256</f>
        <v>200000</v>
      </c>
      <c r="G229" s="97">
        <f t="shared" si="105"/>
        <v>0</v>
      </c>
      <c r="H229" s="97">
        <f t="shared" si="105"/>
        <v>0</v>
      </c>
      <c r="I229" s="97">
        <f t="shared" si="105"/>
        <v>0</v>
      </c>
      <c r="J229" s="97">
        <f t="shared" si="105"/>
        <v>200000</v>
      </c>
      <c r="K229" s="97">
        <f t="shared" si="105"/>
        <v>200000</v>
      </c>
      <c r="L229" s="97">
        <f t="shared" si="105"/>
        <v>0</v>
      </c>
      <c r="M229" s="97">
        <f t="shared" si="105"/>
        <v>0</v>
      </c>
      <c r="N229" s="97">
        <f t="shared" si="105"/>
        <v>0</v>
      </c>
      <c r="O229" s="97">
        <f t="shared" si="105"/>
        <v>200000</v>
      </c>
      <c r="P229" s="97">
        <f t="shared" si="105"/>
        <v>400000</v>
      </c>
      <c r="Q229" s="33"/>
      <c r="R229" s="32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  <c r="IW229" s="33"/>
      <c r="IX229" s="33"/>
      <c r="IY229" s="33"/>
      <c r="IZ229" s="33"/>
      <c r="JA229" s="33"/>
      <c r="JB229" s="33"/>
      <c r="JC229" s="33"/>
      <c r="JD229" s="33"/>
      <c r="JE229" s="33"/>
      <c r="JF229" s="33"/>
      <c r="JG229" s="33"/>
      <c r="JH229" s="33"/>
      <c r="JI229" s="33"/>
      <c r="JJ229" s="33"/>
      <c r="JK229" s="33"/>
      <c r="JL229" s="33"/>
      <c r="JM229" s="33"/>
      <c r="JN229" s="33"/>
      <c r="JO229" s="33"/>
      <c r="JP229" s="33"/>
      <c r="JQ229" s="33"/>
      <c r="JR229" s="33"/>
      <c r="JS229" s="33"/>
      <c r="JT229" s="33"/>
      <c r="JU229" s="33"/>
      <c r="JV229" s="33"/>
      <c r="JW229" s="33"/>
      <c r="JX229" s="33"/>
      <c r="JY229" s="33"/>
      <c r="JZ229" s="33"/>
      <c r="KA229" s="33"/>
      <c r="KB229" s="33"/>
      <c r="KC229" s="33"/>
      <c r="KD229" s="33"/>
      <c r="KE229" s="33"/>
      <c r="KF229" s="33"/>
      <c r="KG229" s="33"/>
      <c r="KH229" s="33"/>
      <c r="KI229" s="33"/>
      <c r="KJ229" s="33"/>
      <c r="KK229" s="33"/>
      <c r="KL229" s="33"/>
      <c r="KM229" s="33"/>
      <c r="KN229" s="33"/>
      <c r="KO229" s="33"/>
      <c r="KP229" s="33"/>
      <c r="KQ229" s="33"/>
      <c r="KR229" s="33"/>
      <c r="KS229" s="33"/>
      <c r="KT229" s="33"/>
      <c r="KU229" s="33"/>
      <c r="KV229" s="33"/>
      <c r="KW229" s="33"/>
      <c r="KX229" s="33"/>
      <c r="KY229" s="33"/>
      <c r="KZ229" s="33"/>
      <c r="LA229" s="33"/>
      <c r="LB229" s="33"/>
      <c r="LC229" s="33"/>
      <c r="LD229" s="33"/>
      <c r="LE229" s="33"/>
      <c r="LF229" s="33"/>
      <c r="LG229" s="33"/>
      <c r="LH229" s="33"/>
      <c r="LI229" s="33"/>
      <c r="LJ229" s="33"/>
      <c r="LK229" s="33"/>
      <c r="LL229" s="33"/>
      <c r="LM229" s="33"/>
      <c r="LN229" s="33"/>
      <c r="LO229" s="33"/>
      <c r="LP229" s="33"/>
      <c r="LQ229" s="33"/>
      <c r="LR229" s="33"/>
      <c r="LS229" s="33"/>
      <c r="LT229" s="33"/>
      <c r="LU229" s="33"/>
      <c r="LV229" s="33"/>
      <c r="LW229" s="33"/>
      <c r="LX229" s="33"/>
      <c r="LY229" s="33"/>
      <c r="LZ229" s="33"/>
      <c r="MA229" s="33"/>
      <c r="MB229" s="33"/>
      <c r="MC229" s="33"/>
      <c r="MD229" s="33"/>
      <c r="ME229" s="33"/>
      <c r="MF229" s="33"/>
      <c r="MG229" s="33"/>
      <c r="MH229" s="33"/>
      <c r="MI229" s="33"/>
      <c r="MJ229" s="33"/>
      <c r="MK229" s="33"/>
      <c r="ML229" s="33"/>
      <c r="MM229" s="33"/>
      <c r="MN229" s="33"/>
      <c r="MO229" s="33"/>
      <c r="MP229" s="33"/>
      <c r="MQ229" s="33"/>
      <c r="MR229" s="33"/>
      <c r="MS229" s="33"/>
      <c r="MT229" s="33"/>
      <c r="MU229" s="33"/>
      <c r="MV229" s="33"/>
      <c r="MW229" s="33"/>
      <c r="MX229" s="33"/>
      <c r="MY229" s="33"/>
      <c r="MZ229" s="33"/>
      <c r="NA229" s="33"/>
      <c r="NB229" s="33"/>
      <c r="NC229" s="33"/>
      <c r="ND229" s="33"/>
      <c r="NE229" s="33"/>
      <c r="NF229" s="33"/>
      <c r="NG229" s="33"/>
      <c r="NH229" s="33"/>
      <c r="NI229" s="33"/>
      <c r="NJ229" s="33"/>
      <c r="NK229" s="33"/>
      <c r="NL229" s="33"/>
      <c r="NM229" s="33"/>
      <c r="NN229" s="33"/>
      <c r="NO229" s="33"/>
      <c r="NP229" s="33"/>
      <c r="NQ229" s="33"/>
      <c r="NR229" s="33"/>
      <c r="NS229" s="33"/>
      <c r="NT229" s="33"/>
      <c r="NU229" s="33"/>
      <c r="NV229" s="33"/>
      <c r="NW229" s="33"/>
      <c r="NX229" s="33"/>
      <c r="NY229" s="33"/>
      <c r="NZ229" s="33"/>
      <c r="OA229" s="33"/>
      <c r="OB229" s="33"/>
      <c r="OC229" s="33"/>
      <c r="OD229" s="33"/>
      <c r="OE229" s="33"/>
      <c r="OF229" s="33"/>
      <c r="OG229" s="33"/>
      <c r="OH229" s="33"/>
      <c r="OI229" s="33"/>
      <c r="OJ229" s="33"/>
      <c r="OK229" s="33"/>
      <c r="OL229" s="33"/>
      <c r="OM229" s="33"/>
      <c r="ON229" s="33"/>
      <c r="OO229" s="33"/>
      <c r="OP229" s="33"/>
      <c r="OQ229" s="33"/>
      <c r="OR229" s="33"/>
      <c r="OS229" s="33"/>
      <c r="OT229" s="33"/>
      <c r="OU229" s="33"/>
      <c r="OV229" s="33"/>
      <c r="OW229" s="33"/>
      <c r="OX229" s="33"/>
      <c r="OY229" s="33"/>
      <c r="OZ229" s="33"/>
      <c r="PA229" s="33"/>
      <c r="PB229" s="33"/>
      <c r="PC229" s="33"/>
      <c r="PD229" s="33"/>
      <c r="PE229" s="33"/>
      <c r="PF229" s="33"/>
      <c r="PG229" s="33"/>
      <c r="PH229" s="33"/>
      <c r="PI229" s="33"/>
      <c r="PJ229" s="33"/>
      <c r="PK229" s="33"/>
      <c r="PL229" s="33"/>
      <c r="PM229" s="33"/>
      <c r="PN229" s="33"/>
      <c r="PO229" s="33"/>
      <c r="PP229" s="33"/>
      <c r="PQ229" s="33"/>
      <c r="PR229" s="33"/>
      <c r="PS229" s="33"/>
      <c r="PT229" s="33"/>
      <c r="PU229" s="33"/>
      <c r="PV229" s="33"/>
      <c r="PW229" s="33"/>
      <c r="PX229" s="33"/>
      <c r="PY229" s="33"/>
      <c r="PZ229" s="33"/>
      <c r="QA229" s="33"/>
      <c r="QB229" s="33"/>
      <c r="QC229" s="33"/>
      <c r="QD229" s="33"/>
      <c r="QE229" s="33"/>
      <c r="QF229" s="33"/>
      <c r="QG229" s="33"/>
      <c r="QH229" s="33"/>
      <c r="QI229" s="33"/>
      <c r="QJ229" s="33"/>
      <c r="QK229" s="33"/>
      <c r="QL229" s="33"/>
      <c r="QM229" s="33"/>
      <c r="QN229" s="33"/>
      <c r="QO229" s="33"/>
      <c r="QP229" s="33"/>
      <c r="QQ229" s="33"/>
      <c r="QR229" s="33"/>
      <c r="QS229" s="33"/>
      <c r="QT229" s="33"/>
      <c r="QU229" s="33"/>
      <c r="QV229" s="33"/>
      <c r="QW229" s="33"/>
      <c r="QX229" s="33"/>
      <c r="QY229" s="33"/>
      <c r="QZ229" s="33"/>
      <c r="RA229" s="33"/>
      <c r="RB229" s="33"/>
      <c r="RC229" s="33"/>
      <c r="RD229" s="33"/>
      <c r="RE229" s="33"/>
      <c r="RF229" s="33"/>
      <c r="RG229" s="33"/>
      <c r="RH229" s="33"/>
      <c r="RI229" s="33"/>
      <c r="RJ229" s="33"/>
      <c r="RK229" s="33"/>
      <c r="RL229" s="33"/>
      <c r="RM229" s="33"/>
      <c r="RN229" s="33"/>
      <c r="RO229" s="33"/>
      <c r="RP229" s="33"/>
      <c r="RQ229" s="33"/>
      <c r="RR229" s="33"/>
      <c r="RS229" s="33"/>
      <c r="RT229" s="33"/>
      <c r="RU229" s="33"/>
      <c r="RV229" s="33"/>
      <c r="RW229" s="33"/>
      <c r="RX229" s="33"/>
      <c r="RY229" s="33"/>
      <c r="RZ229" s="33"/>
      <c r="SA229" s="33"/>
      <c r="SB229" s="33"/>
      <c r="SC229" s="33"/>
      <c r="SD229" s="33"/>
      <c r="SE229" s="33"/>
      <c r="SF229" s="33"/>
      <c r="SG229" s="33"/>
      <c r="SH229" s="33"/>
      <c r="SI229" s="33"/>
      <c r="SJ229" s="33"/>
      <c r="SK229" s="33"/>
      <c r="SL229" s="33"/>
      <c r="SM229" s="33"/>
      <c r="SN229" s="33"/>
      <c r="SO229" s="33"/>
      <c r="SP229" s="33"/>
      <c r="SQ229" s="33"/>
      <c r="SR229" s="33"/>
      <c r="SS229" s="33"/>
      <c r="ST229" s="33"/>
      <c r="SU229" s="33"/>
      <c r="SV229" s="33"/>
      <c r="SW229" s="33"/>
      <c r="SX229" s="33"/>
      <c r="SY229" s="33"/>
      <c r="SZ229" s="33"/>
      <c r="TA229" s="33"/>
      <c r="TB229" s="33"/>
      <c r="TC229" s="33"/>
      <c r="TD229" s="33"/>
      <c r="TE229" s="33"/>
      <c r="TF229" s="33"/>
      <c r="TG229" s="33"/>
    </row>
    <row r="230" spans="1:527" s="34" customFormat="1" ht="15.75" x14ac:dyDescent="0.25">
      <c r="A230" s="95"/>
      <c r="B230" s="108"/>
      <c r="C230" s="108"/>
      <c r="D230" s="82" t="s">
        <v>419</v>
      </c>
      <c r="E230" s="97">
        <f>E260</f>
        <v>0</v>
      </c>
      <c r="F230" s="97">
        <f t="shared" ref="F230:P230" si="106">F260</f>
        <v>0</v>
      </c>
      <c r="G230" s="97">
        <f t="shared" si="106"/>
        <v>0</v>
      </c>
      <c r="H230" s="97">
        <f t="shared" si="106"/>
        <v>0</v>
      </c>
      <c r="I230" s="97">
        <f t="shared" si="106"/>
        <v>0</v>
      </c>
      <c r="J230" s="97">
        <f t="shared" si="106"/>
        <v>26250000</v>
      </c>
      <c r="K230" s="97">
        <f t="shared" si="106"/>
        <v>26250000</v>
      </c>
      <c r="L230" s="97">
        <f t="shared" si="106"/>
        <v>0</v>
      </c>
      <c r="M230" s="97">
        <f t="shared" si="106"/>
        <v>0</v>
      </c>
      <c r="N230" s="97">
        <f t="shared" si="106"/>
        <v>0</v>
      </c>
      <c r="O230" s="97">
        <f t="shared" si="106"/>
        <v>26250000</v>
      </c>
      <c r="P230" s="97">
        <f t="shared" si="106"/>
        <v>26250000</v>
      </c>
      <c r="Q230" s="33"/>
      <c r="R230" s="32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3"/>
      <c r="KY230" s="33"/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3"/>
      <c r="LZ230" s="33"/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3"/>
      <c r="MZ230" s="33"/>
      <c r="NA230" s="33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  <c r="QA230" s="33"/>
      <c r="QB230" s="33"/>
      <c r="QC230" s="33"/>
      <c r="QD230" s="33"/>
      <c r="QE230" s="33"/>
      <c r="QF230" s="33"/>
      <c r="QG230" s="33"/>
      <c r="QH230" s="33"/>
      <c r="QI230" s="33"/>
      <c r="QJ230" s="33"/>
      <c r="QK230" s="33"/>
      <c r="QL230" s="33"/>
      <c r="QM230" s="33"/>
      <c r="QN230" s="33"/>
      <c r="QO230" s="33"/>
      <c r="QP230" s="33"/>
      <c r="QQ230" s="33"/>
      <c r="QR230" s="33"/>
      <c r="QS230" s="33"/>
      <c r="QT230" s="33"/>
      <c r="QU230" s="33"/>
      <c r="QV230" s="33"/>
      <c r="QW230" s="33"/>
      <c r="QX230" s="33"/>
      <c r="QY230" s="33"/>
      <c r="QZ230" s="33"/>
      <c r="RA230" s="33"/>
      <c r="RB230" s="33"/>
      <c r="RC230" s="33"/>
      <c r="RD230" s="33"/>
      <c r="RE230" s="33"/>
      <c r="RF230" s="33"/>
      <c r="RG230" s="33"/>
      <c r="RH230" s="33"/>
      <c r="RI230" s="33"/>
      <c r="RJ230" s="33"/>
      <c r="RK230" s="33"/>
      <c r="RL230" s="33"/>
      <c r="RM230" s="33"/>
      <c r="RN230" s="33"/>
      <c r="RO230" s="33"/>
      <c r="RP230" s="33"/>
      <c r="RQ230" s="33"/>
      <c r="RR230" s="33"/>
      <c r="RS230" s="33"/>
      <c r="RT230" s="33"/>
      <c r="RU230" s="33"/>
      <c r="RV230" s="33"/>
      <c r="RW230" s="33"/>
      <c r="RX230" s="33"/>
      <c r="RY230" s="33"/>
      <c r="RZ230" s="33"/>
      <c r="SA230" s="33"/>
      <c r="SB230" s="33"/>
      <c r="SC230" s="33"/>
      <c r="SD230" s="33"/>
      <c r="SE230" s="33"/>
      <c r="SF230" s="33"/>
      <c r="SG230" s="33"/>
      <c r="SH230" s="33"/>
      <c r="SI230" s="33"/>
      <c r="SJ230" s="33"/>
      <c r="SK230" s="33"/>
      <c r="SL230" s="33"/>
      <c r="SM230" s="33"/>
      <c r="SN230" s="33"/>
      <c r="SO230" s="33"/>
      <c r="SP230" s="33"/>
      <c r="SQ230" s="33"/>
      <c r="SR230" s="33"/>
      <c r="SS230" s="33"/>
      <c r="ST230" s="33"/>
      <c r="SU230" s="33"/>
      <c r="SV230" s="33"/>
      <c r="SW230" s="33"/>
      <c r="SX230" s="33"/>
      <c r="SY230" s="33"/>
      <c r="SZ230" s="33"/>
      <c r="TA230" s="33"/>
      <c r="TB230" s="33"/>
      <c r="TC230" s="33"/>
      <c r="TD230" s="33"/>
      <c r="TE230" s="33"/>
      <c r="TF230" s="33"/>
      <c r="TG230" s="33"/>
    </row>
    <row r="231" spans="1:527" s="22" customFormat="1" ht="47.25" x14ac:dyDescent="0.25">
      <c r="A231" s="59" t="s">
        <v>196</v>
      </c>
      <c r="B231" s="59" t="str">
        <f>'дод 7'!A19</f>
        <v>0160</v>
      </c>
      <c r="C231" s="59" t="str">
        <f>'дод 7'!B19</f>
        <v>0111</v>
      </c>
      <c r="D231" s="93" t="s">
        <v>493</v>
      </c>
      <c r="E231" s="98">
        <f t="shared" ref="E231:E266" si="107">F231+I231</f>
        <v>14495155</v>
      </c>
      <c r="F231" s="98">
        <f>14436900+5575-23920+76600</f>
        <v>14495155</v>
      </c>
      <c r="G231" s="98">
        <f>11274000-19600</f>
        <v>11254400</v>
      </c>
      <c r="H231" s="98">
        <f>203100+5575+76600</f>
        <v>285275</v>
      </c>
      <c r="I231" s="98"/>
      <c r="J231" s="98">
        <f>L231+O231</f>
        <v>0</v>
      </c>
      <c r="K231" s="98"/>
      <c r="L231" s="98"/>
      <c r="M231" s="98"/>
      <c r="N231" s="98"/>
      <c r="O231" s="98"/>
      <c r="P231" s="98">
        <f t="shared" ref="P231:P266" si="108">E231+J231</f>
        <v>14495155</v>
      </c>
      <c r="Q231" s="23"/>
      <c r="R231" s="32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</row>
    <row r="232" spans="1:527" s="22" customFormat="1" ht="23.25" customHeight="1" x14ac:dyDescent="0.25">
      <c r="A232" s="59" t="s">
        <v>542</v>
      </c>
      <c r="B232" s="59" t="s">
        <v>45</v>
      </c>
      <c r="C232" s="59" t="s">
        <v>93</v>
      </c>
      <c r="D232" s="93" t="s">
        <v>242</v>
      </c>
      <c r="E232" s="98">
        <f t="shared" si="107"/>
        <v>600000</v>
      </c>
      <c r="F232" s="98">
        <f>1000000-400000</f>
        <v>600000</v>
      </c>
      <c r="G232" s="98"/>
      <c r="H232" s="98"/>
      <c r="I232" s="98"/>
      <c r="J232" s="98">
        <f>L232+O232</f>
        <v>0</v>
      </c>
      <c r="K232" s="98"/>
      <c r="L232" s="98"/>
      <c r="M232" s="98"/>
      <c r="N232" s="98"/>
      <c r="O232" s="98"/>
      <c r="P232" s="98">
        <f t="shared" si="108"/>
        <v>600000</v>
      </c>
      <c r="Q232" s="23"/>
      <c r="R232" s="32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</row>
    <row r="233" spans="1:527" s="22" customFormat="1" ht="15.75" hidden="1" x14ac:dyDescent="0.25">
      <c r="A233" s="102" t="s">
        <v>302</v>
      </c>
      <c r="B233" s="42" t="str">
        <f>'дод 7'!A131</f>
        <v>3210</v>
      </c>
      <c r="C233" s="42" t="str">
        <f>'дод 7'!B131</f>
        <v>1050</v>
      </c>
      <c r="D233" s="36" t="str">
        <f>'дод 7'!C131</f>
        <v>Організація та проведення громадських робіт</v>
      </c>
      <c r="E233" s="98">
        <f t="shared" si="107"/>
        <v>0</v>
      </c>
      <c r="F233" s="98">
        <f>200000-40000-160000</f>
        <v>0</v>
      </c>
      <c r="G233" s="98"/>
      <c r="H233" s="98"/>
      <c r="I233" s="98"/>
      <c r="J233" s="98">
        <f t="shared" ref="J233:J266" si="109">L233+O233</f>
        <v>0</v>
      </c>
      <c r="K233" s="98"/>
      <c r="L233" s="98"/>
      <c r="M233" s="98"/>
      <c r="N233" s="98"/>
      <c r="O233" s="98"/>
      <c r="P233" s="98">
        <f t="shared" si="108"/>
        <v>0</v>
      </c>
      <c r="Q233" s="23"/>
      <c r="R233" s="32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  <c r="TF233" s="23"/>
      <c r="TG233" s="23"/>
    </row>
    <row r="234" spans="1:527" s="22" customFormat="1" ht="33.75" customHeight="1" x14ac:dyDescent="0.25">
      <c r="A234" s="59" t="s">
        <v>197</v>
      </c>
      <c r="B234" s="92" t="str">
        <f>'дод 7'!A157</f>
        <v>6011</v>
      </c>
      <c r="C234" s="92" t="str">
        <f>'дод 7'!B157</f>
        <v>0610</v>
      </c>
      <c r="D234" s="60" t="str">
        <f>'дод 7'!C157</f>
        <v>Експлуатація та технічне обслуговування житлового фонду</v>
      </c>
      <c r="E234" s="98">
        <f t="shared" si="107"/>
        <v>0</v>
      </c>
      <c r="F234" s="98"/>
      <c r="G234" s="98"/>
      <c r="H234" s="98"/>
      <c r="I234" s="98"/>
      <c r="J234" s="98">
        <f t="shared" si="109"/>
        <v>9020843.5199999996</v>
      </c>
      <c r="K234" s="98">
        <f>7054092-807126.65+807126.65+172300+40000+154400+169950+593700+23900-19300+37614+100560+126700+49900+62000+204157+49000+650100-124900+49900-365100+44300+162056-80000-50197-84660+49950-9687.74-23505.06-32594.45-20271.23</f>
        <v>8984363.5199999996</v>
      </c>
      <c r="L234" s="98"/>
      <c r="M234" s="98"/>
      <c r="N234" s="98"/>
      <c r="O234" s="98">
        <f>7090572-807126.65+807126.65+172300+40000+154400+169950+593700+23900-19300+37614+100560+126700+49900+62000+204157+49000+650100-124900+49900-365100+44300+162056-80000-50197-84660+49950-9687.74-23505.06-32594.45-20271.23</f>
        <v>9020843.5199999996</v>
      </c>
      <c r="P234" s="98">
        <f t="shared" si="108"/>
        <v>9020843.5199999996</v>
      </c>
      <c r="Q234" s="23"/>
      <c r="R234" s="32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</row>
    <row r="235" spans="1:527" s="22" customFormat="1" ht="31.5" x14ac:dyDescent="0.25">
      <c r="A235" s="59" t="s">
        <v>198</v>
      </c>
      <c r="B235" s="92" t="str">
        <f>'дод 7'!A158</f>
        <v>6013</v>
      </c>
      <c r="C235" s="92" t="str">
        <f>'дод 7'!B158</f>
        <v>0620</v>
      </c>
      <c r="D235" s="60" t="str">
        <f>'дод 7'!C158</f>
        <v>Забезпечення діяльності водопровідно-каналізаційного господарства</v>
      </c>
      <c r="E235" s="98">
        <f t="shared" si="107"/>
        <v>29081568</v>
      </c>
      <c r="F235" s="98">
        <f>576568+5000</f>
        <v>581568</v>
      </c>
      <c r="G235" s="98"/>
      <c r="H235" s="98"/>
      <c r="I235" s="98">
        <v>28500000</v>
      </c>
      <c r="J235" s="98">
        <f t="shared" si="109"/>
        <v>200000</v>
      </c>
      <c r="K235" s="98">
        <f>230000-30000</f>
        <v>200000</v>
      </c>
      <c r="L235" s="98"/>
      <c r="M235" s="98"/>
      <c r="N235" s="98"/>
      <c r="O235" s="98">
        <f>230000-30000</f>
        <v>200000</v>
      </c>
      <c r="P235" s="98">
        <f t="shared" si="108"/>
        <v>29281568</v>
      </c>
      <c r="Q235" s="23"/>
      <c r="R235" s="32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</row>
    <row r="236" spans="1:527" s="22" customFormat="1" ht="33" customHeight="1" x14ac:dyDescent="0.25">
      <c r="A236" s="59" t="s">
        <v>259</v>
      </c>
      <c r="B236" s="92" t="str">
        <f>'дод 7'!A159</f>
        <v>6015</v>
      </c>
      <c r="C236" s="92" t="str">
        <f>'дод 7'!B159</f>
        <v>0620</v>
      </c>
      <c r="D236" s="60" t="str">
        <f>'дод 7'!C159</f>
        <v>Забезпечення надійної та безперебійної експлуатації ліфтів</v>
      </c>
      <c r="E236" s="98">
        <f t="shared" si="107"/>
        <v>71280</v>
      </c>
      <c r="F236" s="98">
        <v>71280</v>
      </c>
      <c r="G236" s="98"/>
      <c r="H236" s="98"/>
      <c r="I236" s="98"/>
      <c r="J236" s="98">
        <f t="shared" si="109"/>
        <v>32295150</v>
      </c>
      <c r="K236" s="98">
        <f>6600000-96212+96212+4439600+1450000+700000+590000+232000-200000-200000+50000+318000+80000+592000+16000+65000+17450000+447450+835000+75000-115000-234900-977000+32000</f>
        <v>32245150</v>
      </c>
      <c r="L236" s="98"/>
      <c r="M236" s="98"/>
      <c r="N236" s="98"/>
      <c r="O236" s="98">
        <f>6650000-96212+96212+4439600+1450000+700000+590000+232000-200000-200000+50000+318000+80000+592000+16000+65000+17450000+447450+835000+75000-115000-234900-977000+32000</f>
        <v>32295150</v>
      </c>
      <c r="P236" s="98">
        <f t="shared" si="108"/>
        <v>32366430</v>
      </c>
      <c r="Q236" s="23"/>
      <c r="R236" s="32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</row>
    <row r="237" spans="1:527" s="22" customFormat="1" ht="32.25" customHeight="1" x14ac:dyDescent="0.25">
      <c r="A237" s="59" t="s">
        <v>262</v>
      </c>
      <c r="B237" s="92" t="str">
        <f>'дод 7'!A160</f>
        <v>6017</v>
      </c>
      <c r="C237" s="92" t="str">
        <f>'дод 7'!B160</f>
        <v>0620</v>
      </c>
      <c r="D237" s="60" t="str">
        <f>'дод 7'!C160</f>
        <v>Інша діяльність, пов’язана з експлуатацією об’єктів житлово-комунального господарства</v>
      </c>
      <c r="E237" s="98">
        <f t="shared" si="107"/>
        <v>100000</v>
      </c>
      <c r="F237" s="98">
        <v>100000</v>
      </c>
      <c r="G237" s="98"/>
      <c r="H237" s="98"/>
      <c r="I237" s="98"/>
      <c r="J237" s="98">
        <f t="shared" si="109"/>
        <v>0</v>
      </c>
      <c r="K237" s="98"/>
      <c r="L237" s="98"/>
      <c r="M237" s="98"/>
      <c r="N237" s="98"/>
      <c r="O237" s="98"/>
      <c r="P237" s="98">
        <f t="shared" si="108"/>
        <v>100000</v>
      </c>
      <c r="Q237" s="23"/>
      <c r="R237" s="32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</row>
    <row r="238" spans="1:527" s="22" customFormat="1" ht="47.25" x14ac:dyDescent="0.25">
      <c r="A238" s="59" t="s">
        <v>199</v>
      </c>
      <c r="B238" s="92" t="str">
        <f>'дод 7'!A161</f>
        <v>6020</v>
      </c>
      <c r="C238" s="92" t="str">
        <f>'дод 7'!B161</f>
        <v>0620</v>
      </c>
      <c r="D238" s="60" t="str">
        <f>'дод 7'!C161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38" s="98">
        <f t="shared" si="107"/>
        <v>2815132.48</v>
      </c>
      <c r="F238" s="98"/>
      <c r="G238" s="98"/>
      <c r="H238" s="98"/>
      <c r="I238" s="98">
        <f>1786258.48+1028874</f>
        <v>2815132.48</v>
      </c>
      <c r="J238" s="98">
        <f t="shared" si="109"/>
        <v>85000</v>
      </c>
      <c r="K238" s="98">
        <f>85000</f>
        <v>85000</v>
      </c>
      <c r="L238" s="98"/>
      <c r="M238" s="98"/>
      <c r="N238" s="98"/>
      <c r="O238" s="98">
        <f>85000</f>
        <v>85000</v>
      </c>
      <c r="P238" s="98">
        <f t="shared" si="108"/>
        <v>2900132.48</v>
      </c>
      <c r="Q238" s="23"/>
      <c r="R238" s="32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  <c r="TG238" s="23"/>
    </row>
    <row r="239" spans="1:527" s="22" customFormat="1" ht="24.75" customHeight="1" x14ac:dyDescent="0.25">
      <c r="A239" s="59" t="s">
        <v>200</v>
      </c>
      <c r="B239" s="92" t="str">
        <f>'дод 7'!A162</f>
        <v>6030</v>
      </c>
      <c r="C239" s="92" t="str">
        <f>'дод 7'!B162</f>
        <v>0620</v>
      </c>
      <c r="D239" s="60" t="str">
        <f>'дод 7'!C162</f>
        <v>Організація благоустрою населених пунктів</v>
      </c>
      <c r="E239" s="98">
        <f t="shared" si="107"/>
        <v>240932362.25999999</v>
      </c>
      <c r="F239" s="98">
        <f>245778703.78+17600-5000000+9687.74+23505.06+32594.45+20271.23</f>
        <v>240882362.25999999</v>
      </c>
      <c r="G239" s="98"/>
      <c r="H239" s="98">
        <v>37647943</v>
      </c>
      <c r="I239" s="98">
        <v>50000</v>
      </c>
      <c r="J239" s="98">
        <f t="shared" si="109"/>
        <v>40081277.079999991</v>
      </c>
      <c r="K239" s="98">
        <f>28422020-300000+7011318-1359437.09+1978809.98+72800-72800+129900+18473.69-60000+170000+50000-1500000+49900+49900-2800000-1150000+250000-2000000+5000000+49000+90000+49000-30000-1000000+694744-7000000+350000+3000000+528294.5-528294.5+23473-300000+115000-250000+99800-400000-407000+45000+49900+4500000+1200000+7000000-280705-889330-1410095+800000-28294.5+49900</f>
        <v>40081277.079999991</v>
      </c>
      <c r="L239" s="112"/>
      <c r="M239" s="98"/>
      <c r="N239" s="98"/>
      <c r="O239" s="98">
        <f>28422020-300000+7011318-1359437.09+1978809.98+72800-72800+129900+18473.69-60000+170000+50000-1500000+49900+49900-2800000-1150000+250000-2000000+5000000+49000+90000+49000-30000-1000000+694744-7000000+350000+3000000+528294.5-528294.5+23473-300000+115000-250000+99800-400000-407000+45000+49900+4500000+1200000+7000000-280705-889330-1410095+800000-28294.5+49900</f>
        <v>40081277.079999991</v>
      </c>
      <c r="P239" s="98">
        <f t="shared" si="108"/>
        <v>281013639.33999997</v>
      </c>
      <c r="Q239" s="23"/>
      <c r="R239" s="32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  <c r="TF239" s="23"/>
      <c r="TG239" s="23"/>
    </row>
    <row r="240" spans="1:527" s="22" customFormat="1" ht="94.5" hidden="1" x14ac:dyDescent="0.25">
      <c r="A240" s="59" t="s">
        <v>613</v>
      </c>
      <c r="B240" s="92">
        <v>6083</v>
      </c>
      <c r="C240" s="59" t="s">
        <v>68</v>
      </c>
      <c r="D240" s="11" t="s">
        <v>438</v>
      </c>
      <c r="E240" s="98">
        <f>F240+I240</f>
        <v>0</v>
      </c>
      <c r="F240" s="98"/>
      <c r="G240" s="98"/>
      <c r="H240" s="98"/>
      <c r="I240" s="98"/>
      <c r="J240" s="98">
        <f t="shared" si="109"/>
        <v>0</v>
      </c>
      <c r="K240" s="98">
        <f>615000+90587-705587</f>
        <v>0</v>
      </c>
      <c r="L240" s="98"/>
      <c r="M240" s="98"/>
      <c r="N240" s="98"/>
      <c r="O240" s="98">
        <f>615000+90587-705587</f>
        <v>0</v>
      </c>
      <c r="P240" s="98">
        <f>E240+J240</f>
        <v>0</v>
      </c>
      <c r="Q240" s="23"/>
      <c r="R240" s="32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  <c r="TF240" s="23"/>
      <c r="TG240" s="23"/>
    </row>
    <row r="241" spans="1:527" s="22" customFormat="1" ht="141.75" hidden="1" x14ac:dyDescent="0.25">
      <c r="A241" s="83"/>
      <c r="B241" s="110"/>
      <c r="C241" s="83"/>
      <c r="D241" s="89" t="s">
        <v>619</v>
      </c>
      <c r="E241" s="98">
        <f>F241+I241</f>
        <v>0</v>
      </c>
      <c r="F241" s="100"/>
      <c r="G241" s="100"/>
      <c r="H241" s="100"/>
      <c r="I241" s="100"/>
      <c r="J241" s="98">
        <f t="shared" si="109"/>
        <v>0</v>
      </c>
      <c r="K241" s="100">
        <f>615000+90587-705587</f>
        <v>0</v>
      </c>
      <c r="L241" s="100"/>
      <c r="M241" s="100"/>
      <c r="N241" s="100"/>
      <c r="O241" s="100">
        <f>615000+90587-705587</f>
        <v>0</v>
      </c>
      <c r="P241" s="98">
        <f>E241+J241</f>
        <v>0</v>
      </c>
      <c r="Q241" s="23"/>
      <c r="R241" s="32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</row>
    <row r="242" spans="1:527" s="22" customFormat="1" ht="31.5" customHeight="1" x14ac:dyDescent="0.25">
      <c r="A242" s="59" t="s">
        <v>252</v>
      </c>
      <c r="B242" s="92" t="str">
        <f>'дод 7'!A166</f>
        <v>6090</v>
      </c>
      <c r="C242" s="92" t="str">
        <f>'дод 7'!B166</f>
        <v>0640</v>
      </c>
      <c r="D242" s="60" t="str">
        <f>'дод 7'!C166</f>
        <v>Інша діяльність у сфері житлово-комунального господарства</v>
      </c>
      <c r="E242" s="98">
        <f t="shared" si="107"/>
        <v>6243530.0099999998</v>
      </c>
      <c r="F242" s="98">
        <f>6934142.01-1027972.83-5720+150000</f>
        <v>6050449.1799999997</v>
      </c>
      <c r="G242" s="98"/>
      <c r="H242" s="98">
        <v>49590</v>
      </c>
      <c r="I242" s="98">
        <f>300000+48982-5901.17-150000</f>
        <v>193080.83000000002</v>
      </c>
      <c r="J242" s="98">
        <f t="shared" si="109"/>
        <v>1785000</v>
      </c>
      <c r="K242" s="98"/>
      <c r="L242" s="98">
        <v>1785000</v>
      </c>
      <c r="M242" s="98"/>
      <c r="N242" s="98"/>
      <c r="O242" s="98"/>
      <c r="P242" s="98">
        <f t="shared" si="108"/>
        <v>8028530.0099999998</v>
      </c>
      <c r="Q242" s="23"/>
      <c r="R242" s="32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  <c r="TG242" s="23"/>
    </row>
    <row r="243" spans="1:527" s="22" customFormat="1" ht="34.5" x14ac:dyDescent="0.25">
      <c r="A243" s="59" t="s">
        <v>271</v>
      </c>
      <c r="B243" s="92" t="str">
        <f>'дод 7'!A179</f>
        <v>7310</v>
      </c>
      <c r="C243" s="92" t="str">
        <f>'дод 7'!B179</f>
        <v>0443</v>
      </c>
      <c r="D243" s="6" t="s">
        <v>551</v>
      </c>
      <c r="E243" s="98">
        <f t="shared" si="107"/>
        <v>0</v>
      </c>
      <c r="F243" s="98"/>
      <c r="G243" s="98"/>
      <c r="H243" s="98"/>
      <c r="I243" s="98"/>
      <c r="J243" s="98">
        <f t="shared" si="109"/>
        <v>26134591.07</v>
      </c>
      <c r="K243" s="98">
        <f>19836513+300000-38050+50000+200000-169950-49900-49900+49900-49900+85000-200000-3000000+600000-33000+1500000+600000+5700078.07-1389000-319295-65500+2577595</f>
        <v>26134591.07</v>
      </c>
      <c r="L243" s="98"/>
      <c r="M243" s="98"/>
      <c r="N243" s="98"/>
      <c r="O243" s="98">
        <f>19836513+300000-38050+50000+200000-169950-49900-49900+49900-49900+85000-200000-3000000+600000-33000+1500000+600000+5700078.07-1389000-319295-65500+2577595</f>
        <v>26134591.07</v>
      </c>
      <c r="P243" s="98">
        <f t="shared" si="108"/>
        <v>26134591.07</v>
      </c>
      <c r="Q243" s="23"/>
      <c r="R243" s="32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  <c r="SQ243" s="23"/>
      <c r="SR243" s="23"/>
      <c r="SS243" s="23"/>
      <c r="ST243" s="23"/>
      <c r="SU243" s="23"/>
      <c r="SV243" s="23"/>
      <c r="SW243" s="23"/>
      <c r="SX243" s="23"/>
      <c r="SY243" s="23"/>
      <c r="SZ243" s="23"/>
      <c r="TA243" s="23"/>
      <c r="TB243" s="23"/>
      <c r="TC243" s="23"/>
      <c r="TD243" s="23"/>
      <c r="TE243" s="23"/>
      <c r="TF243" s="23"/>
      <c r="TG243" s="23"/>
    </row>
    <row r="244" spans="1:527" s="22" customFormat="1" ht="21" customHeight="1" x14ac:dyDescent="0.25">
      <c r="A244" s="59" t="s">
        <v>273</v>
      </c>
      <c r="B244" s="92" t="str">
        <f>'дод 7'!A187</f>
        <v>7330</v>
      </c>
      <c r="C244" s="92" t="str">
        <f>'дод 7'!B187</f>
        <v>0443</v>
      </c>
      <c r="D244" s="6" t="s">
        <v>546</v>
      </c>
      <c r="E244" s="98">
        <f t="shared" si="107"/>
        <v>0</v>
      </c>
      <c r="F244" s="98"/>
      <c r="G244" s="98"/>
      <c r="H244" s="98"/>
      <c r="I244" s="98"/>
      <c r="J244" s="98">
        <f t="shared" si="109"/>
        <v>19404605.579999998</v>
      </c>
      <c r="K244" s="98">
        <f>22088598+49900-407389.42-200000+3500000-4000000+500000+30000+250000+49900-70000+1000000-726244-230045-3300000+990000+151656+1300000-1300000+50000-190000+300000-1201200+240000+104000+20000+115000+50000+240430</f>
        <v>19404605.579999998</v>
      </c>
      <c r="L244" s="98"/>
      <c r="M244" s="98"/>
      <c r="N244" s="98"/>
      <c r="O244" s="98">
        <f>22088598+49900-407389.42-200000+3500000-4000000+500000+30000+250000+49900-70000+1000000-726244-230045-3300000+990000+151656+1300000-1300000+50000-190000+300000-1201200+240000+104000+20000+115000+50000+240430</f>
        <v>19404605.579999998</v>
      </c>
      <c r="P244" s="98">
        <f t="shared" si="108"/>
        <v>19404605.579999998</v>
      </c>
      <c r="Q244" s="23"/>
      <c r="R244" s="32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  <c r="TG244" s="23"/>
    </row>
    <row r="245" spans="1:527" s="22" customFormat="1" ht="33" customHeight="1" x14ac:dyDescent="0.25">
      <c r="A245" s="59" t="s">
        <v>201</v>
      </c>
      <c r="B245" s="92">
        <v>7340</v>
      </c>
      <c r="C245" s="92" t="str">
        <f>'дод 7'!B186</f>
        <v>0443</v>
      </c>
      <c r="D245" s="60" t="str">
        <f>'дод 7'!C188</f>
        <v>Проектування, реставрація та охорона пам'яток архітектури</v>
      </c>
      <c r="E245" s="98">
        <f t="shared" ref="E245" si="110">F245+I245</f>
        <v>0</v>
      </c>
      <c r="F245" s="98"/>
      <c r="G245" s="98"/>
      <c r="H245" s="98"/>
      <c r="I245" s="98"/>
      <c r="J245" s="98">
        <f t="shared" ref="J245" si="111">L245+O245</f>
        <v>3250000</v>
      </c>
      <c r="K245" s="98">
        <f>3250000</f>
        <v>3250000</v>
      </c>
      <c r="L245" s="98"/>
      <c r="M245" s="98"/>
      <c r="N245" s="98"/>
      <c r="O245" s="98">
        <f>3250000</f>
        <v>3250000</v>
      </c>
      <c r="P245" s="98">
        <f t="shared" ref="P245" si="112">E245+J245</f>
        <v>3250000</v>
      </c>
      <c r="Q245" s="23"/>
      <c r="R245" s="32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  <c r="TF245" s="23"/>
      <c r="TG245" s="23"/>
    </row>
    <row r="246" spans="1:527" s="22" customFormat="1" ht="49.5" hidden="1" customHeight="1" x14ac:dyDescent="0.25">
      <c r="A246" s="59" t="s">
        <v>370</v>
      </c>
      <c r="B246" s="92">
        <f>'дод 7'!A190</f>
        <v>7361</v>
      </c>
      <c r="C246" s="92" t="str">
        <f>'дод 7'!B190</f>
        <v>0490</v>
      </c>
      <c r="D246" s="60" t="str">
        <f>'дод 7'!C190</f>
        <v>Співфінансування інвестиційних проектів, що реалізуються за рахунок коштів державного фонду регіонального розвитку</v>
      </c>
      <c r="E246" s="98">
        <f t="shared" si="107"/>
        <v>0</v>
      </c>
      <c r="F246" s="98"/>
      <c r="G246" s="98"/>
      <c r="H246" s="98"/>
      <c r="I246" s="98"/>
      <c r="J246" s="98">
        <f t="shared" si="109"/>
        <v>0</v>
      </c>
      <c r="K246" s="98"/>
      <c r="L246" s="98"/>
      <c r="M246" s="98"/>
      <c r="N246" s="98"/>
      <c r="O246" s="98"/>
      <c r="P246" s="98">
        <f t="shared" si="108"/>
        <v>0</v>
      </c>
      <c r="Q246" s="23"/>
      <c r="R246" s="32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  <c r="TF246" s="23"/>
      <c r="TG246" s="23"/>
    </row>
    <row r="247" spans="1:527" s="22" customFormat="1" ht="30" hidden="1" customHeight="1" x14ac:dyDescent="0.25">
      <c r="A247" s="59">
        <v>1217362</v>
      </c>
      <c r="B247" s="92">
        <f>'дод 7'!A191</f>
        <v>7362</v>
      </c>
      <c r="C247" s="92" t="str">
        <f>'дод 7'!B191</f>
        <v>0490</v>
      </c>
      <c r="D247" s="60" t="str">
        <f>'дод 7'!C191</f>
        <v>Виконання інвестиційних проектів в рамках підтримки розвитку об'єднаних територіальних громад</v>
      </c>
      <c r="E247" s="98">
        <f t="shared" si="107"/>
        <v>0</v>
      </c>
      <c r="F247" s="98"/>
      <c r="G247" s="98"/>
      <c r="H247" s="98"/>
      <c r="I247" s="98"/>
      <c r="J247" s="98">
        <f t="shared" si="109"/>
        <v>0</v>
      </c>
      <c r="K247" s="98"/>
      <c r="L247" s="98"/>
      <c r="M247" s="98"/>
      <c r="N247" s="98"/>
      <c r="O247" s="98"/>
      <c r="P247" s="98">
        <f t="shared" si="108"/>
        <v>0</v>
      </c>
      <c r="Q247" s="23"/>
      <c r="R247" s="32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</row>
    <row r="248" spans="1:527" s="22" customFormat="1" ht="47.25" x14ac:dyDescent="0.25">
      <c r="A248" s="59" t="s">
        <v>368</v>
      </c>
      <c r="B248" s="92">
        <v>7363</v>
      </c>
      <c r="C248" s="37" t="s">
        <v>82</v>
      </c>
      <c r="D248" s="36" t="s">
        <v>398</v>
      </c>
      <c r="E248" s="98">
        <f t="shared" si="107"/>
        <v>0</v>
      </c>
      <c r="F248" s="98"/>
      <c r="G248" s="98"/>
      <c r="H248" s="98"/>
      <c r="I248" s="98"/>
      <c r="J248" s="98">
        <f t="shared" si="109"/>
        <v>15377714</v>
      </c>
      <c r="K248" s="98">
        <f>2800000+5000000+5359984+400000+200000+2655000-2387270+600000+500000+250000</f>
        <v>15377714</v>
      </c>
      <c r="L248" s="98"/>
      <c r="M248" s="98"/>
      <c r="N248" s="98"/>
      <c r="O248" s="98">
        <f>2800000+5000000+5359984+400000+200000+2655000-2387270+600000+500000+250000</f>
        <v>15377714</v>
      </c>
      <c r="P248" s="98">
        <f t="shared" si="108"/>
        <v>15377714</v>
      </c>
      <c r="Q248" s="23"/>
      <c r="R248" s="32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</row>
    <row r="249" spans="1:527" s="24" customFormat="1" ht="50.25" customHeight="1" x14ac:dyDescent="0.25">
      <c r="A249" s="83"/>
      <c r="B249" s="110"/>
      <c r="C249" s="110"/>
      <c r="D249" s="86" t="s">
        <v>388</v>
      </c>
      <c r="E249" s="100">
        <f t="shared" si="107"/>
        <v>0</v>
      </c>
      <c r="F249" s="100"/>
      <c r="G249" s="100"/>
      <c r="H249" s="100"/>
      <c r="I249" s="100"/>
      <c r="J249" s="100">
        <f t="shared" si="109"/>
        <v>11377714</v>
      </c>
      <c r="K249" s="100">
        <f>5000000+5359984+2655000-2387270+750000</f>
        <v>11377714</v>
      </c>
      <c r="L249" s="100"/>
      <c r="M249" s="100"/>
      <c r="N249" s="100"/>
      <c r="O249" s="100">
        <f>5000000+5359984+2655000-2387270+750000</f>
        <v>11377714</v>
      </c>
      <c r="P249" s="100">
        <f t="shared" si="108"/>
        <v>11377714</v>
      </c>
      <c r="Q249" s="30"/>
      <c r="R249" s="32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  <c r="IW249" s="30"/>
      <c r="IX249" s="30"/>
      <c r="IY249" s="30"/>
      <c r="IZ249" s="30"/>
      <c r="JA249" s="30"/>
      <c r="JB249" s="30"/>
      <c r="JC249" s="30"/>
      <c r="JD249" s="30"/>
      <c r="JE249" s="30"/>
      <c r="JF249" s="30"/>
      <c r="JG249" s="30"/>
      <c r="JH249" s="30"/>
      <c r="JI249" s="30"/>
      <c r="JJ249" s="30"/>
      <c r="JK249" s="30"/>
      <c r="JL249" s="30"/>
      <c r="JM249" s="30"/>
      <c r="JN249" s="30"/>
      <c r="JO249" s="30"/>
      <c r="JP249" s="30"/>
      <c r="JQ249" s="30"/>
      <c r="JR249" s="30"/>
      <c r="JS249" s="30"/>
      <c r="JT249" s="30"/>
      <c r="JU249" s="30"/>
      <c r="JV249" s="30"/>
      <c r="JW249" s="30"/>
      <c r="JX249" s="30"/>
      <c r="JY249" s="30"/>
      <c r="JZ249" s="30"/>
      <c r="KA249" s="30"/>
      <c r="KB249" s="30"/>
      <c r="KC249" s="30"/>
      <c r="KD249" s="30"/>
      <c r="KE249" s="30"/>
      <c r="KF249" s="30"/>
      <c r="KG249" s="30"/>
      <c r="KH249" s="30"/>
      <c r="KI249" s="30"/>
      <c r="KJ249" s="30"/>
      <c r="KK249" s="30"/>
      <c r="KL249" s="30"/>
      <c r="KM249" s="30"/>
      <c r="KN249" s="30"/>
      <c r="KO249" s="30"/>
      <c r="KP249" s="30"/>
      <c r="KQ249" s="30"/>
      <c r="KR249" s="30"/>
      <c r="KS249" s="30"/>
      <c r="KT249" s="30"/>
      <c r="KU249" s="30"/>
      <c r="KV249" s="30"/>
      <c r="KW249" s="30"/>
      <c r="KX249" s="30"/>
      <c r="KY249" s="30"/>
      <c r="KZ249" s="30"/>
      <c r="LA249" s="30"/>
      <c r="LB249" s="30"/>
      <c r="LC249" s="30"/>
      <c r="LD249" s="30"/>
      <c r="LE249" s="30"/>
      <c r="LF249" s="30"/>
      <c r="LG249" s="30"/>
      <c r="LH249" s="30"/>
      <c r="LI249" s="30"/>
      <c r="LJ249" s="30"/>
      <c r="LK249" s="30"/>
      <c r="LL249" s="30"/>
      <c r="LM249" s="30"/>
      <c r="LN249" s="30"/>
      <c r="LO249" s="30"/>
      <c r="LP249" s="30"/>
      <c r="LQ249" s="30"/>
      <c r="LR249" s="30"/>
      <c r="LS249" s="30"/>
      <c r="LT249" s="30"/>
      <c r="LU249" s="30"/>
      <c r="LV249" s="30"/>
      <c r="LW249" s="30"/>
      <c r="LX249" s="30"/>
      <c r="LY249" s="30"/>
      <c r="LZ249" s="30"/>
      <c r="MA249" s="30"/>
      <c r="MB249" s="30"/>
      <c r="MC249" s="30"/>
      <c r="MD249" s="30"/>
      <c r="ME249" s="30"/>
      <c r="MF249" s="30"/>
      <c r="MG249" s="30"/>
      <c r="MH249" s="30"/>
      <c r="MI249" s="30"/>
      <c r="MJ249" s="30"/>
      <c r="MK249" s="30"/>
      <c r="ML249" s="30"/>
      <c r="MM249" s="30"/>
      <c r="MN249" s="30"/>
      <c r="MO249" s="30"/>
      <c r="MP249" s="30"/>
      <c r="MQ249" s="30"/>
      <c r="MR249" s="30"/>
      <c r="MS249" s="30"/>
      <c r="MT249" s="30"/>
      <c r="MU249" s="30"/>
      <c r="MV249" s="30"/>
      <c r="MW249" s="30"/>
      <c r="MX249" s="30"/>
      <c r="MY249" s="30"/>
      <c r="MZ249" s="30"/>
      <c r="NA249" s="30"/>
      <c r="NB249" s="30"/>
      <c r="NC249" s="30"/>
      <c r="ND249" s="30"/>
      <c r="NE249" s="30"/>
      <c r="NF249" s="30"/>
      <c r="NG249" s="30"/>
      <c r="NH249" s="30"/>
      <c r="NI249" s="30"/>
      <c r="NJ249" s="30"/>
      <c r="NK249" s="30"/>
      <c r="NL249" s="30"/>
      <c r="NM249" s="30"/>
      <c r="NN249" s="30"/>
      <c r="NO249" s="30"/>
      <c r="NP249" s="30"/>
      <c r="NQ249" s="30"/>
      <c r="NR249" s="30"/>
      <c r="NS249" s="30"/>
      <c r="NT249" s="30"/>
      <c r="NU249" s="30"/>
      <c r="NV249" s="30"/>
      <c r="NW249" s="30"/>
      <c r="NX249" s="30"/>
      <c r="NY249" s="30"/>
      <c r="NZ249" s="30"/>
      <c r="OA249" s="30"/>
      <c r="OB249" s="30"/>
      <c r="OC249" s="30"/>
      <c r="OD249" s="30"/>
      <c r="OE249" s="30"/>
      <c r="OF249" s="30"/>
      <c r="OG249" s="30"/>
      <c r="OH249" s="30"/>
      <c r="OI249" s="30"/>
      <c r="OJ249" s="30"/>
      <c r="OK249" s="30"/>
      <c r="OL249" s="30"/>
      <c r="OM249" s="30"/>
      <c r="ON249" s="30"/>
      <c r="OO249" s="30"/>
      <c r="OP249" s="30"/>
      <c r="OQ249" s="30"/>
      <c r="OR249" s="30"/>
      <c r="OS249" s="30"/>
      <c r="OT249" s="30"/>
      <c r="OU249" s="30"/>
      <c r="OV249" s="30"/>
      <c r="OW249" s="30"/>
      <c r="OX249" s="30"/>
      <c r="OY249" s="30"/>
      <c r="OZ249" s="30"/>
      <c r="PA249" s="30"/>
      <c r="PB249" s="30"/>
      <c r="PC249" s="30"/>
      <c r="PD249" s="30"/>
      <c r="PE249" s="30"/>
      <c r="PF249" s="30"/>
      <c r="PG249" s="30"/>
      <c r="PH249" s="30"/>
      <c r="PI249" s="30"/>
      <c r="PJ249" s="30"/>
      <c r="PK249" s="30"/>
      <c r="PL249" s="30"/>
      <c r="PM249" s="30"/>
      <c r="PN249" s="30"/>
      <c r="PO249" s="30"/>
      <c r="PP249" s="30"/>
      <c r="PQ249" s="30"/>
      <c r="PR249" s="30"/>
      <c r="PS249" s="30"/>
      <c r="PT249" s="30"/>
      <c r="PU249" s="30"/>
      <c r="PV249" s="30"/>
      <c r="PW249" s="30"/>
      <c r="PX249" s="30"/>
      <c r="PY249" s="30"/>
      <c r="PZ249" s="30"/>
      <c r="QA249" s="30"/>
      <c r="QB249" s="30"/>
      <c r="QC249" s="30"/>
      <c r="QD249" s="30"/>
      <c r="QE249" s="30"/>
      <c r="QF249" s="30"/>
      <c r="QG249" s="30"/>
      <c r="QH249" s="30"/>
      <c r="QI249" s="30"/>
      <c r="QJ249" s="30"/>
      <c r="QK249" s="30"/>
      <c r="QL249" s="30"/>
      <c r="QM249" s="30"/>
      <c r="QN249" s="30"/>
      <c r="QO249" s="30"/>
      <c r="QP249" s="30"/>
      <c r="QQ249" s="30"/>
      <c r="QR249" s="30"/>
      <c r="QS249" s="30"/>
      <c r="QT249" s="30"/>
      <c r="QU249" s="30"/>
      <c r="QV249" s="30"/>
      <c r="QW249" s="30"/>
      <c r="QX249" s="30"/>
      <c r="QY249" s="30"/>
      <c r="QZ249" s="30"/>
      <c r="RA249" s="30"/>
      <c r="RB249" s="30"/>
      <c r="RC249" s="30"/>
      <c r="RD249" s="30"/>
      <c r="RE249" s="30"/>
      <c r="RF249" s="30"/>
      <c r="RG249" s="30"/>
      <c r="RH249" s="30"/>
      <c r="RI249" s="30"/>
      <c r="RJ249" s="30"/>
      <c r="RK249" s="30"/>
      <c r="RL249" s="30"/>
      <c r="RM249" s="30"/>
      <c r="RN249" s="30"/>
      <c r="RO249" s="30"/>
      <c r="RP249" s="30"/>
      <c r="RQ249" s="30"/>
      <c r="RR249" s="30"/>
      <c r="RS249" s="30"/>
      <c r="RT249" s="30"/>
      <c r="RU249" s="30"/>
      <c r="RV249" s="30"/>
      <c r="RW249" s="30"/>
      <c r="RX249" s="30"/>
      <c r="RY249" s="30"/>
      <c r="RZ249" s="30"/>
      <c r="SA249" s="30"/>
      <c r="SB249" s="30"/>
      <c r="SC249" s="30"/>
      <c r="SD249" s="30"/>
      <c r="SE249" s="30"/>
      <c r="SF249" s="30"/>
      <c r="SG249" s="30"/>
      <c r="SH249" s="30"/>
      <c r="SI249" s="30"/>
      <c r="SJ249" s="30"/>
      <c r="SK249" s="30"/>
      <c r="SL249" s="30"/>
      <c r="SM249" s="30"/>
      <c r="SN249" s="30"/>
      <c r="SO249" s="30"/>
      <c r="SP249" s="30"/>
      <c r="SQ249" s="30"/>
      <c r="SR249" s="30"/>
      <c r="SS249" s="30"/>
      <c r="ST249" s="30"/>
      <c r="SU249" s="30"/>
      <c r="SV249" s="30"/>
      <c r="SW249" s="30"/>
      <c r="SX249" s="30"/>
      <c r="SY249" s="30"/>
      <c r="SZ249" s="30"/>
      <c r="TA249" s="30"/>
      <c r="TB249" s="30"/>
      <c r="TC249" s="30"/>
      <c r="TD249" s="30"/>
      <c r="TE249" s="30"/>
      <c r="TF249" s="30"/>
      <c r="TG249" s="30"/>
    </row>
    <row r="250" spans="1:527" s="24" customFormat="1" ht="31.5" x14ac:dyDescent="0.25">
      <c r="A250" s="59" t="s">
        <v>587</v>
      </c>
      <c r="B250" s="92">
        <v>7368</v>
      </c>
      <c r="C250" s="37" t="s">
        <v>82</v>
      </c>
      <c r="D250" s="36" t="s">
        <v>588</v>
      </c>
      <c r="E250" s="98">
        <f t="shared" si="107"/>
        <v>0</v>
      </c>
      <c r="F250" s="100"/>
      <c r="G250" s="100"/>
      <c r="H250" s="100"/>
      <c r="I250" s="100"/>
      <c r="J250" s="98">
        <f t="shared" si="109"/>
        <v>200000</v>
      </c>
      <c r="K250" s="98">
        <v>200000</v>
      </c>
      <c r="L250" s="98"/>
      <c r="M250" s="98"/>
      <c r="N250" s="98"/>
      <c r="O250" s="98">
        <v>200000</v>
      </c>
      <c r="P250" s="98">
        <f t="shared" si="108"/>
        <v>200000</v>
      </c>
      <c r="Q250" s="30"/>
      <c r="R250" s="32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  <c r="IV250" s="30"/>
      <c r="IW250" s="30"/>
      <c r="IX250" s="30"/>
      <c r="IY250" s="30"/>
      <c r="IZ250" s="30"/>
      <c r="JA250" s="30"/>
      <c r="JB250" s="30"/>
      <c r="JC250" s="30"/>
      <c r="JD250" s="30"/>
      <c r="JE250" s="30"/>
      <c r="JF250" s="30"/>
      <c r="JG250" s="30"/>
      <c r="JH250" s="30"/>
      <c r="JI250" s="30"/>
      <c r="JJ250" s="30"/>
      <c r="JK250" s="30"/>
      <c r="JL250" s="30"/>
      <c r="JM250" s="30"/>
      <c r="JN250" s="30"/>
      <c r="JO250" s="30"/>
      <c r="JP250" s="30"/>
      <c r="JQ250" s="30"/>
      <c r="JR250" s="30"/>
      <c r="JS250" s="30"/>
      <c r="JT250" s="30"/>
      <c r="JU250" s="30"/>
      <c r="JV250" s="30"/>
      <c r="JW250" s="30"/>
      <c r="JX250" s="30"/>
      <c r="JY250" s="30"/>
      <c r="JZ250" s="30"/>
      <c r="KA250" s="30"/>
      <c r="KB250" s="30"/>
      <c r="KC250" s="30"/>
      <c r="KD250" s="30"/>
      <c r="KE250" s="30"/>
      <c r="KF250" s="30"/>
      <c r="KG250" s="30"/>
      <c r="KH250" s="30"/>
      <c r="KI250" s="30"/>
      <c r="KJ250" s="30"/>
      <c r="KK250" s="30"/>
      <c r="KL250" s="30"/>
      <c r="KM250" s="30"/>
      <c r="KN250" s="30"/>
      <c r="KO250" s="30"/>
      <c r="KP250" s="30"/>
      <c r="KQ250" s="30"/>
      <c r="KR250" s="30"/>
      <c r="KS250" s="30"/>
      <c r="KT250" s="30"/>
      <c r="KU250" s="30"/>
      <c r="KV250" s="30"/>
      <c r="KW250" s="30"/>
      <c r="KX250" s="30"/>
      <c r="KY250" s="30"/>
      <c r="KZ250" s="30"/>
      <c r="LA250" s="30"/>
      <c r="LB250" s="30"/>
      <c r="LC250" s="30"/>
      <c r="LD250" s="30"/>
      <c r="LE250" s="30"/>
      <c r="LF250" s="30"/>
      <c r="LG250" s="30"/>
      <c r="LH250" s="30"/>
      <c r="LI250" s="30"/>
      <c r="LJ250" s="30"/>
      <c r="LK250" s="30"/>
      <c r="LL250" s="30"/>
      <c r="LM250" s="30"/>
      <c r="LN250" s="30"/>
      <c r="LO250" s="30"/>
      <c r="LP250" s="30"/>
      <c r="LQ250" s="30"/>
      <c r="LR250" s="30"/>
      <c r="LS250" s="30"/>
      <c r="LT250" s="30"/>
      <c r="LU250" s="30"/>
      <c r="LV250" s="30"/>
      <c r="LW250" s="30"/>
      <c r="LX250" s="30"/>
      <c r="LY250" s="30"/>
      <c r="LZ250" s="30"/>
      <c r="MA250" s="30"/>
      <c r="MB250" s="30"/>
      <c r="MC250" s="30"/>
      <c r="MD250" s="30"/>
      <c r="ME250" s="30"/>
      <c r="MF250" s="30"/>
      <c r="MG250" s="30"/>
      <c r="MH250" s="30"/>
      <c r="MI250" s="30"/>
      <c r="MJ250" s="30"/>
      <c r="MK250" s="30"/>
      <c r="ML250" s="30"/>
      <c r="MM250" s="30"/>
      <c r="MN250" s="30"/>
      <c r="MO250" s="30"/>
      <c r="MP250" s="30"/>
      <c r="MQ250" s="30"/>
      <c r="MR250" s="30"/>
      <c r="MS250" s="30"/>
      <c r="MT250" s="30"/>
      <c r="MU250" s="30"/>
      <c r="MV250" s="30"/>
      <c r="MW250" s="30"/>
      <c r="MX250" s="30"/>
      <c r="MY250" s="30"/>
      <c r="MZ250" s="30"/>
      <c r="NA250" s="30"/>
      <c r="NB250" s="30"/>
      <c r="NC250" s="30"/>
      <c r="ND250" s="30"/>
      <c r="NE250" s="30"/>
      <c r="NF250" s="30"/>
      <c r="NG250" s="30"/>
      <c r="NH250" s="30"/>
      <c r="NI250" s="30"/>
      <c r="NJ250" s="30"/>
      <c r="NK250" s="30"/>
      <c r="NL250" s="30"/>
      <c r="NM250" s="30"/>
      <c r="NN250" s="30"/>
      <c r="NO250" s="30"/>
      <c r="NP250" s="30"/>
      <c r="NQ250" s="30"/>
      <c r="NR250" s="30"/>
      <c r="NS250" s="30"/>
      <c r="NT250" s="30"/>
      <c r="NU250" s="30"/>
      <c r="NV250" s="30"/>
      <c r="NW250" s="30"/>
      <c r="NX250" s="30"/>
      <c r="NY250" s="30"/>
      <c r="NZ250" s="30"/>
      <c r="OA250" s="30"/>
      <c r="OB250" s="30"/>
      <c r="OC250" s="30"/>
      <c r="OD250" s="30"/>
      <c r="OE250" s="30"/>
      <c r="OF250" s="30"/>
      <c r="OG250" s="30"/>
      <c r="OH250" s="30"/>
      <c r="OI250" s="30"/>
      <c r="OJ250" s="30"/>
      <c r="OK250" s="30"/>
      <c r="OL250" s="30"/>
      <c r="OM250" s="30"/>
      <c r="ON250" s="30"/>
      <c r="OO250" s="30"/>
      <c r="OP250" s="30"/>
      <c r="OQ250" s="30"/>
      <c r="OR250" s="30"/>
      <c r="OS250" s="30"/>
      <c r="OT250" s="30"/>
      <c r="OU250" s="30"/>
      <c r="OV250" s="30"/>
      <c r="OW250" s="30"/>
      <c r="OX250" s="30"/>
      <c r="OY250" s="30"/>
      <c r="OZ250" s="30"/>
      <c r="PA250" s="30"/>
      <c r="PB250" s="30"/>
      <c r="PC250" s="30"/>
      <c r="PD250" s="30"/>
      <c r="PE250" s="30"/>
      <c r="PF250" s="30"/>
      <c r="PG250" s="30"/>
      <c r="PH250" s="30"/>
      <c r="PI250" s="30"/>
      <c r="PJ250" s="30"/>
      <c r="PK250" s="30"/>
      <c r="PL250" s="30"/>
      <c r="PM250" s="30"/>
      <c r="PN250" s="30"/>
      <c r="PO250" s="30"/>
      <c r="PP250" s="30"/>
      <c r="PQ250" s="30"/>
      <c r="PR250" s="30"/>
      <c r="PS250" s="30"/>
      <c r="PT250" s="30"/>
      <c r="PU250" s="30"/>
      <c r="PV250" s="30"/>
      <c r="PW250" s="30"/>
      <c r="PX250" s="30"/>
      <c r="PY250" s="30"/>
      <c r="PZ250" s="30"/>
      <c r="QA250" s="30"/>
      <c r="QB250" s="30"/>
      <c r="QC250" s="30"/>
      <c r="QD250" s="30"/>
      <c r="QE250" s="30"/>
      <c r="QF250" s="30"/>
      <c r="QG250" s="30"/>
      <c r="QH250" s="30"/>
      <c r="QI250" s="30"/>
      <c r="QJ250" s="30"/>
      <c r="QK250" s="30"/>
      <c r="QL250" s="30"/>
      <c r="QM250" s="30"/>
      <c r="QN250" s="30"/>
      <c r="QO250" s="30"/>
      <c r="QP250" s="30"/>
      <c r="QQ250" s="30"/>
      <c r="QR250" s="30"/>
      <c r="QS250" s="30"/>
      <c r="QT250" s="30"/>
      <c r="QU250" s="30"/>
      <c r="QV250" s="30"/>
      <c r="QW250" s="30"/>
      <c r="QX250" s="30"/>
      <c r="QY250" s="30"/>
      <c r="QZ250" s="30"/>
      <c r="RA250" s="30"/>
      <c r="RB250" s="30"/>
      <c r="RC250" s="30"/>
      <c r="RD250" s="30"/>
      <c r="RE250" s="30"/>
      <c r="RF250" s="30"/>
      <c r="RG250" s="30"/>
      <c r="RH250" s="30"/>
      <c r="RI250" s="30"/>
      <c r="RJ250" s="30"/>
      <c r="RK250" s="30"/>
      <c r="RL250" s="30"/>
      <c r="RM250" s="30"/>
      <c r="RN250" s="30"/>
      <c r="RO250" s="30"/>
      <c r="RP250" s="30"/>
      <c r="RQ250" s="30"/>
      <c r="RR250" s="30"/>
      <c r="RS250" s="30"/>
      <c r="RT250" s="30"/>
      <c r="RU250" s="30"/>
      <c r="RV250" s="30"/>
      <c r="RW250" s="30"/>
      <c r="RX250" s="30"/>
      <c r="RY250" s="30"/>
      <c r="RZ250" s="30"/>
      <c r="SA250" s="30"/>
      <c r="SB250" s="30"/>
      <c r="SC250" s="30"/>
      <c r="SD250" s="30"/>
      <c r="SE250" s="30"/>
      <c r="SF250" s="30"/>
      <c r="SG250" s="30"/>
      <c r="SH250" s="30"/>
      <c r="SI250" s="30"/>
      <c r="SJ250" s="30"/>
      <c r="SK250" s="30"/>
      <c r="SL250" s="30"/>
      <c r="SM250" s="30"/>
      <c r="SN250" s="30"/>
      <c r="SO250" s="30"/>
      <c r="SP250" s="30"/>
      <c r="SQ250" s="30"/>
      <c r="SR250" s="30"/>
      <c r="SS250" s="30"/>
      <c r="ST250" s="30"/>
      <c r="SU250" s="30"/>
      <c r="SV250" s="30"/>
      <c r="SW250" s="30"/>
      <c r="SX250" s="30"/>
      <c r="SY250" s="30"/>
      <c r="SZ250" s="30"/>
      <c r="TA250" s="30"/>
      <c r="TB250" s="30"/>
      <c r="TC250" s="30"/>
      <c r="TD250" s="30"/>
      <c r="TE250" s="30"/>
      <c r="TF250" s="30"/>
      <c r="TG250" s="30"/>
    </row>
    <row r="251" spans="1:527" s="24" customFormat="1" ht="15.75" x14ac:dyDescent="0.25">
      <c r="A251" s="83"/>
      <c r="B251" s="110"/>
      <c r="C251" s="110"/>
      <c r="D251" s="84" t="s">
        <v>393</v>
      </c>
      <c r="E251" s="100">
        <f t="shared" si="107"/>
        <v>0</v>
      </c>
      <c r="F251" s="100"/>
      <c r="G251" s="100"/>
      <c r="H251" s="100"/>
      <c r="I251" s="100"/>
      <c r="J251" s="100">
        <f t="shared" si="109"/>
        <v>200000</v>
      </c>
      <c r="K251" s="100">
        <v>200000</v>
      </c>
      <c r="L251" s="100"/>
      <c r="M251" s="100"/>
      <c r="N251" s="100"/>
      <c r="O251" s="100">
        <v>200000</v>
      </c>
      <c r="P251" s="100">
        <f t="shared" si="108"/>
        <v>200000</v>
      </c>
      <c r="Q251" s="30"/>
      <c r="R251" s="32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  <c r="IV251" s="30"/>
      <c r="IW251" s="30"/>
      <c r="IX251" s="30"/>
      <c r="IY251" s="30"/>
      <c r="IZ251" s="30"/>
      <c r="JA251" s="30"/>
      <c r="JB251" s="30"/>
      <c r="JC251" s="30"/>
      <c r="JD251" s="30"/>
      <c r="JE251" s="30"/>
      <c r="JF251" s="30"/>
      <c r="JG251" s="30"/>
      <c r="JH251" s="30"/>
      <c r="JI251" s="30"/>
      <c r="JJ251" s="30"/>
      <c r="JK251" s="30"/>
      <c r="JL251" s="30"/>
      <c r="JM251" s="30"/>
      <c r="JN251" s="30"/>
      <c r="JO251" s="30"/>
      <c r="JP251" s="30"/>
      <c r="JQ251" s="30"/>
      <c r="JR251" s="30"/>
      <c r="JS251" s="30"/>
      <c r="JT251" s="30"/>
      <c r="JU251" s="30"/>
      <c r="JV251" s="30"/>
      <c r="JW251" s="30"/>
      <c r="JX251" s="30"/>
      <c r="JY251" s="30"/>
      <c r="JZ251" s="30"/>
      <c r="KA251" s="30"/>
      <c r="KB251" s="30"/>
      <c r="KC251" s="30"/>
      <c r="KD251" s="30"/>
      <c r="KE251" s="30"/>
      <c r="KF251" s="30"/>
      <c r="KG251" s="30"/>
      <c r="KH251" s="30"/>
      <c r="KI251" s="30"/>
      <c r="KJ251" s="30"/>
      <c r="KK251" s="30"/>
      <c r="KL251" s="30"/>
      <c r="KM251" s="30"/>
      <c r="KN251" s="30"/>
      <c r="KO251" s="30"/>
      <c r="KP251" s="30"/>
      <c r="KQ251" s="30"/>
      <c r="KR251" s="30"/>
      <c r="KS251" s="30"/>
      <c r="KT251" s="30"/>
      <c r="KU251" s="30"/>
      <c r="KV251" s="30"/>
      <c r="KW251" s="30"/>
      <c r="KX251" s="30"/>
      <c r="KY251" s="30"/>
      <c r="KZ251" s="30"/>
      <c r="LA251" s="30"/>
      <c r="LB251" s="30"/>
      <c r="LC251" s="30"/>
      <c r="LD251" s="30"/>
      <c r="LE251" s="30"/>
      <c r="LF251" s="30"/>
      <c r="LG251" s="30"/>
      <c r="LH251" s="30"/>
      <c r="LI251" s="30"/>
      <c r="LJ251" s="30"/>
      <c r="LK251" s="30"/>
      <c r="LL251" s="30"/>
      <c r="LM251" s="30"/>
      <c r="LN251" s="30"/>
      <c r="LO251" s="30"/>
      <c r="LP251" s="30"/>
      <c r="LQ251" s="30"/>
      <c r="LR251" s="30"/>
      <c r="LS251" s="30"/>
      <c r="LT251" s="30"/>
      <c r="LU251" s="30"/>
      <c r="LV251" s="30"/>
      <c r="LW251" s="30"/>
      <c r="LX251" s="30"/>
      <c r="LY251" s="30"/>
      <c r="LZ251" s="30"/>
      <c r="MA251" s="30"/>
      <c r="MB251" s="30"/>
      <c r="MC251" s="30"/>
      <c r="MD251" s="30"/>
      <c r="ME251" s="30"/>
      <c r="MF251" s="30"/>
      <c r="MG251" s="30"/>
      <c r="MH251" s="30"/>
      <c r="MI251" s="30"/>
      <c r="MJ251" s="30"/>
      <c r="MK251" s="30"/>
      <c r="ML251" s="30"/>
      <c r="MM251" s="30"/>
      <c r="MN251" s="30"/>
      <c r="MO251" s="30"/>
      <c r="MP251" s="30"/>
      <c r="MQ251" s="30"/>
      <c r="MR251" s="30"/>
      <c r="MS251" s="30"/>
      <c r="MT251" s="30"/>
      <c r="MU251" s="30"/>
      <c r="MV251" s="30"/>
      <c r="MW251" s="30"/>
      <c r="MX251" s="30"/>
      <c r="MY251" s="30"/>
      <c r="MZ251" s="30"/>
      <c r="NA251" s="30"/>
      <c r="NB251" s="30"/>
      <c r="NC251" s="30"/>
      <c r="ND251" s="30"/>
      <c r="NE251" s="30"/>
      <c r="NF251" s="30"/>
      <c r="NG251" s="30"/>
      <c r="NH251" s="30"/>
      <c r="NI251" s="30"/>
      <c r="NJ251" s="30"/>
      <c r="NK251" s="30"/>
      <c r="NL251" s="30"/>
      <c r="NM251" s="30"/>
      <c r="NN251" s="30"/>
      <c r="NO251" s="30"/>
      <c r="NP251" s="30"/>
      <c r="NQ251" s="30"/>
      <c r="NR251" s="30"/>
      <c r="NS251" s="30"/>
      <c r="NT251" s="30"/>
      <c r="NU251" s="30"/>
      <c r="NV251" s="30"/>
      <c r="NW251" s="30"/>
      <c r="NX251" s="30"/>
      <c r="NY251" s="30"/>
      <c r="NZ251" s="30"/>
      <c r="OA251" s="30"/>
      <c r="OB251" s="30"/>
      <c r="OC251" s="30"/>
      <c r="OD251" s="30"/>
      <c r="OE251" s="30"/>
      <c r="OF251" s="30"/>
      <c r="OG251" s="30"/>
      <c r="OH251" s="30"/>
      <c r="OI251" s="30"/>
      <c r="OJ251" s="30"/>
      <c r="OK251" s="30"/>
      <c r="OL251" s="30"/>
      <c r="OM251" s="30"/>
      <c r="ON251" s="30"/>
      <c r="OO251" s="30"/>
      <c r="OP251" s="30"/>
      <c r="OQ251" s="30"/>
      <c r="OR251" s="30"/>
      <c r="OS251" s="30"/>
      <c r="OT251" s="30"/>
      <c r="OU251" s="30"/>
      <c r="OV251" s="30"/>
      <c r="OW251" s="30"/>
      <c r="OX251" s="30"/>
      <c r="OY251" s="30"/>
      <c r="OZ251" s="30"/>
      <c r="PA251" s="30"/>
      <c r="PB251" s="30"/>
      <c r="PC251" s="30"/>
      <c r="PD251" s="30"/>
      <c r="PE251" s="30"/>
      <c r="PF251" s="30"/>
      <c r="PG251" s="30"/>
      <c r="PH251" s="30"/>
      <c r="PI251" s="30"/>
      <c r="PJ251" s="30"/>
      <c r="PK251" s="30"/>
      <c r="PL251" s="30"/>
      <c r="PM251" s="30"/>
      <c r="PN251" s="30"/>
      <c r="PO251" s="30"/>
      <c r="PP251" s="30"/>
      <c r="PQ251" s="30"/>
      <c r="PR251" s="30"/>
      <c r="PS251" s="30"/>
      <c r="PT251" s="30"/>
      <c r="PU251" s="30"/>
      <c r="PV251" s="30"/>
      <c r="PW251" s="30"/>
      <c r="PX251" s="30"/>
      <c r="PY251" s="30"/>
      <c r="PZ251" s="30"/>
      <c r="QA251" s="30"/>
      <c r="QB251" s="30"/>
      <c r="QC251" s="30"/>
      <c r="QD251" s="30"/>
      <c r="QE251" s="30"/>
      <c r="QF251" s="30"/>
      <c r="QG251" s="30"/>
      <c r="QH251" s="30"/>
      <c r="QI251" s="30"/>
      <c r="QJ251" s="30"/>
      <c r="QK251" s="30"/>
      <c r="QL251" s="30"/>
      <c r="QM251" s="30"/>
      <c r="QN251" s="30"/>
      <c r="QO251" s="30"/>
      <c r="QP251" s="30"/>
      <c r="QQ251" s="30"/>
      <c r="QR251" s="30"/>
      <c r="QS251" s="30"/>
      <c r="QT251" s="30"/>
      <c r="QU251" s="30"/>
      <c r="QV251" s="30"/>
      <c r="QW251" s="30"/>
      <c r="QX251" s="30"/>
      <c r="QY251" s="30"/>
      <c r="QZ251" s="30"/>
      <c r="RA251" s="30"/>
      <c r="RB251" s="30"/>
      <c r="RC251" s="30"/>
      <c r="RD251" s="30"/>
      <c r="RE251" s="30"/>
      <c r="RF251" s="30"/>
      <c r="RG251" s="30"/>
      <c r="RH251" s="30"/>
      <c r="RI251" s="30"/>
      <c r="RJ251" s="30"/>
      <c r="RK251" s="30"/>
      <c r="RL251" s="30"/>
      <c r="RM251" s="30"/>
      <c r="RN251" s="30"/>
      <c r="RO251" s="30"/>
      <c r="RP251" s="30"/>
      <c r="RQ251" s="30"/>
      <c r="RR251" s="30"/>
      <c r="RS251" s="30"/>
      <c r="RT251" s="30"/>
      <c r="RU251" s="30"/>
      <c r="RV251" s="30"/>
      <c r="RW251" s="30"/>
      <c r="RX251" s="30"/>
      <c r="RY251" s="30"/>
      <c r="RZ251" s="30"/>
      <c r="SA251" s="30"/>
      <c r="SB251" s="30"/>
      <c r="SC251" s="30"/>
      <c r="SD251" s="30"/>
      <c r="SE251" s="30"/>
      <c r="SF251" s="30"/>
      <c r="SG251" s="30"/>
      <c r="SH251" s="30"/>
      <c r="SI251" s="30"/>
      <c r="SJ251" s="30"/>
      <c r="SK251" s="30"/>
      <c r="SL251" s="30"/>
      <c r="SM251" s="30"/>
      <c r="SN251" s="30"/>
      <c r="SO251" s="30"/>
      <c r="SP251" s="30"/>
      <c r="SQ251" s="30"/>
      <c r="SR251" s="30"/>
      <c r="SS251" s="30"/>
      <c r="ST251" s="30"/>
      <c r="SU251" s="30"/>
      <c r="SV251" s="30"/>
      <c r="SW251" s="30"/>
      <c r="SX251" s="30"/>
      <c r="SY251" s="30"/>
      <c r="SZ251" s="30"/>
      <c r="TA251" s="30"/>
      <c r="TB251" s="30"/>
      <c r="TC251" s="30"/>
      <c r="TD251" s="30"/>
      <c r="TE251" s="30"/>
      <c r="TF251" s="30"/>
      <c r="TG251" s="30"/>
    </row>
    <row r="252" spans="1:527" s="22" customFormat="1" ht="47.25" x14ac:dyDescent="0.25">
      <c r="A252" s="59" t="s">
        <v>374</v>
      </c>
      <c r="B252" s="92">
        <f>'дод 7'!A205</f>
        <v>7462</v>
      </c>
      <c r="C252" s="59" t="s">
        <v>400</v>
      </c>
      <c r="D252" s="116" t="s">
        <v>399</v>
      </c>
      <c r="E252" s="98">
        <f t="shared" ref="E252:E257" si="113">F252+I252</f>
        <v>1527346</v>
      </c>
      <c r="F252" s="98">
        <v>1527346</v>
      </c>
      <c r="G252" s="98"/>
      <c r="H252" s="98"/>
      <c r="I252" s="98"/>
      <c r="J252" s="98">
        <f t="shared" ref="J252:J257" si="114">L252+O252</f>
        <v>12100000</v>
      </c>
      <c r="K252" s="98"/>
      <c r="L252" s="98">
        <f>4600000+7500000</f>
        <v>12100000</v>
      </c>
      <c r="M252" s="98"/>
      <c r="N252" s="98"/>
      <c r="O252" s="98"/>
      <c r="P252" s="98">
        <f t="shared" ref="P252:P257" si="115">E252+J252</f>
        <v>13627346</v>
      </c>
      <c r="Q252" s="23"/>
      <c r="R252" s="32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</row>
    <row r="253" spans="1:527" s="24" customFormat="1" ht="110.25" x14ac:dyDescent="0.25">
      <c r="A253" s="83"/>
      <c r="B253" s="110"/>
      <c r="C253" s="110"/>
      <c r="D253" s="86" t="s">
        <v>397</v>
      </c>
      <c r="E253" s="100">
        <f t="shared" si="113"/>
        <v>0</v>
      </c>
      <c r="F253" s="100"/>
      <c r="G253" s="100"/>
      <c r="H253" s="100"/>
      <c r="I253" s="100"/>
      <c r="J253" s="100">
        <f t="shared" si="114"/>
        <v>12100000</v>
      </c>
      <c r="K253" s="100"/>
      <c r="L253" s="100">
        <f>4600000+7500000</f>
        <v>12100000</v>
      </c>
      <c r="M253" s="100"/>
      <c r="N253" s="100"/>
      <c r="O253" s="100"/>
      <c r="P253" s="100">
        <f t="shared" si="115"/>
        <v>12100000</v>
      </c>
      <c r="Q253" s="30"/>
      <c r="R253" s="32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  <c r="IW253" s="30"/>
      <c r="IX253" s="30"/>
      <c r="IY253" s="30"/>
      <c r="IZ253" s="30"/>
      <c r="JA253" s="30"/>
      <c r="JB253" s="30"/>
      <c r="JC253" s="30"/>
      <c r="JD253" s="30"/>
      <c r="JE253" s="30"/>
      <c r="JF253" s="30"/>
      <c r="JG253" s="30"/>
      <c r="JH253" s="30"/>
      <c r="JI253" s="30"/>
      <c r="JJ253" s="30"/>
      <c r="JK253" s="30"/>
      <c r="JL253" s="30"/>
      <c r="JM253" s="30"/>
      <c r="JN253" s="30"/>
      <c r="JO253" s="30"/>
      <c r="JP253" s="30"/>
      <c r="JQ253" s="30"/>
      <c r="JR253" s="30"/>
      <c r="JS253" s="30"/>
      <c r="JT253" s="30"/>
      <c r="JU253" s="30"/>
      <c r="JV253" s="30"/>
      <c r="JW253" s="30"/>
      <c r="JX253" s="30"/>
      <c r="JY253" s="30"/>
      <c r="JZ253" s="30"/>
      <c r="KA253" s="30"/>
      <c r="KB253" s="30"/>
      <c r="KC253" s="30"/>
      <c r="KD253" s="30"/>
      <c r="KE253" s="30"/>
      <c r="KF253" s="30"/>
      <c r="KG253" s="30"/>
      <c r="KH253" s="30"/>
      <c r="KI253" s="30"/>
      <c r="KJ253" s="30"/>
      <c r="KK253" s="30"/>
      <c r="KL253" s="30"/>
      <c r="KM253" s="30"/>
      <c r="KN253" s="30"/>
      <c r="KO253" s="30"/>
      <c r="KP253" s="30"/>
      <c r="KQ253" s="30"/>
      <c r="KR253" s="30"/>
      <c r="KS253" s="30"/>
      <c r="KT253" s="30"/>
      <c r="KU253" s="30"/>
      <c r="KV253" s="30"/>
      <c r="KW253" s="30"/>
      <c r="KX253" s="30"/>
      <c r="KY253" s="30"/>
      <c r="KZ253" s="30"/>
      <c r="LA253" s="30"/>
      <c r="LB253" s="30"/>
      <c r="LC253" s="30"/>
      <c r="LD253" s="30"/>
      <c r="LE253" s="30"/>
      <c r="LF253" s="30"/>
      <c r="LG253" s="30"/>
      <c r="LH253" s="30"/>
      <c r="LI253" s="30"/>
      <c r="LJ253" s="30"/>
      <c r="LK253" s="30"/>
      <c r="LL253" s="30"/>
      <c r="LM253" s="30"/>
      <c r="LN253" s="30"/>
      <c r="LO253" s="30"/>
      <c r="LP253" s="30"/>
      <c r="LQ253" s="30"/>
      <c r="LR253" s="30"/>
      <c r="LS253" s="30"/>
      <c r="LT253" s="30"/>
      <c r="LU253" s="30"/>
      <c r="LV253" s="30"/>
      <c r="LW253" s="30"/>
      <c r="LX253" s="30"/>
      <c r="LY253" s="30"/>
      <c r="LZ253" s="30"/>
      <c r="MA253" s="30"/>
      <c r="MB253" s="30"/>
      <c r="MC253" s="30"/>
      <c r="MD253" s="30"/>
      <c r="ME253" s="30"/>
      <c r="MF253" s="30"/>
      <c r="MG253" s="30"/>
      <c r="MH253" s="30"/>
      <c r="MI253" s="30"/>
      <c r="MJ253" s="30"/>
      <c r="MK253" s="30"/>
      <c r="ML253" s="30"/>
      <c r="MM253" s="30"/>
      <c r="MN253" s="30"/>
      <c r="MO253" s="30"/>
      <c r="MP253" s="30"/>
      <c r="MQ253" s="30"/>
      <c r="MR253" s="30"/>
      <c r="MS253" s="30"/>
      <c r="MT253" s="30"/>
      <c r="MU253" s="30"/>
      <c r="MV253" s="30"/>
      <c r="MW253" s="30"/>
      <c r="MX253" s="30"/>
      <c r="MY253" s="30"/>
      <c r="MZ253" s="30"/>
      <c r="NA253" s="30"/>
      <c r="NB253" s="30"/>
      <c r="NC253" s="30"/>
      <c r="ND253" s="30"/>
      <c r="NE253" s="30"/>
      <c r="NF253" s="30"/>
      <c r="NG253" s="30"/>
      <c r="NH253" s="30"/>
      <c r="NI253" s="30"/>
      <c r="NJ253" s="30"/>
      <c r="NK253" s="30"/>
      <c r="NL253" s="30"/>
      <c r="NM253" s="30"/>
      <c r="NN253" s="30"/>
      <c r="NO253" s="30"/>
      <c r="NP253" s="30"/>
      <c r="NQ253" s="30"/>
      <c r="NR253" s="30"/>
      <c r="NS253" s="30"/>
      <c r="NT253" s="30"/>
      <c r="NU253" s="30"/>
      <c r="NV253" s="30"/>
      <c r="NW253" s="30"/>
      <c r="NX253" s="30"/>
      <c r="NY253" s="30"/>
      <c r="NZ253" s="30"/>
      <c r="OA253" s="30"/>
      <c r="OB253" s="30"/>
      <c r="OC253" s="30"/>
      <c r="OD253" s="30"/>
      <c r="OE253" s="30"/>
      <c r="OF253" s="30"/>
      <c r="OG253" s="30"/>
      <c r="OH253" s="30"/>
      <c r="OI253" s="30"/>
      <c r="OJ253" s="30"/>
      <c r="OK253" s="30"/>
      <c r="OL253" s="30"/>
      <c r="OM253" s="30"/>
      <c r="ON253" s="30"/>
      <c r="OO253" s="30"/>
      <c r="OP253" s="30"/>
      <c r="OQ253" s="30"/>
      <c r="OR253" s="30"/>
      <c r="OS253" s="30"/>
      <c r="OT253" s="30"/>
      <c r="OU253" s="30"/>
      <c r="OV253" s="30"/>
      <c r="OW253" s="30"/>
      <c r="OX253" s="30"/>
      <c r="OY253" s="30"/>
      <c r="OZ253" s="30"/>
      <c r="PA253" s="30"/>
      <c r="PB253" s="30"/>
      <c r="PC253" s="30"/>
      <c r="PD253" s="30"/>
      <c r="PE253" s="30"/>
      <c r="PF253" s="30"/>
      <c r="PG253" s="30"/>
      <c r="PH253" s="30"/>
      <c r="PI253" s="30"/>
      <c r="PJ253" s="30"/>
      <c r="PK253" s="30"/>
      <c r="PL253" s="30"/>
      <c r="PM253" s="30"/>
      <c r="PN253" s="30"/>
      <c r="PO253" s="30"/>
      <c r="PP253" s="30"/>
      <c r="PQ253" s="30"/>
      <c r="PR253" s="30"/>
      <c r="PS253" s="30"/>
      <c r="PT253" s="30"/>
      <c r="PU253" s="30"/>
      <c r="PV253" s="30"/>
      <c r="PW253" s="30"/>
      <c r="PX253" s="30"/>
      <c r="PY253" s="30"/>
      <c r="PZ253" s="30"/>
      <c r="QA253" s="30"/>
      <c r="QB253" s="30"/>
      <c r="QC253" s="30"/>
      <c r="QD253" s="30"/>
      <c r="QE253" s="30"/>
      <c r="QF253" s="30"/>
      <c r="QG253" s="30"/>
      <c r="QH253" s="30"/>
      <c r="QI253" s="30"/>
      <c r="QJ253" s="30"/>
      <c r="QK253" s="30"/>
      <c r="QL253" s="30"/>
      <c r="QM253" s="30"/>
      <c r="QN253" s="30"/>
      <c r="QO253" s="30"/>
      <c r="QP253" s="30"/>
      <c r="QQ253" s="30"/>
      <c r="QR253" s="30"/>
      <c r="QS253" s="30"/>
      <c r="QT253" s="30"/>
      <c r="QU253" s="30"/>
      <c r="QV253" s="30"/>
      <c r="QW253" s="30"/>
      <c r="QX253" s="30"/>
      <c r="QY253" s="30"/>
      <c r="QZ253" s="30"/>
      <c r="RA253" s="30"/>
      <c r="RB253" s="30"/>
      <c r="RC253" s="30"/>
      <c r="RD253" s="30"/>
      <c r="RE253" s="30"/>
      <c r="RF253" s="30"/>
      <c r="RG253" s="30"/>
      <c r="RH253" s="30"/>
      <c r="RI253" s="30"/>
      <c r="RJ253" s="30"/>
      <c r="RK253" s="30"/>
      <c r="RL253" s="30"/>
      <c r="RM253" s="30"/>
      <c r="RN253" s="30"/>
      <c r="RO253" s="30"/>
      <c r="RP253" s="30"/>
      <c r="RQ253" s="30"/>
      <c r="RR253" s="30"/>
      <c r="RS253" s="30"/>
      <c r="RT253" s="30"/>
      <c r="RU253" s="30"/>
      <c r="RV253" s="30"/>
      <c r="RW253" s="30"/>
      <c r="RX253" s="30"/>
      <c r="RY253" s="30"/>
      <c r="RZ253" s="30"/>
      <c r="SA253" s="30"/>
      <c r="SB253" s="30"/>
      <c r="SC253" s="30"/>
      <c r="SD253" s="30"/>
      <c r="SE253" s="30"/>
      <c r="SF253" s="30"/>
      <c r="SG253" s="30"/>
      <c r="SH253" s="30"/>
      <c r="SI253" s="30"/>
      <c r="SJ253" s="30"/>
      <c r="SK253" s="30"/>
      <c r="SL253" s="30"/>
      <c r="SM253" s="30"/>
      <c r="SN253" s="30"/>
      <c r="SO253" s="30"/>
      <c r="SP253" s="30"/>
      <c r="SQ253" s="30"/>
      <c r="SR253" s="30"/>
      <c r="SS253" s="30"/>
      <c r="ST253" s="30"/>
      <c r="SU253" s="30"/>
      <c r="SV253" s="30"/>
      <c r="SW253" s="30"/>
      <c r="SX253" s="30"/>
      <c r="SY253" s="30"/>
      <c r="SZ253" s="30"/>
      <c r="TA253" s="30"/>
      <c r="TB253" s="30"/>
      <c r="TC253" s="30"/>
      <c r="TD253" s="30"/>
      <c r="TE253" s="30"/>
      <c r="TF253" s="30"/>
      <c r="TG253" s="30"/>
    </row>
    <row r="254" spans="1:527" s="24" customFormat="1" ht="78.75" x14ac:dyDescent="0.25">
      <c r="A254" s="83"/>
      <c r="B254" s="110"/>
      <c r="C254" s="83"/>
      <c r="D254" s="86" t="s">
        <v>539</v>
      </c>
      <c r="E254" s="100">
        <f t="shared" si="113"/>
        <v>1527346</v>
      </c>
      <c r="F254" s="100">
        <v>1527346</v>
      </c>
      <c r="G254" s="100"/>
      <c r="H254" s="100"/>
      <c r="I254" s="100"/>
      <c r="J254" s="100">
        <f t="shared" si="114"/>
        <v>0</v>
      </c>
      <c r="K254" s="100"/>
      <c r="L254" s="100"/>
      <c r="M254" s="100"/>
      <c r="N254" s="100"/>
      <c r="O254" s="100"/>
      <c r="P254" s="100">
        <f t="shared" si="115"/>
        <v>1527346</v>
      </c>
      <c r="Q254" s="30"/>
      <c r="R254" s="32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  <c r="LU254" s="30"/>
      <c r="LV254" s="30"/>
      <c r="LW254" s="30"/>
      <c r="LX254" s="30"/>
      <c r="LY254" s="30"/>
      <c r="LZ254" s="30"/>
      <c r="MA254" s="30"/>
      <c r="MB254" s="30"/>
      <c r="MC254" s="30"/>
      <c r="MD254" s="30"/>
      <c r="ME254" s="30"/>
      <c r="MF254" s="30"/>
      <c r="MG254" s="30"/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30"/>
      <c r="MW254" s="30"/>
      <c r="MX254" s="30"/>
      <c r="MY254" s="30"/>
      <c r="MZ254" s="30"/>
      <c r="NA254" s="30"/>
      <c r="NB254" s="30"/>
      <c r="NC254" s="30"/>
      <c r="ND254" s="30"/>
      <c r="NE254" s="30"/>
      <c r="NF254" s="30"/>
      <c r="NG254" s="30"/>
      <c r="NH254" s="30"/>
      <c r="NI254" s="30"/>
      <c r="NJ254" s="30"/>
      <c r="NK254" s="30"/>
      <c r="NL254" s="30"/>
      <c r="NM254" s="30"/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30"/>
      <c r="NY254" s="30"/>
      <c r="NZ254" s="30"/>
      <c r="OA254" s="30"/>
      <c r="OB254" s="30"/>
      <c r="OC254" s="30"/>
      <c r="OD254" s="30"/>
      <c r="OE254" s="30"/>
      <c r="OF254" s="30"/>
      <c r="OG254" s="30"/>
      <c r="OH254" s="30"/>
      <c r="OI254" s="30"/>
      <c r="OJ254" s="30"/>
      <c r="OK254" s="30"/>
      <c r="OL254" s="30"/>
      <c r="OM254" s="30"/>
      <c r="ON254" s="30"/>
      <c r="OO254" s="30"/>
      <c r="OP254" s="30"/>
      <c r="OQ254" s="30"/>
      <c r="OR254" s="30"/>
      <c r="OS254" s="30"/>
      <c r="OT254" s="30"/>
      <c r="OU254" s="30"/>
      <c r="OV254" s="30"/>
      <c r="OW254" s="30"/>
      <c r="OX254" s="30"/>
      <c r="OY254" s="30"/>
      <c r="OZ254" s="30"/>
      <c r="PA254" s="30"/>
      <c r="PB254" s="30"/>
      <c r="PC254" s="30"/>
      <c r="PD254" s="30"/>
      <c r="PE254" s="30"/>
      <c r="PF254" s="30"/>
      <c r="PG254" s="30"/>
      <c r="PH254" s="30"/>
      <c r="PI254" s="30"/>
      <c r="PJ254" s="30"/>
      <c r="PK254" s="30"/>
      <c r="PL254" s="30"/>
      <c r="PM254" s="30"/>
      <c r="PN254" s="30"/>
      <c r="PO254" s="30"/>
      <c r="PP254" s="30"/>
      <c r="PQ254" s="30"/>
      <c r="PR254" s="30"/>
      <c r="PS254" s="30"/>
      <c r="PT254" s="30"/>
      <c r="PU254" s="30"/>
      <c r="PV254" s="30"/>
      <c r="PW254" s="30"/>
      <c r="PX254" s="30"/>
      <c r="PY254" s="30"/>
      <c r="PZ254" s="30"/>
      <c r="QA254" s="30"/>
      <c r="QB254" s="30"/>
      <c r="QC254" s="30"/>
      <c r="QD254" s="30"/>
      <c r="QE254" s="30"/>
      <c r="QF254" s="30"/>
      <c r="QG254" s="30"/>
      <c r="QH254" s="30"/>
      <c r="QI254" s="30"/>
      <c r="QJ254" s="30"/>
      <c r="QK254" s="30"/>
      <c r="QL254" s="30"/>
      <c r="QM254" s="30"/>
      <c r="QN254" s="30"/>
      <c r="QO254" s="30"/>
      <c r="QP254" s="30"/>
      <c r="QQ254" s="30"/>
      <c r="QR254" s="30"/>
      <c r="QS254" s="30"/>
      <c r="QT254" s="30"/>
      <c r="QU254" s="30"/>
      <c r="QV254" s="30"/>
      <c r="QW254" s="30"/>
      <c r="QX254" s="30"/>
      <c r="QY254" s="30"/>
      <c r="QZ254" s="30"/>
      <c r="RA254" s="30"/>
      <c r="RB254" s="30"/>
      <c r="RC254" s="30"/>
      <c r="RD254" s="30"/>
      <c r="RE254" s="30"/>
      <c r="RF254" s="30"/>
      <c r="RG254" s="30"/>
      <c r="RH254" s="30"/>
      <c r="RI254" s="30"/>
      <c r="RJ254" s="30"/>
      <c r="RK254" s="30"/>
      <c r="RL254" s="30"/>
      <c r="RM254" s="30"/>
      <c r="RN254" s="30"/>
      <c r="RO254" s="30"/>
      <c r="RP254" s="30"/>
      <c r="RQ254" s="30"/>
      <c r="RR254" s="30"/>
      <c r="RS254" s="30"/>
      <c r="RT254" s="30"/>
      <c r="RU254" s="30"/>
      <c r="RV254" s="30"/>
      <c r="RW254" s="30"/>
      <c r="RX254" s="30"/>
      <c r="RY254" s="30"/>
      <c r="RZ254" s="30"/>
      <c r="SA254" s="30"/>
      <c r="SB254" s="30"/>
      <c r="SC254" s="30"/>
      <c r="SD254" s="30"/>
      <c r="SE254" s="30"/>
      <c r="SF254" s="30"/>
      <c r="SG254" s="30"/>
      <c r="SH254" s="30"/>
      <c r="SI254" s="30"/>
      <c r="SJ254" s="30"/>
      <c r="SK254" s="30"/>
      <c r="SL254" s="30"/>
      <c r="SM254" s="30"/>
      <c r="SN254" s="30"/>
      <c r="SO254" s="30"/>
      <c r="SP254" s="30"/>
      <c r="SQ254" s="30"/>
      <c r="SR254" s="30"/>
      <c r="SS254" s="30"/>
      <c r="ST254" s="30"/>
      <c r="SU254" s="30"/>
      <c r="SV254" s="30"/>
      <c r="SW254" s="30"/>
      <c r="SX254" s="30"/>
      <c r="SY254" s="30"/>
      <c r="SZ254" s="30"/>
      <c r="TA254" s="30"/>
      <c r="TB254" s="30"/>
      <c r="TC254" s="30"/>
      <c r="TD254" s="30"/>
      <c r="TE254" s="30"/>
      <c r="TF254" s="30"/>
      <c r="TG254" s="30"/>
    </row>
    <row r="255" spans="1:527" s="24" customFormat="1" ht="47.25" x14ac:dyDescent="0.25">
      <c r="A255" s="59" t="s">
        <v>585</v>
      </c>
      <c r="B255" s="92">
        <v>7463</v>
      </c>
      <c r="C255" s="59" t="s">
        <v>400</v>
      </c>
      <c r="D255" s="116" t="s">
        <v>586</v>
      </c>
      <c r="E255" s="98">
        <f t="shared" si="113"/>
        <v>200000</v>
      </c>
      <c r="F255" s="98">
        <v>200000</v>
      </c>
      <c r="G255" s="100"/>
      <c r="H255" s="100"/>
      <c r="I255" s="100"/>
      <c r="J255" s="98">
        <f t="shared" si="114"/>
        <v>0</v>
      </c>
      <c r="K255" s="100"/>
      <c r="L255" s="100"/>
      <c r="M255" s="100"/>
      <c r="N255" s="100"/>
      <c r="O255" s="100"/>
      <c r="P255" s="98">
        <f t="shared" si="115"/>
        <v>200000</v>
      </c>
      <c r="Q255" s="30"/>
      <c r="R255" s="32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  <c r="LU255" s="30"/>
      <c r="LV255" s="30"/>
      <c r="LW255" s="30"/>
      <c r="LX255" s="30"/>
      <c r="LY255" s="30"/>
      <c r="LZ255" s="30"/>
      <c r="MA255" s="30"/>
      <c r="MB255" s="30"/>
      <c r="MC255" s="30"/>
      <c r="MD255" s="30"/>
      <c r="ME255" s="30"/>
      <c r="MF255" s="30"/>
      <c r="MG255" s="30"/>
      <c r="MH255" s="30"/>
      <c r="MI255" s="30"/>
      <c r="MJ255" s="30"/>
      <c r="MK255" s="30"/>
      <c r="ML255" s="30"/>
      <c r="MM255" s="30"/>
      <c r="MN255" s="30"/>
      <c r="MO255" s="30"/>
      <c r="MP255" s="30"/>
      <c r="MQ255" s="30"/>
      <c r="MR255" s="30"/>
      <c r="MS255" s="30"/>
      <c r="MT255" s="30"/>
      <c r="MU255" s="30"/>
      <c r="MV255" s="30"/>
      <c r="MW255" s="30"/>
      <c r="MX255" s="30"/>
      <c r="MY255" s="30"/>
      <c r="MZ255" s="30"/>
      <c r="NA255" s="30"/>
      <c r="NB255" s="30"/>
      <c r="NC255" s="30"/>
      <c r="ND255" s="30"/>
      <c r="NE255" s="30"/>
      <c r="NF255" s="30"/>
      <c r="NG255" s="30"/>
      <c r="NH255" s="30"/>
      <c r="NI255" s="30"/>
      <c r="NJ255" s="30"/>
      <c r="NK255" s="30"/>
      <c r="NL255" s="30"/>
      <c r="NM255" s="30"/>
      <c r="NN255" s="30"/>
      <c r="NO255" s="30"/>
      <c r="NP255" s="30"/>
      <c r="NQ255" s="30"/>
      <c r="NR255" s="30"/>
      <c r="NS255" s="30"/>
      <c r="NT255" s="30"/>
      <c r="NU255" s="30"/>
      <c r="NV255" s="30"/>
      <c r="NW255" s="30"/>
      <c r="NX255" s="30"/>
      <c r="NY255" s="30"/>
      <c r="NZ255" s="30"/>
      <c r="OA255" s="30"/>
      <c r="OB255" s="30"/>
      <c r="OC255" s="30"/>
      <c r="OD255" s="30"/>
      <c r="OE255" s="30"/>
      <c r="OF255" s="30"/>
      <c r="OG255" s="30"/>
      <c r="OH255" s="30"/>
      <c r="OI255" s="30"/>
      <c r="OJ255" s="30"/>
      <c r="OK255" s="30"/>
      <c r="OL255" s="30"/>
      <c r="OM255" s="30"/>
      <c r="ON255" s="30"/>
      <c r="OO255" s="30"/>
      <c r="OP255" s="30"/>
      <c r="OQ255" s="30"/>
      <c r="OR255" s="30"/>
      <c r="OS255" s="30"/>
      <c r="OT255" s="30"/>
      <c r="OU255" s="30"/>
      <c r="OV255" s="30"/>
      <c r="OW255" s="30"/>
      <c r="OX255" s="30"/>
      <c r="OY255" s="30"/>
      <c r="OZ255" s="30"/>
      <c r="PA255" s="30"/>
      <c r="PB255" s="30"/>
      <c r="PC255" s="30"/>
      <c r="PD255" s="30"/>
      <c r="PE255" s="30"/>
      <c r="PF255" s="30"/>
      <c r="PG255" s="30"/>
      <c r="PH255" s="30"/>
      <c r="PI255" s="30"/>
      <c r="PJ255" s="30"/>
      <c r="PK255" s="30"/>
      <c r="PL255" s="30"/>
      <c r="PM255" s="30"/>
      <c r="PN255" s="30"/>
      <c r="PO255" s="30"/>
      <c r="PP255" s="30"/>
      <c r="PQ255" s="30"/>
      <c r="PR255" s="30"/>
      <c r="PS255" s="30"/>
      <c r="PT255" s="30"/>
      <c r="PU255" s="30"/>
      <c r="PV255" s="30"/>
      <c r="PW255" s="30"/>
      <c r="PX255" s="30"/>
      <c r="PY255" s="30"/>
      <c r="PZ255" s="30"/>
      <c r="QA255" s="30"/>
      <c r="QB255" s="30"/>
      <c r="QC255" s="30"/>
      <c r="QD255" s="30"/>
      <c r="QE255" s="30"/>
      <c r="QF255" s="30"/>
      <c r="QG255" s="30"/>
      <c r="QH255" s="30"/>
      <c r="QI255" s="30"/>
      <c r="QJ255" s="30"/>
      <c r="QK255" s="30"/>
      <c r="QL255" s="30"/>
      <c r="QM255" s="30"/>
      <c r="QN255" s="30"/>
      <c r="QO255" s="30"/>
      <c r="QP255" s="30"/>
      <c r="QQ255" s="30"/>
      <c r="QR255" s="30"/>
      <c r="QS255" s="30"/>
      <c r="QT255" s="30"/>
      <c r="QU255" s="30"/>
      <c r="QV255" s="30"/>
      <c r="QW255" s="30"/>
      <c r="QX255" s="30"/>
      <c r="QY255" s="30"/>
      <c r="QZ255" s="30"/>
      <c r="RA255" s="30"/>
      <c r="RB255" s="30"/>
      <c r="RC255" s="30"/>
      <c r="RD255" s="30"/>
      <c r="RE255" s="30"/>
      <c r="RF255" s="30"/>
      <c r="RG255" s="30"/>
      <c r="RH255" s="30"/>
      <c r="RI255" s="30"/>
      <c r="RJ255" s="30"/>
      <c r="RK255" s="30"/>
      <c r="RL255" s="30"/>
      <c r="RM255" s="30"/>
      <c r="RN255" s="30"/>
      <c r="RO255" s="30"/>
      <c r="RP255" s="30"/>
      <c r="RQ255" s="30"/>
      <c r="RR255" s="30"/>
      <c r="RS255" s="30"/>
      <c r="RT255" s="30"/>
      <c r="RU255" s="30"/>
      <c r="RV255" s="30"/>
      <c r="RW255" s="30"/>
      <c r="RX255" s="30"/>
      <c r="RY255" s="30"/>
      <c r="RZ255" s="30"/>
      <c r="SA255" s="30"/>
      <c r="SB255" s="30"/>
      <c r="SC255" s="30"/>
      <c r="SD255" s="30"/>
      <c r="SE255" s="30"/>
      <c r="SF255" s="30"/>
      <c r="SG255" s="30"/>
      <c r="SH255" s="30"/>
      <c r="SI255" s="30"/>
      <c r="SJ255" s="30"/>
      <c r="SK255" s="30"/>
      <c r="SL255" s="30"/>
      <c r="SM255" s="30"/>
      <c r="SN255" s="30"/>
      <c r="SO255" s="30"/>
      <c r="SP255" s="30"/>
      <c r="SQ255" s="30"/>
      <c r="SR255" s="30"/>
      <c r="SS255" s="30"/>
      <c r="ST255" s="30"/>
      <c r="SU255" s="30"/>
      <c r="SV255" s="30"/>
      <c r="SW255" s="30"/>
      <c r="SX255" s="30"/>
      <c r="SY255" s="30"/>
      <c r="SZ255" s="30"/>
      <c r="TA255" s="30"/>
      <c r="TB255" s="30"/>
      <c r="TC255" s="30"/>
      <c r="TD255" s="30"/>
      <c r="TE255" s="30"/>
      <c r="TF255" s="30"/>
      <c r="TG255" s="30"/>
    </row>
    <row r="256" spans="1:527" s="24" customFormat="1" ht="15.75" x14ac:dyDescent="0.25">
      <c r="A256" s="83"/>
      <c r="B256" s="110"/>
      <c r="C256" s="83"/>
      <c r="D256" s="84" t="s">
        <v>393</v>
      </c>
      <c r="E256" s="100">
        <f t="shared" si="113"/>
        <v>200000</v>
      </c>
      <c r="F256" s="100">
        <v>200000</v>
      </c>
      <c r="G256" s="100"/>
      <c r="H256" s="100"/>
      <c r="I256" s="100"/>
      <c r="J256" s="100">
        <f t="shared" si="114"/>
        <v>0</v>
      </c>
      <c r="K256" s="100"/>
      <c r="L256" s="100"/>
      <c r="M256" s="100"/>
      <c r="N256" s="100"/>
      <c r="O256" s="100"/>
      <c r="P256" s="100">
        <f t="shared" si="115"/>
        <v>200000</v>
      </c>
      <c r="Q256" s="30"/>
      <c r="R256" s="32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  <c r="IW256" s="30"/>
      <c r="IX256" s="30"/>
      <c r="IY256" s="30"/>
      <c r="IZ256" s="30"/>
      <c r="JA256" s="30"/>
      <c r="JB256" s="30"/>
      <c r="JC256" s="30"/>
      <c r="JD256" s="30"/>
      <c r="JE256" s="30"/>
      <c r="JF256" s="30"/>
      <c r="JG256" s="30"/>
      <c r="JH256" s="30"/>
      <c r="JI256" s="30"/>
      <c r="JJ256" s="30"/>
      <c r="JK256" s="30"/>
      <c r="JL256" s="30"/>
      <c r="JM256" s="30"/>
      <c r="JN256" s="30"/>
      <c r="JO256" s="30"/>
      <c r="JP256" s="30"/>
      <c r="JQ256" s="30"/>
      <c r="JR256" s="30"/>
      <c r="JS256" s="30"/>
      <c r="JT256" s="30"/>
      <c r="JU256" s="30"/>
      <c r="JV256" s="30"/>
      <c r="JW256" s="30"/>
      <c r="JX256" s="30"/>
      <c r="JY256" s="30"/>
      <c r="JZ256" s="30"/>
      <c r="KA256" s="30"/>
      <c r="KB256" s="30"/>
      <c r="KC256" s="30"/>
      <c r="KD256" s="30"/>
      <c r="KE256" s="30"/>
      <c r="KF256" s="30"/>
      <c r="KG256" s="30"/>
      <c r="KH256" s="30"/>
      <c r="KI256" s="30"/>
      <c r="KJ256" s="30"/>
      <c r="KK256" s="30"/>
      <c r="KL256" s="30"/>
      <c r="KM256" s="30"/>
      <c r="KN256" s="30"/>
      <c r="KO256" s="30"/>
      <c r="KP256" s="30"/>
      <c r="KQ256" s="30"/>
      <c r="KR256" s="30"/>
      <c r="KS256" s="30"/>
      <c r="KT256" s="30"/>
      <c r="KU256" s="30"/>
      <c r="KV256" s="30"/>
      <c r="KW256" s="30"/>
      <c r="KX256" s="30"/>
      <c r="KY256" s="30"/>
      <c r="KZ256" s="30"/>
      <c r="LA256" s="30"/>
      <c r="LB256" s="30"/>
      <c r="LC256" s="30"/>
      <c r="LD256" s="30"/>
      <c r="LE256" s="30"/>
      <c r="LF256" s="30"/>
      <c r="LG256" s="30"/>
      <c r="LH256" s="30"/>
      <c r="LI256" s="30"/>
      <c r="LJ256" s="30"/>
      <c r="LK256" s="30"/>
      <c r="LL256" s="30"/>
      <c r="LM256" s="30"/>
      <c r="LN256" s="30"/>
      <c r="LO256" s="30"/>
      <c r="LP256" s="30"/>
      <c r="LQ256" s="30"/>
      <c r="LR256" s="30"/>
      <c r="LS256" s="30"/>
      <c r="LT256" s="30"/>
      <c r="LU256" s="30"/>
      <c r="LV256" s="30"/>
      <c r="LW256" s="30"/>
      <c r="LX256" s="30"/>
      <c r="LY256" s="30"/>
      <c r="LZ256" s="30"/>
      <c r="MA256" s="30"/>
      <c r="MB256" s="30"/>
      <c r="MC256" s="30"/>
      <c r="MD256" s="30"/>
      <c r="ME256" s="30"/>
      <c r="MF256" s="30"/>
      <c r="MG256" s="30"/>
      <c r="MH256" s="30"/>
      <c r="MI256" s="30"/>
      <c r="MJ256" s="30"/>
      <c r="MK256" s="30"/>
      <c r="ML256" s="30"/>
      <c r="MM256" s="30"/>
      <c r="MN256" s="30"/>
      <c r="MO256" s="30"/>
      <c r="MP256" s="30"/>
      <c r="MQ256" s="30"/>
      <c r="MR256" s="30"/>
      <c r="MS256" s="30"/>
      <c r="MT256" s="30"/>
      <c r="MU256" s="30"/>
      <c r="MV256" s="30"/>
      <c r="MW256" s="30"/>
      <c r="MX256" s="30"/>
      <c r="MY256" s="30"/>
      <c r="MZ256" s="30"/>
      <c r="NA256" s="30"/>
      <c r="NB256" s="30"/>
      <c r="NC256" s="30"/>
      <c r="ND256" s="30"/>
      <c r="NE256" s="30"/>
      <c r="NF256" s="30"/>
      <c r="NG256" s="30"/>
      <c r="NH256" s="30"/>
      <c r="NI256" s="30"/>
      <c r="NJ256" s="30"/>
      <c r="NK256" s="30"/>
      <c r="NL256" s="30"/>
      <c r="NM256" s="30"/>
      <c r="NN256" s="30"/>
      <c r="NO256" s="30"/>
      <c r="NP256" s="30"/>
      <c r="NQ256" s="30"/>
      <c r="NR256" s="30"/>
      <c r="NS256" s="30"/>
      <c r="NT256" s="30"/>
      <c r="NU256" s="30"/>
      <c r="NV256" s="30"/>
      <c r="NW256" s="30"/>
      <c r="NX256" s="30"/>
      <c r="NY256" s="30"/>
      <c r="NZ256" s="30"/>
      <c r="OA256" s="30"/>
      <c r="OB256" s="30"/>
      <c r="OC256" s="30"/>
      <c r="OD256" s="30"/>
      <c r="OE256" s="30"/>
      <c r="OF256" s="30"/>
      <c r="OG256" s="30"/>
      <c r="OH256" s="30"/>
      <c r="OI256" s="30"/>
      <c r="OJ256" s="30"/>
      <c r="OK256" s="30"/>
      <c r="OL256" s="30"/>
      <c r="OM256" s="30"/>
      <c r="ON256" s="30"/>
      <c r="OO256" s="30"/>
      <c r="OP256" s="30"/>
      <c r="OQ256" s="30"/>
      <c r="OR256" s="30"/>
      <c r="OS256" s="30"/>
      <c r="OT256" s="30"/>
      <c r="OU256" s="30"/>
      <c r="OV256" s="30"/>
      <c r="OW256" s="30"/>
      <c r="OX256" s="30"/>
      <c r="OY256" s="30"/>
      <c r="OZ256" s="30"/>
      <c r="PA256" s="30"/>
      <c r="PB256" s="30"/>
      <c r="PC256" s="30"/>
      <c r="PD256" s="30"/>
      <c r="PE256" s="30"/>
      <c r="PF256" s="30"/>
      <c r="PG256" s="30"/>
      <c r="PH256" s="30"/>
      <c r="PI256" s="30"/>
      <c r="PJ256" s="30"/>
      <c r="PK256" s="30"/>
      <c r="PL256" s="30"/>
      <c r="PM256" s="30"/>
      <c r="PN256" s="30"/>
      <c r="PO256" s="30"/>
      <c r="PP256" s="30"/>
      <c r="PQ256" s="30"/>
      <c r="PR256" s="30"/>
      <c r="PS256" s="30"/>
      <c r="PT256" s="30"/>
      <c r="PU256" s="30"/>
      <c r="PV256" s="30"/>
      <c r="PW256" s="30"/>
      <c r="PX256" s="30"/>
      <c r="PY256" s="30"/>
      <c r="PZ256" s="30"/>
      <c r="QA256" s="30"/>
      <c r="QB256" s="30"/>
      <c r="QC256" s="30"/>
      <c r="QD256" s="30"/>
      <c r="QE256" s="30"/>
      <c r="QF256" s="30"/>
      <c r="QG256" s="30"/>
      <c r="QH256" s="30"/>
      <c r="QI256" s="30"/>
      <c r="QJ256" s="30"/>
      <c r="QK256" s="30"/>
      <c r="QL256" s="30"/>
      <c r="QM256" s="30"/>
      <c r="QN256" s="30"/>
      <c r="QO256" s="30"/>
      <c r="QP256" s="30"/>
      <c r="QQ256" s="30"/>
      <c r="QR256" s="30"/>
      <c r="QS256" s="30"/>
      <c r="QT256" s="30"/>
      <c r="QU256" s="30"/>
      <c r="QV256" s="30"/>
      <c r="QW256" s="30"/>
      <c r="QX256" s="30"/>
      <c r="QY256" s="30"/>
      <c r="QZ256" s="30"/>
      <c r="RA256" s="30"/>
      <c r="RB256" s="30"/>
      <c r="RC256" s="30"/>
      <c r="RD256" s="30"/>
      <c r="RE256" s="30"/>
      <c r="RF256" s="30"/>
      <c r="RG256" s="30"/>
      <c r="RH256" s="30"/>
      <c r="RI256" s="30"/>
      <c r="RJ256" s="30"/>
      <c r="RK256" s="30"/>
      <c r="RL256" s="30"/>
      <c r="RM256" s="30"/>
      <c r="RN256" s="30"/>
      <c r="RO256" s="30"/>
      <c r="RP256" s="30"/>
      <c r="RQ256" s="30"/>
      <c r="RR256" s="30"/>
      <c r="RS256" s="30"/>
      <c r="RT256" s="30"/>
      <c r="RU256" s="30"/>
      <c r="RV256" s="30"/>
      <c r="RW256" s="30"/>
      <c r="RX256" s="30"/>
      <c r="RY256" s="30"/>
      <c r="RZ256" s="30"/>
      <c r="SA256" s="30"/>
      <c r="SB256" s="30"/>
      <c r="SC256" s="30"/>
      <c r="SD256" s="30"/>
      <c r="SE256" s="30"/>
      <c r="SF256" s="30"/>
      <c r="SG256" s="30"/>
      <c r="SH256" s="30"/>
      <c r="SI256" s="30"/>
      <c r="SJ256" s="30"/>
      <c r="SK256" s="30"/>
      <c r="SL256" s="30"/>
      <c r="SM256" s="30"/>
      <c r="SN256" s="30"/>
      <c r="SO256" s="30"/>
      <c r="SP256" s="30"/>
      <c r="SQ256" s="30"/>
      <c r="SR256" s="30"/>
      <c r="SS256" s="30"/>
      <c r="ST256" s="30"/>
      <c r="SU256" s="30"/>
      <c r="SV256" s="30"/>
      <c r="SW256" s="30"/>
      <c r="SX256" s="30"/>
      <c r="SY256" s="30"/>
      <c r="SZ256" s="30"/>
      <c r="TA256" s="30"/>
      <c r="TB256" s="30"/>
      <c r="TC256" s="30"/>
      <c r="TD256" s="30"/>
      <c r="TE256" s="30"/>
      <c r="TF256" s="30"/>
      <c r="TG256" s="30"/>
    </row>
    <row r="257" spans="1:527" s="24" customFormat="1" ht="31.5" hidden="1" x14ac:dyDescent="0.25">
      <c r="A257" s="59" t="s">
        <v>429</v>
      </c>
      <c r="B257" s="92">
        <v>7530</v>
      </c>
      <c r="C257" s="59" t="s">
        <v>236</v>
      </c>
      <c r="D257" s="93" t="s">
        <v>234</v>
      </c>
      <c r="E257" s="98">
        <f t="shared" si="113"/>
        <v>0</v>
      </c>
      <c r="F257" s="98"/>
      <c r="G257" s="100"/>
      <c r="H257" s="100"/>
      <c r="I257" s="100"/>
      <c r="J257" s="98">
        <f t="shared" si="114"/>
        <v>0</v>
      </c>
      <c r="K257" s="98"/>
      <c r="L257" s="98"/>
      <c r="M257" s="98"/>
      <c r="N257" s="98"/>
      <c r="O257" s="98"/>
      <c r="P257" s="98">
        <f t="shared" si="115"/>
        <v>0</v>
      </c>
      <c r="Q257" s="30"/>
      <c r="R257" s="32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  <c r="IW257" s="30"/>
      <c r="IX257" s="30"/>
      <c r="IY257" s="30"/>
      <c r="IZ257" s="30"/>
      <c r="JA257" s="30"/>
      <c r="JB257" s="30"/>
      <c r="JC257" s="30"/>
      <c r="JD257" s="30"/>
      <c r="JE257" s="30"/>
      <c r="JF257" s="30"/>
      <c r="JG257" s="30"/>
      <c r="JH257" s="30"/>
      <c r="JI257" s="30"/>
      <c r="JJ257" s="30"/>
      <c r="JK257" s="30"/>
      <c r="JL257" s="30"/>
      <c r="JM257" s="30"/>
      <c r="JN257" s="30"/>
      <c r="JO257" s="30"/>
      <c r="JP257" s="30"/>
      <c r="JQ257" s="30"/>
      <c r="JR257" s="30"/>
      <c r="JS257" s="30"/>
      <c r="JT257" s="30"/>
      <c r="JU257" s="30"/>
      <c r="JV257" s="30"/>
      <c r="JW257" s="30"/>
      <c r="JX257" s="30"/>
      <c r="JY257" s="30"/>
      <c r="JZ257" s="30"/>
      <c r="KA257" s="30"/>
      <c r="KB257" s="30"/>
      <c r="KC257" s="30"/>
      <c r="KD257" s="30"/>
      <c r="KE257" s="30"/>
      <c r="KF257" s="30"/>
      <c r="KG257" s="30"/>
      <c r="KH257" s="30"/>
      <c r="KI257" s="30"/>
      <c r="KJ257" s="30"/>
      <c r="KK257" s="30"/>
      <c r="KL257" s="30"/>
      <c r="KM257" s="30"/>
      <c r="KN257" s="30"/>
      <c r="KO257" s="30"/>
      <c r="KP257" s="30"/>
      <c r="KQ257" s="30"/>
      <c r="KR257" s="30"/>
      <c r="KS257" s="30"/>
      <c r="KT257" s="30"/>
      <c r="KU257" s="30"/>
      <c r="KV257" s="30"/>
      <c r="KW257" s="30"/>
      <c r="KX257" s="30"/>
      <c r="KY257" s="30"/>
      <c r="KZ257" s="30"/>
      <c r="LA257" s="30"/>
      <c r="LB257" s="30"/>
      <c r="LC257" s="30"/>
      <c r="LD257" s="30"/>
      <c r="LE257" s="30"/>
      <c r="LF257" s="30"/>
      <c r="LG257" s="30"/>
      <c r="LH257" s="30"/>
      <c r="LI257" s="30"/>
      <c r="LJ257" s="30"/>
      <c r="LK257" s="30"/>
      <c r="LL257" s="30"/>
      <c r="LM257" s="30"/>
      <c r="LN257" s="30"/>
      <c r="LO257" s="30"/>
      <c r="LP257" s="30"/>
      <c r="LQ257" s="30"/>
      <c r="LR257" s="30"/>
      <c r="LS257" s="30"/>
      <c r="LT257" s="30"/>
      <c r="LU257" s="30"/>
      <c r="LV257" s="30"/>
      <c r="LW257" s="30"/>
      <c r="LX257" s="30"/>
      <c r="LY257" s="30"/>
      <c r="LZ257" s="30"/>
      <c r="MA257" s="30"/>
      <c r="MB257" s="30"/>
      <c r="MC257" s="30"/>
      <c r="MD257" s="30"/>
      <c r="ME257" s="30"/>
      <c r="MF257" s="30"/>
      <c r="MG257" s="30"/>
      <c r="MH257" s="30"/>
      <c r="MI257" s="30"/>
      <c r="MJ257" s="30"/>
      <c r="MK257" s="30"/>
      <c r="ML257" s="30"/>
      <c r="MM257" s="30"/>
      <c r="MN257" s="30"/>
      <c r="MO257" s="30"/>
      <c r="MP257" s="30"/>
      <c r="MQ257" s="30"/>
      <c r="MR257" s="30"/>
      <c r="MS257" s="30"/>
      <c r="MT257" s="30"/>
      <c r="MU257" s="30"/>
      <c r="MV257" s="30"/>
      <c r="MW257" s="30"/>
      <c r="MX257" s="30"/>
      <c r="MY257" s="30"/>
      <c r="MZ257" s="30"/>
      <c r="NA257" s="30"/>
      <c r="NB257" s="30"/>
      <c r="NC257" s="30"/>
      <c r="ND257" s="30"/>
      <c r="NE257" s="30"/>
      <c r="NF257" s="30"/>
      <c r="NG257" s="30"/>
      <c r="NH257" s="30"/>
      <c r="NI257" s="30"/>
      <c r="NJ257" s="30"/>
      <c r="NK257" s="30"/>
      <c r="NL257" s="30"/>
      <c r="NM257" s="30"/>
      <c r="NN257" s="30"/>
      <c r="NO257" s="30"/>
      <c r="NP257" s="30"/>
      <c r="NQ257" s="30"/>
      <c r="NR257" s="30"/>
      <c r="NS257" s="30"/>
      <c r="NT257" s="30"/>
      <c r="NU257" s="30"/>
      <c r="NV257" s="30"/>
      <c r="NW257" s="30"/>
      <c r="NX257" s="30"/>
      <c r="NY257" s="30"/>
      <c r="NZ257" s="30"/>
      <c r="OA257" s="30"/>
      <c r="OB257" s="30"/>
      <c r="OC257" s="30"/>
      <c r="OD257" s="30"/>
      <c r="OE257" s="30"/>
      <c r="OF257" s="30"/>
      <c r="OG257" s="30"/>
      <c r="OH257" s="30"/>
      <c r="OI257" s="30"/>
      <c r="OJ257" s="30"/>
      <c r="OK257" s="30"/>
      <c r="OL257" s="30"/>
      <c r="OM257" s="30"/>
      <c r="ON257" s="30"/>
      <c r="OO257" s="30"/>
      <c r="OP257" s="30"/>
      <c r="OQ257" s="30"/>
      <c r="OR257" s="30"/>
      <c r="OS257" s="30"/>
      <c r="OT257" s="30"/>
      <c r="OU257" s="30"/>
      <c r="OV257" s="30"/>
      <c r="OW257" s="30"/>
      <c r="OX257" s="30"/>
      <c r="OY257" s="30"/>
      <c r="OZ257" s="30"/>
      <c r="PA257" s="30"/>
      <c r="PB257" s="30"/>
      <c r="PC257" s="30"/>
      <c r="PD257" s="30"/>
      <c r="PE257" s="30"/>
      <c r="PF257" s="30"/>
      <c r="PG257" s="30"/>
      <c r="PH257" s="30"/>
      <c r="PI257" s="30"/>
      <c r="PJ257" s="30"/>
      <c r="PK257" s="30"/>
      <c r="PL257" s="30"/>
      <c r="PM257" s="30"/>
      <c r="PN257" s="30"/>
      <c r="PO257" s="30"/>
      <c r="PP257" s="30"/>
      <c r="PQ257" s="30"/>
      <c r="PR257" s="30"/>
      <c r="PS257" s="30"/>
      <c r="PT257" s="30"/>
      <c r="PU257" s="30"/>
      <c r="PV257" s="30"/>
      <c r="PW257" s="30"/>
      <c r="PX257" s="30"/>
      <c r="PY257" s="30"/>
      <c r="PZ257" s="30"/>
      <c r="QA257" s="30"/>
      <c r="QB257" s="30"/>
      <c r="QC257" s="30"/>
      <c r="QD257" s="30"/>
      <c r="QE257" s="30"/>
      <c r="QF257" s="30"/>
      <c r="QG257" s="30"/>
      <c r="QH257" s="30"/>
      <c r="QI257" s="30"/>
      <c r="QJ257" s="30"/>
      <c r="QK257" s="30"/>
      <c r="QL257" s="30"/>
      <c r="QM257" s="30"/>
      <c r="QN257" s="30"/>
      <c r="QO257" s="30"/>
      <c r="QP257" s="30"/>
      <c r="QQ257" s="30"/>
      <c r="QR257" s="30"/>
      <c r="QS257" s="30"/>
      <c r="QT257" s="30"/>
      <c r="QU257" s="30"/>
      <c r="QV257" s="30"/>
      <c r="QW257" s="30"/>
      <c r="QX257" s="30"/>
      <c r="QY257" s="30"/>
      <c r="QZ257" s="30"/>
      <c r="RA257" s="30"/>
      <c r="RB257" s="30"/>
      <c r="RC257" s="30"/>
      <c r="RD257" s="30"/>
      <c r="RE257" s="30"/>
      <c r="RF257" s="30"/>
      <c r="RG257" s="30"/>
      <c r="RH257" s="30"/>
      <c r="RI257" s="30"/>
      <c r="RJ257" s="30"/>
      <c r="RK257" s="30"/>
      <c r="RL257" s="30"/>
      <c r="RM257" s="30"/>
      <c r="RN257" s="30"/>
      <c r="RO257" s="30"/>
      <c r="RP257" s="30"/>
      <c r="RQ257" s="30"/>
      <c r="RR257" s="30"/>
      <c r="RS257" s="30"/>
      <c r="RT257" s="30"/>
      <c r="RU257" s="30"/>
      <c r="RV257" s="30"/>
      <c r="RW257" s="30"/>
      <c r="RX257" s="30"/>
      <c r="RY257" s="30"/>
      <c r="RZ257" s="30"/>
      <c r="SA257" s="30"/>
      <c r="SB257" s="30"/>
      <c r="SC257" s="30"/>
      <c r="SD257" s="30"/>
      <c r="SE257" s="30"/>
      <c r="SF257" s="30"/>
      <c r="SG257" s="30"/>
      <c r="SH257" s="30"/>
      <c r="SI257" s="30"/>
      <c r="SJ257" s="30"/>
      <c r="SK257" s="30"/>
      <c r="SL257" s="30"/>
      <c r="SM257" s="30"/>
      <c r="SN257" s="30"/>
      <c r="SO257" s="30"/>
      <c r="SP257" s="30"/>
      <c r="SQ257" s="30"/>
      <c r="SR257" s="30"/>
      <c r="SS257" s="30"/>
      <c r="ST257" s="30"/>
      <c r="SU257" s="30"/>
      <c r="SV257" s="30"/>
      <c r="SW257" s="30"/>
      <c r="SX257" s="30"/>
      <c r="SY257" s="30"/>
      <c r="SZ257" s="30"/>
      <c r="TA257" s="30"/>
      <c r="TB257" s="30"/>
      <c r="TC257" s="30"/>
      <c r="TD257" s="30"/>
      <c r="TE257" s="30"/>
      <c r="TF257" s="30"/>
      <c r="TG257" s="30"/>
    </row>
    <row r="258" spans="1:527" s="22" customFormat="1" ht="20.25" customHeight="1" x14ac:dyDescent="0.25">
      <c r="A258" s="59" t="s">
        <v>202</v>
      </c>
      <c r="B258" s="92" t="str">
        <f>'дод 7'!A218</f>
        <v>7640</v>
      </c>
      <c r="C258" s="59" t="str">
        <f>'дод 7'!B218</f>
        <v>0470</v>
      </c>
      <c r="D258" s="60" t="s">
        <v>422</v>
      </c>
      <c r="E258" s="98">
        <f t="shared" si="107"/>
        <v>1882610</v>
      </c>
      <c r="F258" s="98">
        <f>700000-100000</f>
        <v>600000</v>
      </c>
      <c r="G258" s="98"/>
      <c r="H258" s="98"/>
      <c r="I258" s="98">
        <f>1500000+500000-42090-560000-30300-85000</f>
        <v>1282610</v>
      </c>
      <c r="J258" s="98">
        <f t="shared" si="109"/>
        <v>0</v>
      </c>
      <c r="K258" s="98"/>
      <c r="L258" s="98"/>
      <c r="M258" s="98"/>
      <c r="N258" s="98"/>
      <c r="O258" s="98"/>
      <c r="P258" s="98">
        <f t="shared" si="108"/>
        <v>1882610</v>
      </c>
      <c r="Q258" s="23"/>
      <c r="R258" s="32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  <c r="TF258" s="23"/>
      <c r="TG258" s="23"/>
    </row>
    <row r="259" spans="1:527" s="22" customFormat="1" ht="39" customHeight="1" x14ac:dyDescent="0.25">
      <c r="A259" s="59" t="s">
        <v>331</v>
      </c>
      <c r="B259" s="92" t="str">
        <f>'дод 7'!A222</f>
        <v>7670</v>
      </c>
      <c r="C259" s="59" t="str">
        <f>'дод 7'!B222</f>
        <v>0490</v>
      </c>
      <c r="D259" s="60" t="str">
        <f>'дод 7'!C222</f>
        <v>Внески до статутного капіталу суб’єктів господарювання, у т. ч. за рахунок:</v>
      </c>
      <c r="E259" s="98">
        <f t="shared" si="107"/>
        <v>0</v>
      </c>
      <c r="F259" s="98"/>
      <c r="G259" s="98"/>
      <c r="H259" s="98"/>
      <c r="I259" s="98"/>
      <c r="J259" s="98">
        <f t="shared" si="109"/>
        <v>26745000</v>
      </c>
      <c r="K259" s="98">
        <f>46790000-20000000-45000</f>
        <v>26745000</v>
      </c>
      <c r="L259" s="98"/>
      <c r="M259" s="98"/>
      <c r="N259" s="98"/>
      <c r="O259" s="98">
        <f>46790000-20000000-45000</f>
        <v>26745000</v>
      </c>
      <c r="P259" s="98">
        <f t="shared" si="108"/>
        <v>26745000</v>
      </c>
      <c r="Q259" s="23"/>
      <c r="R259" s="32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  <c r="TF259" s="23"/>
      <c r="TG259" s="23"/>
    </row>
    <row r="260" spans="1:527" s="24" customFormat="1" ht="18.75" customHeight="1" x14ac:dyDescent="0.25">
      <c r="A260" s="83"/>
      <c r="B260" s="110"/>
      <c r="C260" s="110"/>
      <c r="D260" s="84" t="s">
        <v>419</v>
      </c>
      <c r="E260" s="100">
        <f t="shared" si="107"/>
        <v>0</v>
      </c>
      <c r="F260" s="100"/>
      <c r="G260" s="100"/>
      <c r="H260" s="100"/>
      <c r="I260" s="100"/>
      <c r="J260" s="100">
        <f t="shared" si="109"/>
        <v>26250000</v>
      </c>
      <c r="K260" s="100">
        <v>26250000</v>
      </c>
      <c r="L260" s="100"/>
      <c r="M260" s="100"/>
      <c r="N260" s="100"/>
      <c r="O260" s="100">
        <v>26250000</v>
      </c>
      <c r="P260" s="100">
        <f t="shared" si="108"/>
        <v>26250000</v>
      </c>
      <c r="Q260" s="30"/>
      <c r="R260" s="32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  <c r="LU260" s="30"/>
      <c r="LV260" s="30"/>
      <c r="LW260" s="30"/>
      <c r="LX260" s="30"/>
      <c r="LY260" s="30"/>
      <c r="LZ260" s="30"/>
      <c r="MA260" s="30"/>
      <c r="MB260" s="30"/>
      <c r="MC260" s="30"/>
      <c r="MD260" s="30"/>
      <c r="ME260" s="30"/>
      <c r="MF260" s="30"/>
      <c r="MG260" s="30"/>
      <c r="MH260" s="30"/>
      <c r="MI260" s="30"/>
      <c r="MJ260" s="30"/>
      <c r="MK260" s="30"/>
      <c r="ML260" s="30"/>
      <c r="MM260" s="30"/>
      <c r="MN260" s="30"/>
      <c r="MO260" s="30"/>
      <c r="MP260" s="30"/>
      <c r="MQ260" s="30"/>
      <c r="MR260" s="30"/>
      <c r="MS260" s="30"/>
      <c r="MT260" s="30"/>
      <c r="MU260" s="30"/>
      <c r="MV260" s="30"/>
      <c r="MW260" s="30"/>
      <c r="MX260" s="30"/>
      <c r="MY260" s="30"/>
      <c r="MZ260" s="30"/>
      <c r="NA260" s="30"/>
      <c r="NB260" s="30"/>
      <c r="NC260" s="30"/>
      <c r="ND260" s="30"/>
      <c r="NE260" s="30"/>
      <c r="NF260" s="30"/>
      <c r="NG260" s="30"/>
      <c r="NH260" s="30"/>
      <c r="NI260" s="30"/>
      <c r="NJ260" s="30"/>
      <c r="NK260" s="30"/>
      <c r="NL260" s="30"/>
      <c r="NM260" s="30"/>
      <c r="NN260" s="30"/>
      <c r="NO260" s="30"/>
      <c r="NP260" s="30"/>
      <c r="NQ260" s="30"/>
      <c r="NR260" s="30"/>
      <c r="NS260" s="30"/>
      <c r="NT260" s="30"/>
      <c r="NU260" s="30"/>
      <c r="NV260" s="30"/>
      <c r="NW260" s="30"/>
      <c r="NX260" s="30"/>
      <c r="NY260" s="30"/>
      <c r="NZ260" s="30"/>
      <c r="OA260" s="30"/>
      <c r="OB260" s="30"/>
      <c r="OC260" s="30"/>
      <c r="OD260" s="30"/>
      <c r="OE260" s="30"/>
      <c r="OF260" s="30"/>
      <c r="OG260" s="30"/>
      <c r="OH260" s="30"/>
      <c r="OI260" s="30"/>
      <c r="OJ260" s="30"/>
      <c r="OK260" s="30"/>
      <c r="OL260" s="30"/>
      <c r="OM260" s="30"/>
      <c r="ON260" s="30"/>
      <c r="OO260" s="30"/>
      <c r="OP260" s="30"/>
      <c r="OQ260" s="30"/>
      <c r="OR260" s="30"/>
      <c r="OS260" s="30"/>
      <c r="OT260" s="30"/>
      <c r="OU260" s="30"/>
      <c r="OV260" s="30"/>
      <c r="OW260" s="30"/>
      <c r="OX260" s="30"/>
      <c r="OY260" s="30"/>
      <c r="OZ260" s="30"/>
      <c r="PA260" s="30"/>
      <c r="PB260" s="30"/>
      <c r="PC260" s="30"/>
      <c r="PD260" s="30"/>
      <c r="PE260" s="30"/>
      <c r="PF260" s="30"/>
      <c r="PG260" s="30"/>
      <c r="PH260" s="30"/>
      <c r="PI260" s="30"/>
      <c r="PJ260" s="30"/>
      <c r="PK260" s="30"/>
      <c r="PL260" s="30"/>
      <c r="PM260" s="30"/>
      <c r="PN260" s="30"/>
      <c r="PO260" s="30"/>
      <c r="PP260" s="30"/>
      <c r="PQ260" s="30"/>
      <c r="PR260" s="30"/>
      <c r="PS260" s="30"/>
      <c r="PT260" s="30"/>
      <c r="PU260" s="30"/>
      <c r="PV260" s="30"/>
      <c r="PW260" s="30"/>
      <c r="PX260" s="30"/>
      <c r="PY260" s="30"/>
      <c r="PZ260" s="30"/>
      <c r="QA260" s="30"/>
      <c r="QB260" s="30"/>
      <c r="QC260" s="30"/>
      <c r="QD260" s="30"/>
      <c r="QE260" s="30"/>
      <c r="QF260" s="30"/>
      <c r="QG260" s="30"/>
      <c r="QH260" s="30"/>
      <c r="QI260" s="30"/>
      <c r="QJ260" s="30"/>
      <c r="QK260" s="30"/>
      <c r="QL260" s="30"/>
      <c r="QM260" s="30"/>
      <c r="QN260" s="30"/>
      <c r="QO260" s="30"/>
      <c r="QP260" s="30"/>
      <c r="QQ260" s="30"/>
      <c r="QR260" s="30"/>
      <c r="QS260" s="30"/>
      <c r="QT260" s="30"/>
      <c r="QU260" s="30"/>
      <c r="QV260" s="30"/>
      <c r="QW260" s="30"/>
      <c r="QX260" s="30"/>
      <c r="QY260" s="30"/>
      <c r="QZ260" s="30"/>
      <c r="RA260" s="30"/>
      <c r="RB260" s="30"/>
      <c r="RC260" s="30"/>
      <c r="RD260" s="30"/>
      <c r="RE260" s="30"/>
      <c r="RF260" s="30"/>
      <c r="RG260" s="30"/>
      <c r="RH260" s="30"/>
      <c r="RI260" s="30"/>
      <c r="RJ260" s="30"/>
      <c r="RK260" s="30"/>
      <c r="RL260" s="30"/>
      <c r="RM260" s="30"/>
      <c r="RN260" s="30"/>
      <c r="RO260" s="30"/>
      <c r="RP260" s="30"/>
      <c r="RQ260" s="30"/>
      <c r="RR260" s="30"/>
      <c r="RS260" s="30"/>
      <c r="RT260" s="30"/>
      <c r="RU260" s="30"/>
      <c r="RV260" s="30"/>
      <c r="RW260" s="30"/>
      <c r="RX260" s="30"/>
      <c r="RY260" s="30"/>
      <c r="RZ260" s="30"/>
      <c r="SA260" s="30"/>
      <c r="SB260" s="30"/>
      <c r="SC260" s="30"/>
      <c r="SD260" s="30"/>
      <c r="SE260" s="30"/>
      <c r="SF260" s="30"/>
      <c r="SG260" s="30"/>
      <c r="SH260" s="30"/>
      <c r="SI260" s="30"/>
      <c r="SJ260" s="30"/>
      <c r="SK260" s="30"/>
      <c r="SL260" s="30"/>
      <c r="SM260" s="30"/>
      <c r="SN260" s="30"/>
      <c r="SO260" s="30"/>
      <c r="SP260" s="30"/>
      <c r="SQ260" s="30"/>
      <c r="SR260" s="30"/>
      <c r="SS260" s="30"/>
      <c r="ST260" s="30"/>
      <c r="SU260" s="30"/>
      <c r="SV260" s="30"/>
      <c r="SW260" s="30"/>
      <c r="SX260" s="30"/>
      <c r="SY260" s="30"/>
      <c r="SZ260" s="30"/>
      <c r="TA260" s="30"/>
      <c r="TB260" s="30"/>
      <c r="TC260" s="30"/>
      <c r="TD260" s="30"/>
      <c r="TE260" s="30"/>
      <c r="TF260" s="30"/>
      <c r="TG260" s="30"/>
    </row>
    <row r="261" spans="1:527" s="22" customFormat="1" ht="126" x14ac:dyDescent="0.25">
      <c r="A261" s="102" t="s">
        <v>300</v>
      </c>
      <c r="B261" s="42">
        <v>7691</v>
      </c>
      <c r="C261" s="42" t="s">
        <v>82</v>
      </c>
      <c r="D261" s="36" t="str">
        <f>'дод 7'!C225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61" s="98">
        <f t="shared" si="107"/>
        <v>0</v>
      </c>
      <c r="F261" s="98"/>
      <c r="G261" s="98"/>
      <c r="H261" s="98"/>
      <c r="I261" s="98"/>
      <c r="J261" s="98">
        <f t="shared" si="109"/>
        <v>2205686.5699999998</v>
      </c>
      <c r="K261" s="98"/>
      <c r="L261" s="98">
        <f>169598+128488.57</f>
        <v>298086.57</v>
      </c>
      <c r="M261" s="98"/>
      <c r="N261" s="98"/>
      <c r="O261" s="98">
        <f>1900000+7600</f>
        <v>1907600</v>
      </c>
      <c r="P261" s="98">
        <f t="shared" si="108"/>
        <v>2205686.5699999998</v>
      </c>
      <c r="Q261" s="23"/>
      <c r="R261" s="32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  <c r="IW261" s="23"/>
      <c r="IX261" s="23"/>
      <c r="IY261" s="23"/>
      <c r="IZ261" s="23"/>
      <c r="JA261" s="23"/>
      <c r="JB261" s="23"/>
      <c r="JC261" s="23"/>
      <c r="JD261" s="23"/>
      <c r="JE261" s="23"/>
      <c r="JF261" s="23"/>
      <c r="JG261" s="23"/>
      <c r="JH261" s="23"/>
      <c r="JI261" s="23"/>
      <c r="JJ261" s="23"/>
      <c r="JK261" s="23"/>
      <c r="JL261" s="23"/>
      <c r="JM261" s="23"/>
      <c r="JN261" s="23"/>
      <c r="JO261" s="23"/>
      <c r="JP261" s="23"/>
      <c r="JQ261" s="23"/>
      <c r="JR261" s="23"/>
      <c r="JS261" s="23"/>
      <c r="JT261" s="23"/>
      <c r="JU261" s="23"/>
      <c r="JV261" s="23"/>
      <c r="JW261" s="23"/>
      <c r="JX261" s="23"/>
      <c r="JY261" s="23"/>
      <c r="JZ261" s="23"/>
      <c r="KA261" s="23"/>
      <c r="KB261" s="23"/>
      <c r="KC261" s="23"/>
      <c r="KD261" s="23"/>
      <c r="KE261" s="23"/>
      <c r="KF261" s="23"/>
      <c r="KG261" s="23"/>
      <c r="KH261" s="23"/>
      <c r="KI261" s="23"/>
      <c r="KJ261" s="23"/>
      <c r="KK261" s="23"/>
      <c r="KL261" s="23"/>
      <c r="KM261" s="23"/>
      <c r="KN261" s="23"/>
      <c r="KO261" s="23"/>
      <c r="KP261" s="23"/>
      <c r="KQ261" s="23"/>
      <c r="KR261" s="23"/>
      <c r="KS261" s="23"/>
      <c r="KT261" s="23"/>
      <c r="KU261" s="23"/>
      <c r="KV261" s="23"/>
      <c r="KW261" s="23"/>
      <c r="KX261" s="23"/>
      <c r="KY261" s="23"/>
      <c r="KZ261" s="23"/>
      <c r="LA261" s="23"/>
      <c r="LB261" s="23"/>
      <c r="LC261" s="23"/>
      <c r="LD261" s="23"/>
      <c r="LE261" s="23"/>
      <c r="LF261" s="23"/>
      <c r="LG261" s="23"/>
      <c r="LH261" s="23"/>
      <c r="LI261" s="23"/>
      <c r="LJ261" s="23"/>
      <c r="LK261" s="23"/>
      <c r="LL261" s="23"/>
      <c r="LM261" s="23"/>
      <c r="LN261" s="23"/>
      <c r="LO261" s="23"/>
      <c r="LP261" s="23"/>
      <c r="LQ261" s="23"/>
      <c r="LR261" s="23"/>
      <c r="LS261" s="23"/>
      <c r="LT261" s="23"/>
      <c r="LU261" s="23"/>
      <c r="LV261" s="23"/>
      <c r="LW261" s="23"/>
      <c r="LX261" s="23"/>
      <c r="LY261" s="23"/>
      <c r="LZ261" s="23"/>
      <c r="MA261" s="23"/>
      <c r="MB261" s="23"/>
      <c r="MC261" s="23"/>
      <c r="MD261" s="23"/>
      <c r="ME261" s="23"/>
      <c r="MF261" s="23"/>
      <c r="MG261" s="23"/>
      <c r="MH261" s="23"/>
      <c r="MI261" s="23"/>
      <c r="MJ261" s="23"/>
      <c r="MK261" s="23"/>
      <c r="ML261" s="23"/>
      <c r="MM261" s="23"/>
      <c r="MN261" s="23"/>
      <c r="MO261" s="23"/>
      <c r="MP261" s="23"/>
      <c r="MQ261" s="23"/>
      <c r="MR261" s="23"/>
      <c r="MS261" s="23"/>
      <c r="MT261" s="23"/>
      <c r="MU261" s="23"/>
      <c r="MV261" s="23"/>
      <c r="MW261" s="23"/>
      <c r="MX261" s="23"/>
      <c r="MY261" s="23"/>
      <c r="MZ261" s="23"/>
      <c r="NA261" s="23"/>
      <c r="NB261" s="23"/>
      <c r="NC261" s="23"/>
      <c r="ND261" s="23"/>
      <c r="NE261" s="23"/>
      <c r="NF261" s="23"/>
      <c r="NG261" s="23"/>
      <c r="NH261" s="23"/>
      <c r="NI261" s="23"/>
      <c r="NJ261" s="23"/>
      <c r="NK261" s="23"/>
      <c r="NL261" s="23"/>
      <c r="NM261" s="23"/>
      <c r="NN261" s="23"/>
      <c r="NO261" s="23"/>
      <c r="NP261" s="23"/>
      <c r="NQ261" s="23"/>
      <c r="NR261" s="23"/>
      <c r="NS261" s="23"/>
      <c r="NT261" s="23"/>
      <c r="NU261" s="23"/>
      <c r="NV261" s="23"/>
      <c r="NW261" s="23"/>
      <c r="NX261" s="23"/>
      <c r="NY261" s="23"/>
      <c r="NZ261" s="23"/>
      <c r="OA261" s="23"/>
      <c r="OB261" s="23"/>
      <c r="OC261" s="23"/>
      <c r="OD261" s="23"/>
      <c r="OE261" s="23"/>
      <c r="OF261" s="23"/>
      <c r="OG261" s="23"/>
      <c r="OH261" s="23"/>
      <c r="OI261" s="23"/>
      <c r="OJ261" s="23"/>
      <c r="OK261" s="23"/>
      <c r="OL261" s="23"/>
      <c r="OM261" s="23"/>
      <c r="ON261" s="23"/>
      <c r="OO261" s="23"/>
      <c r="OP261" s="23"/>
      <c r="OQ261" s="23"/>
      <c r="OR261" s="23"/>
      <c r="OS261" s="23"/>
      <c r="OT261" s="23"/>
      <c r="OU261" s="23"/>
      <c r="OV261" s="23"/>
      <c r="OW261" s="23"/>
      <c r="OX261" s="23"/>
      <c r="OY261" s="23"/>
      <c r="OZ261" s="23"/>
      <c r="PA261" s="23"/>
      <c r="PB261" s="23"/>
      <c r="PC261" s="23"/>
      <c r="PD261" s="23"/>
      <c r="PE261" s="23"/>
      <c r="PF261" s="23"/>
      <c r="PG261" s="23"/>
      <c r="PH261" s="23"/>
      <c r="PI261" s="23"/>
      <c r="PJ261" s="23"/>
      <c r="PK261" s="23"/>
      <c r="PL261" s="23"/>
      <c r="PM261" s="23"/>
      <c r="PN261" s="23"/>
      <c r="PO261" s="23"/>
      <c r="PP261" s="23"/>
      <c r="PQ261" s="23"/>
      <c r="PR261" s="23"/>
      <c r="PS261" s="23"/>
      <c r="PT261" s="23"/>
      <c r="PU261" s="23"/>
      <c r="PV261" s="23"/>
      <c r="PW261" s="23"/>
      <c r="PX261" s="23"/>
      <c r="PY261" s="23"/>
      <c r="PZ261" s="23"/>
      <c r="QA261" s="23"/>
      <c r="QB261" s="23"/>
      <c r="QC261" s="23"/>
      <c r="QD261" s="23"/>
      <c r="QE261" s="23"/>
      <c r="QF261" s="23"/>
      <c r="QG261" s="23"/>
      <c r="QH261" s="23"/>
      <c r="QI261" s="23"/>
      <c r="QJ261" s="23"/>
      <c r="QK261" s="23"/>
      <c r="QL261" s="23"/>
      <c r="QM261" s="23"/>
      <c r="QN261" s="23"/>
      <c r="QO261" s="23"/>
      <c r="QP261" s="23"/>
      <c r="QQ261" s="23"/>
      <c r="QR261" s="23"/>
      <c r="QS261" s="23"/>
      <c r="QT261" s="23"/>
      <c r="QU261" s="23"/>
      <c r="QV261" s="23"/>
      <c r="QW261" s="23"/>
      <c r="QX261" s="23"/>
      <c r="QY261" s="23"/>
      <c r="QZ261" s="23"/>
      <c r="RA261" s="23"/>
      <c r="RB261" s="23"/>
      <c r="RC261" s="23"/>
      <c r="RD261" s="23"/>
      <c r="RE261" s="23"/>
      <c r="RF261" s="23"/>
      <c r="RG261" s="23"/>
      <c r="RH261" s="23"/>
      <c r="RI261" s="23"/>
      <c r="RJ261" s="23"/>
      <c r="RK261" s="23"/>
      <c r="RL261" s="23"/>
      <c r="RM261" s="23"/>
      <c r="RN261" s="23"/>
      <c r="RO261" s="23"/>
      <c r="RP261" s="23"/>
      <c r="RQ261" s="23"/>
      <c r="RR261" s="23"/>
      <c r="RS261" s="23"/>
      <c r="RT261" s="23"/>
      <c r="RU261" s="23"/>
      <c r="RV261" s="23"/>
      <c r="RW261" s="23"/>
      <c r="RX261" s="23"/>
      <c r="RY261" s="23"/>
      <c r="RZ261" s="23"/>
      <c r="SA261" s="23"/>
      <c r="SB261" s="23"/>
      <c r="SC261" s="23"/>
      <c r="SD261" s="23"/>
      <c r="SE261" s="23"/>
      <c r="SF261" s="23"/>
      <c r="SG261" s="23"/>
      <c r="SH261" s="23"/>
      <c r="SI261" s="23"/>
      <c r="SJ261" s="23"/>
      <c r="SK261" s="23"/>
      <c r="SL261" s="23"/>
      <c r="SM261" s="23"/>
      <c r="SN261" s="23"/>
      <c r="SO261" s="23"/>
      <c r="SP261" s="23"/>
      <c r="SQ261" s="23"/>
      <c r="SR261" s="23"/>
      <c r="SS261" s="23"/>
      <c r="ST261" s="23"/>
      <c r="SU261" s="23"/>
      <c r="SV261" s="23"/>
      <c r="SW261" s="23"/>
      <c r="SX261" s="23"/>
      <c r="SY261" s="23"/>
      <c r="SZ261" s="23"/>
      <c r="TA261" s="23"/>
      <c r="TB261" s="23"/>
      <c r="TC261" s="23"/>
      <c r="TD261" s="23"/>
      <c r="TE261" s="23"/>
      <c r="TF261" s="23"/>
      <c r="TG261" s="23"/>
    </row>
    <row r="262" spans="1:527" s="22" customFormat="1" ht="31.5" x14ac:dyDescent="0.25">
      <c r="A262" s="102" t="s">
        <v>380</v>
      </c>
      <c r="B262" s="42" t="str">
        <f>'дод 7'!A233</f>
        <v>8110</v>
      </c>
      <c r="C262" s="42" t="str">
        <f>'дод 7'!B233</f>
        <v>0320</v>
      </c>
      <c r="D262" s="103" t="str">
        <f>'дод 7'!C233</f>
        <v>Заходи із запобігання та ліквідації надзвичайних ситуацій та наслідків стихійного лиха</v>
      </c>
      <c r="E262" s="98">
        <f t="shared" ref="E262" si="116">F262+I262</f>
        <v>677493.87</v>
      </c>
      <c r="F262" s="98">
        <v>677493.87</v>
      </c>
      <c r="G262" s="98"/>
      <c r="H262" s="98"/>
      <c r="I262" s="98"/>
      <c r="J262" s="98">
        <f t="shared" ref="J262" si="117">L262+O262</f>
        <v>0</v>
      </c>
      <c r="K262" s="98"/>
      <c r="L262" s="98"/>
      <c r="M262" s="98"/>
      <c r="N262" s="98"/>
      <c r="O262" s="98"/>
      <c r="P262" s="98">
        <f t="shared" ref="P262" si="118">E262+J262</f>
        <v>677493.87</v>
      </c>
      <c r="Q262" s="23"/>
      <c r="R262" s="32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  <c r="TF262" s="23"/>
      <c r="TG262" s="23"/>
    </row>
    <row r="263" spans="1:527" s="22" customFormat="1" ht="15.75" hidden="1" customHeight="1" x14ac:dyDescent="0.25">
      <c r="A263" s="102" t="s">
        <v>379</v>
      </c>
      <c r="B263" s="42" t="str">
        <f>'дод 7'!A237</f>
        <v>8230</v>
      </c>
      <c r="C263" s="42" t="str">
        <f>'дод 7'!B237</f>
        <v>0380</v>
      </c>
      <c r="D263" s="103" t="str">
        <f>'дод 7'!C237</f>
        <v>Інші заходи громадського порядку та безпеки</v>
      </c>
      <c r="E263" s="98">
        <f t="shared" ref="E263" si="119">F263+I263</f>
        <v>0</v>
      </c>
      <c r="F263" s="98"/>
      <c r="G263" s="98"/>
      <c r="H263" s="98"/>
      <c r="I263" s="98"/>
      <c r="J263" s="98">
        <f t="shared" ref="J263" si="120">L263+O263</f>
        <v>0</v>
      </c>
      <c r="K263" s="98"/>
      <c r="L263" s="98"/>
      <c r="M263" s="98"/>
      <c r="N263" s="98"/>
      <c r="O263" s="98"/>
      <c r="P263" s="98">
        <f t="shared" ref="P263" si="121">E263+J263</f>
        <v>0</v>
      </c>
      <c r="Q263" s="23"/>
      <c r="R263" s="32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</row>
    <row r="264" spans="1:527" s="22" customFormat="1" ht="35.25" customHeight="1" x14ac:dyDescent="0.25">
      <c r="A264" s="59" t="s">
        <v>203</v>
      </c>
      <c r="B264" s="92" t="str">
        <f>'дод 7'!A240</f>
        <v>8340</v>
      </c>
      <c r="C264" s="92" t="str">
        <f>'дод 7'!B240</f>
        <v>0540</v>
      </c>
      <c r="D264" s="60" t="str">
        <f>'дод 7'!C240</f>
        <v>Природоохоронні заходи за рахунок цільових фондів</v>
      </c>
      <c r="E264" s="98">
        <f t="shared" si="107"/>
        <v>0</v>
      </c>
      <c r="F264" s="98"/>
      <c r="G264" s="98"/>
      <c r="H264" s="98"/>
      <c r="I264" s="98"/>
      <c r="J264" s="98">
        <f t="shared" si="109"/>
        <v>2949600</v>
      </c>
      <c r="K264" s="98"/>
      <c r="L264" s="98">
        <f>1442000+186000+21600</f>
        <v>1649600</v>
      </c>
      <c r="M264" s="98"/>
      <c r="N264" s="98"/>
      <c r="O264" s="98">
        <v>1300000</v>
      </c>
      <c r="P264" s="98">
        <f t="shared" si="108"/>
        <v>2949600</v>
      </c>
      <c r="Q264" s="23"/>
      <c r="R264" s="32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  <c r="TF264" s="23"/>
      <c r="TG264" s="23"/>
    </row>
    <row r="265" spans="1:527" s="22" customFormat="1" ht="78.75" x14ac:dyDescent="0.25">
      <c r="A265" s="59" t="s">
        <v>571</v>
      </c>
      <c r="B265" s="92">
        <v>9730</v>
      </c>
      <c r="C265" s="59" t="s">
        <v>45</v>
      </c>
      <c r="D265" s="60" t="s">
        <v>572</v>
      </c>
      <c r="E265" s="98">
        <f t="shared" si="107"/>
        <v>0</v>
      </c>
      <c r="F265" s="98">
        <f>25000000-25000000</f>
        <v>0</v>
      </c>
      <c r="G265" s="98"/>
      <c r="H265" s="98"/>
      <c r="I265" s="98"/>
      <c r="J265" s="98">
        <f t="shared" si="109"/>
        <v>0</v>
      </c>
      <c r="K265" s="98"/>
      <c r="L265" s="98"/>
      <c r="M265" s="98"/>
      <c r="N265" s="98"/>
      <c r="O265" s="98"/>
      <c r="P265" s="98">
        <f t="shared" si="108"/>
        <v>0</v>
      </c>
      <c r="Q265" s="23"/>
      <c r="R265" s="32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  <c r="TG265" s="23"/>
    </row>
    <row r="266" spans="1:527" s="22" customFormat="1" ht="20.25" customHeight="1" x14ac:dyDescent="0.25">
      <c r="A266" s="59" t="s">
        <v>204</v>
      </c>
      <c r="B266" s="92" t="str">
        <f>'дод 7'!A256</f>
        <v>9770</v>
      </c>
      <c r="C266" s="92" t="str">
        <f>'дод 7'!B256</f>
        <v>0180</v>
      </c>
      <c r="D266" s="60" t="str">
        <f>'дод 7'!C256</f>
        <v>Інші субвенції з місцевого бюджету</v>
      </c>
      <c r="E266" s="98">
        <f t="shared" si="107"/>
        <v>8550000</v>
      </c>
      <c r="F266" s="98">
        <f>4000000+4550000</f>
        <v>8550000</v>
      </c>
      <c r="G266" s="98"/>
      <c r="H266" s="98"/>
      <c r="I266" s="98"/>
      <c r="J266" s="98">
        <f t="shared" si="109"/>
        <v>6450000</v>
      </c>
      <c r="K266" s="98">
        <f>7000000-4000000+3450000</f>
        <v>6450000</v>
      </c>
      <c r="L266" s="98"/>
      <c r="M266" s="98"/>
      <c r="N266" s="98"/>
      <c r="O266" s="98">
        <f>7000000-4000000+3450000</f>
        <v>6450000</v>
      </c>
      <c r="P266" s="98">
        <f t="shared" si="108"/>
        <v>15000000</v>
      </c>
      <c r="Q266" s="23"/>
      <c r="R266" s="32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</row>
    <row r="267" spans="1:527" s="27" customFormat="1" ht="33.75" customHeight="1" x14ac:dyDescent="0.25">
      <c r="A267" s="109" t="s">
        <v>27</v>
      </c>
      <c r="B267" s="111"/>
      <c r="C267" s="111"/>
      <c r="D267" s="106" t="s">
        <v>34</v>
      </c>
      <c r="E267" s="94">
        <f>E268</f>
        <v>6537039</v>
      </c>
      <c r="F267" s="94">
        <f t="shared" ref="F267:J268" si="122">F268</f>
        <v>6537039</v>
      </c>
      <c r="G267" s="94">
        <f t="shared" si="122"/>
        <v>5070500</v>
      </c>
      <c r="H267" s="94">
        <f t="shared" si="122"/>
        <v>120439</v>
      </c>
      <c r="I267" s="94">
        <f t="shared" si="122"/>
        <v>0</v>
      </c>
      <c r="J267" s="94">
        <f t="shared" si="122"/>
        <v>0</v>
      </c>
      <c r="K267" s="94">
        <f t="shared" ref="K267:K268" si="123">K268</f>
        <v>0</v>
      </c>
      <c r="L267" s="94">
        <f t="shared" ref="L267:L268" si="124">L268</f>
        <v>0</v>
      </c>
      <c r="M267" s="94">
        <f t="shared" ref="M267:M268" si="125">M268</f>
        <v>0</v>
      </c>
      <c r="N267" s="94">
        <f t="shared" ref="N267:N268" si="126">N268</f>
        <v>0</v>
      </c>
      <c r="O267" s="94">
        <f t="shared" ref="O267:P268" si="127">O268</f>
        <v>0</v>
      </c>
      <c r="P267" s="94">
        <f t="shared" si="127"/>
        <v>6537039</v>
      </c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  <c r="GH267" s="32"/>
      <c r="GI267" s="32"/>
      <c r="GJ267" s="32"/>
      <c r="GK267" s="32"/>
      <c r="GL267" s="32"/>
      <c r="GM267" s="32"/>
      <c r="GN267" s="32"/>
      <c r="GO267" s="32"/>
      <c r="GP267" s="32"/>
      <c r="GQ267" s="32"/>
      <c r="GR267" s="32"/>
      <c r="GS267" s="32"/>
      <c r="GT267" s="32"/>
      <c r="GU267" s="32"/>
      <c r="GV267" s="32"/>
      <c r="GW267" s="32"/>
      <c r="GX267" s="32"/>
      <c r="GY267" s="32"/>
      <c r="GZ267" s="32"/>
      <c r="HA267" s="32"/>
      <c r="HB267" s="32"/>
      <c r="HC267" s="32"/>
      <c r="HD267" s="32"/>
      <c r="HE267" s="32"/>
      <c r="HF267" s="32"/>
      <c r="HG267" s="32"/>
      <c r="HH267" s="32"/>
      <c r="HI267" s="32"/>
      <c r="HJ267" s="32"/>
      <c r="HK267" s="32"/>
      <c r="HL267" s="32"/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2"/>
      <c r="IC267" s="32"/>
      <c r="ID267" s="32"/>
      <c r="IE267" s="32"/>
      <c r="IF267" s="32"/>
      <c r="IG267" s="32"/>
      <c r="IH267" s="32"/>
      <c r="II267" s="32"/>
      <c r="IJ267" s="32"/>
      <c r="IK267" s="32"/>
      <c r="IL267" s="32"/>
      <c r="IM267" s="32"/>
      <c r="IN267" s="32"/>
      <c r="IO267" s="32"/>
      <c r="IP267" s="32"/>
      <c r="IQ267" s="32"/>
      <c r="IR267" s="32"/>
      <c r="IS267" s="32"/>
      <c r="IT267" s="32"/>
      <c r="IU267" s="32"/>
      <c r="IV267" s="32"/>
      <c r="IW267" s="32"/>
      <c r="IX267" s="32"/>
      <c r="IY267" s="32"/>
      <c r="IZ267" s="32"/>
      <c r="JA267" s="32"/>
      <c r="JB267" s="32"/>
      <c r="JC267" s="32"/>
      <c r="JD267" s="32"/>
      <c r="JE267" s="32"/>
      <c r="JF267" s="32"/>
      <c r="JG267" s="32"/>
      <c r="JH267" s="32"/>
      <c r="JI267" s="32"/>
      <c r="JJ267" s="32"/>
      <c r="JK267" s="32"/>
      <c r="JL267" s="32"/>
      <c r="JM267" s="32"/>
      <c r="JN267" s="32"/>
      <c r="JO267" s="32"/>
      <c r="JP267" s="32"/>
      <c r="JQ267" s="32"/>
      <c r="JR267" s="32"/>
      <c r="JS267" s="32"/>
      <c r="JT267" s="32"/>
      <c r="JU267" s="32"/>
      <c r="JV267" s="32"/>
      <c r="JW267" s="32"/>
      <c r="JX267" s="32"/>
      <c r="JY267" s="32"/>
      <c r="JZ267" s="32"/>
      <c r="KA267" s="32"/>
      <c r="KB267" s="32"/>
      <c r="KC267" s="32"/>
      <c r="KD267" s="32"/>
      <c r="KE267" s="32"/>
      <c r="KF267" s="32"/>
      <c r="KG267" s="32"/>
      <c r="KH267" s="32"/>
      <c r="KI267" s="32"/>
      <c r="KJ267" s="32"/>
      <c r="KK267" s="32"/>
      <c r="KL267" s="32"/>
      <c r="KM267" s="32"/>
      <c r="KN267" s="32"/>
      <c r="KO267" s="32"/>
      <c r="KP267" s="32"/>
      <c r="KQ267" s="32"/>
      <c r="KR267" s="32"/>
      <c r="KS267" s="32"/>
      <c r="KT267" s="32"/>
      <c r="KU267" s="32"/>
      <c r="KV267" s="32"/>
      <c r="KW267" s="32"/>
      <c r="KX267" s="32"/>
      <c r="KY267" s="32"/>
      <c r="KZ267" s="32"/>
      <c r="LA267" s="32"/>
      <c r="LB267" s="32"/>
      <c r="LC267" s="32"/>
      <c r="LD267" s="32"/>
      <c r="LE267" s="32"/>
      <c r="LF267" s="32"/>
      <c r="LG267" s="32"/>
      <c r="LH267" s="32"/>
      <c r="LI267" s="32"/>
      <c r="LJ267" s="32"/>
      <c r="LK267" s="32"/>
      <c r="LL267" s="32"/>
      <c r="LM267" s="32"/>
      <c r="LN267" s="32"/>
      <c r="LO267" s="32"/>
      <c r="LP267" s="32"/>
      <c r="LQ267" s="32"/>
      <c r="LR267" s="32"/>
      <c r="LS267" s="32"/>
      <c r="LT267" s="32"/>
      <c r="LU267" s="32"/>
      <c r="LV267" s="32"/>
      <c r="LW267" s="32"/>
      <c r="LX267" s="32"/>
      <c r="LY267" s="32"/>
      <c r="LZ267" s="32"/>
      <c r="MA267" s="32"/>
      <c r="MB267" s="32"/>
      <c r="MC267" s="32"/>
      <c r="MD267" s="32"/>
      <c r="ME267" s="32"/>
      <c r="MF267" s="32"/>
      <c r="MG267" s="32"/>
      <c r="MH267" s="32"/>
      <c r="MI267" s="32"/>
      <c r="MJ267" s="32"/>
      <c r="MK267" s="32"/>
      <c r="ML267" s="32"/>
      <c r="MM267" s="32"/>
      <c r="MN267" s="32"/>
      <c r="MO267" s="32"/>
      <c r="MP267" s="32"/>
      <c r="MQ267" s="32"/>
      <c r="MR267" s="32"/>
      <c r="MS267" s="32"/>
      <c r="MT267" s="32"/>
      <c r="MU267" s="32"/>
      <c r="MV267" s="32"/>
      <c r="MW267" s="32"/>
      <c r="MX267" s="32"/>
      <c r="MY267" s="32"/>
      <c r="MZ267" s="32"/>
      <c r="NA267" s="32"/>
      <c r="NB267" s="32"/>
      <c r="NC267" s="32"/>
      <c r="ND267" s="32"/>
      <c r="NE267" s="32"/>
      <c r="NF267" s="32"/>
      <c r="NG267" s="32"/>
      <c r="NH267" s="32"/>
      <c r="NI267" s="32"/>
      <c r="NJ267" s="32"/>
      <c r="NK267" s="32"/>
      <c r="NL267" s="32"/>
      <c r="NM267" s="32"/>
      <c r="NN267" s="32"/>
      <c r="NO267" s="32"/>
      <c r="NP267" s="32"/>
      <c r="NQ267" s="32"/>
      <c r="NR267" s="32"/>
      <c r="NS267" s="32"/>
      <c r="NT267" s="32"/>
      <c r="NU267" s="32"/>
      <c r="NV267" s="32"/>
      <c r="NW267" s="32"/>
      <c r="NX267" s="32"/>
      <c r="NY267" s="32"/>
      <c r="NZ267" s="32"/>
      <c r="OA267" s="32"/>
      <c r="OB267" s="32"/>
      <c r="OC267" s="32"/>
      <c r="OD267" s="32"/>
      <c r="OE267" s="32"/>
      <c r="OF267" s="32"/>
      <c r="OG267" s="32"/>
      <c r="OH267" s="32"/>
      <c r="OI267" s="32"/>
      <c r="OJ267" s="32"/>
      <c r="OK267" s="32"/>
      <c r="OL267" s="32"/>
      <c r="OM267" s="32"/>
      <c r="ON267" s="32"/>
      <c r="OO267" s="32"/>
      <c r="OP267" s="32"/>
      <c r="OQ267" s="32"/>
      <c r="OR267" s="32"/>
      <c r="OS267" s="32"/>
      <c r="OT267" s="32"/>
      <c r="OU267" s="32"/>
      <c r="OV267" s="32"/>
      <c r="OW267" s="32"/>
      <c r="OX267" s="32"/>
      <c r="OY267" s="32"/>
      <c r="OZ267" s="32"/>
      <c r="PA267" s="32"/>
      <c r="PB267" s="32"/>
      <c r="PC267" s="32"/>
      <c r="PD267" s="32"/>
      <c r="PE267" s="32"/>
      <c r="PF267" s="32"/>
      <c r="PG267" s="32"/>
      <c r="PH267" s="32"/>
      <c r="PI267" s="32"/>
      <c r="PJ267" s="32"/>
      <c r="PK267" s="32"/>
      <c r="PL267" s="32"/>
      <c r="PM267" s="32"/>
      <c r="PN267" s="32"/>
      <c r="PO267" s="32"/>
      <c r="PP267" s="32"/>
      <c r="PQ267" s="32"/>
      <c r="PR267" s="32"/>
      <c r="PS267" s="32"/>
      <c r="PT267" s="32"/>
      <c r="PU267" s="32"/>
      <c r="PV267" s="32"/>
      <c r="PW267" s="32"/>
      <c r="PX267" s="32"/>
      <c r="PY267" s="32"/>
      <c r="PZ267" s="32"/>
      <c r="QA267" s="32"/>
      <c r="QB267" s="32"/>
      <c r="QC267" s="32"/>
      <c r="QD267" s="32"/>
      <c r="QE267" s="32"/>
      <c r="QF267" s="32"/>
      <c r="QG267" s="32"/>
      <c r="QH267" s="32"/>
      <c r="QI267" s="32"/>
      <c r="QJ267" s="32"/>
      <c r="QK267" s="32"/>
      <c r="QL267" s="32"/>
      <c r="QM267" s="32"/>
      <c r="QN267" s="32"/>
      <c r="QO267" s="32"/>
      <c r="QP267" s="32"/>
      <c r="QQ267" s="32"/>
      <c r="QR267" s="32"/>
      <c r="QS267" s="32"/>
      <c r="QT267" s="32"/>
      <c r="QU267" s="32"/>
      <c r="QV267" s="32"/>
      <c r="QW267" s="32"/>
      <c r="QX267" s="32"/>
      <c r="QY267" s="32"/>
      <c r="QZ267" s="32"/>
      <c r="RA267" s="32"/>
      <c r="RB267" s="32"/>
      <c r="RC267" s="32"/>
      <c r="RD267" s="32"/>
      <c r="RE267" s="32"/>
      <c r="RF267" s="32"/>
      <c r="RG267" s="32"/>
      <c r="RH267" s="32"/>
      <c r="RI267" s="32"/>
      <c r="RJ267" s="32"/>
      <c r="RK267" s="32"/>
      <c r="RL267" s="32"/>
      <c r="RM267" s="32"/>
      <c r="RN267" s="32"/>
      <c r="RO267" s="32"/>
      <c r="RP267" s="32"/>
      <c r="RQ267" s="32"/>
      <c r="RR267" s="32"/>
      <c r="RS267" s="32"/>
      <c r="RT267" s="32"/>
      <c r="RU267" s="32"/>
      <c r="RV267" s="32"/>
      <c r="RW267" s="32"/>
      <c r="RX267" s="32"/>
      <c r="RY267" s="32"/>
      <c r="RZ267" s="32"/>
      <c r="SA267" s="32"/>
      <c r="SB267" s="32"/>
      <c r="SC267" s="32"/>
      <c r="SD267" s="32"/>
      <c r="SE267" s="32"/>
      <c r="SF267" s="32"/>
      <c r="SG267" s="32"/>
      <c r="SH267" s="32"/>
      <c r="SI267" s="32"/>
      <c r="SJ267" s="32"/>
      <c r="SK267" s="32"/>
      <c r="SL267" s="32"/>
      <c r="SM267" s="32"/>
      <c r="SN267" s="32"/>
      <c r="SO267" s="32"/>
      <c r="SP267" s="32"/>
      <c r="SQ267" s="32"/>
      <c r="SR267" s="32"/>
      <c r="SS267" s="32"/>
      <c r="ST267" s="32"/>
      <c r="SU267" s="32"/>
      <c r="SV267" s="32"/>
      <c r="SW267" s="32"/>
      <c r="SX267" s="32"/>
      <c r="SY267" s="32"/>
      <c r="SZ267" s="32"/>
      <c r="TA267" s="32"/>
      <c r="TB267" s="32"/>
      <c r="TC267" s="32"/>
      <c r="TD267" s="32"/>
      <c r="TE267" s="32"/>
      <c r="TF267" s="32"/>
      <c r="TG267" s="32"/>
    </row>
    <row r="268" spans="1:527" s="34" customFormat="1" ht="36.75" customHeight="1" x14ac:dyDescent="0.25">
      <c r="A268" s="95" t="s">
        <v>118</v>
      </c>
      <c r="B268" s="108"/>
      <c r="C268" s="108"/>
      <c r="D268" s="76" t="s">
        <v>34</v>
      </c>
      <c r="E268" s="97">
        <f>E269</f>
        <v>6537039</v>
      </c>
      <c r="F268" s="97">
        <f t="shared" si="122"/>
        <v>6537039</v>
      </c>
      <c r="G268" s="97">
        <f t="shared" si="122"/>
        <v>5070500</v>
      </c>
      <c r="H268" s="97">
        <f t="shared" si="122"/>
        <v>120439</v>
      </c>
      <c r="I268" s="97">
        <f t="shared" si="122"/>
        <v>0</v>
      </c>
      <c r="J268" s="97">
        <f t="shared" si="122"/>
        <v>0</v>
      </c>
      <c r="K268" s="97">
        <f t="shared" si="123"/>
        <v>0</v>
      </c>
      <c r="L268" s="97">
        <f t="shared" si="124"/>
        <v>0</v>
      </c>
      <c r="M268" s="97">
        <f t="shared" si="125"/>
        <v>0</v>
      </c>
      <c r="N268" s="97">
        <f t="shared" si="126"/>
        <v>0</v>
      </c>
      <c r="O268" s="97">
        <f t="shared" si="127"/>
        <v>0</v>
      </c>
      <c r="P268" s="97">
        <f t="shared" si="127"/>
        <v>6537039</v>
      </c>
      <c r="Q268" s="33"/>
      <c r="R268" s="32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  <c r="IT268" s="33"/>
      <c r="IU268" s="33"/>
      <c r="IV268" s="33"/>
      <c r="IW268" s="33"/>
      <c r="IX268" s="33"/>
      <c r="IY268" s="33"/>
      <c r="IZ268" s="33"/>
      <c r="JA268" s="33"/>
      <c r="JB268" s="33"/>
      <c r="JC268" s="33"/>
      <c r="JD268" s="33"/>
      <c r="JE268" s="33"/>
      <c r="JF268" s="33"/>
      <c r="JG268" s="33"/>
      <c r="JH268" s="33"/>
      <c r="JI268" s="33"/>
      <c r="JJ268" s="33"/>
      <c r="JK268" s="33"/>
      <c r="JL268" s="33"/>
      <c r="JM268" s="33"/>
      <c r="JN268" s="33"/>
      <c r="JO268" s="33"/>
      <c r="JP268" s="33"/>
      <c r="JQ268" s="33"/>
      <c r="JR268" s="33"/>
      <c r="JS268" s="33"/>
      <c r="JT268" s="33"/>
      <c r="JU268" s="33"/>
      <c r="JV268" s="33"/>
      <c r="JW268" s="33"/>
      <c r="JX268" s="33"/>
      <c r="JY268" s="33"/>
      <c r="JZ268" s="33"/>
      <c r="KA268" s="33"/>
      <c r="KB268" s="33"/>
      <c r="KC268" s="33"/>
      <c r="KD268" s="33"/>
      <c r="KE268" s="33"/>
      <c r="KF268" s="33"/>
      <c r="KG268" s="33"/>
      <c r="KH268" s="33"/>
      <c r="KI268" s="33"/>
      <c r="KJ268" s="33"/>
      <c r="KK268" s="33"/>
      <c r="KL268" s="33"/>
      <c r="KM268" s="33"/>
      <c r="KN268" s="33"/>
      <c r="KO268" s="33"/>
      <c r="KP268" s="33"/>
      <c r="KQ268" s="33"/>
      <c r="KR268" s="33"/>
      <c r="KS268" s="33"/>
      <c r="KT268" s="33"/>
      <c r="KU268" s="33"/>
      <c r="KV268" s="33"/>
      <c r="KW268" s="33"/>
      <c r="KX268" s="33"/>
      <c r="KY268" s="33"/>
      <c r="KZ268" s="33"/>
      <c r="LA268" s="33"/>
      <c r="LB268" s="33"/>
      <c r="LC268" s="33"/>
      <c r="LD268" s="33"/>
      <c r="LE268" s="33"/>
      <c r="LF268" s="33"/>
      <c r="LG268" s="33"/>
      <c r="LH268" s="33"/>
      <c r="LI268" s="33"/>
      <c r="LJ268" s="33"/>
      <c r="LK268" s="33"/>
      <c r="LL268" s="33"/>
      <c r="LM268" s="33"/>
      <c r="LN268" s="33"/>
      <c r="LO268" s="33"/>
      <c r="LP268" s="33"/>
      <c r="LQ268" s="33"/>
      <c r="LR268" s="33"/>
      <c r="LS268" s="33"/>
      <c r="LT268" s="33"/>
      <c r="LU268" s="33"/>
      <c r="LV268" s="33"/>
      <c r="LW268" s="33"/>
      <c r="LX268" s="33"/>
      <c r="LY268" s="33"/>
      <c r="LZ268" s="33"/>
      <c r="MA268" s="33"/>
      <c r="MB268" s="33"/>
      <c r="MC268" s="33"/>
      <c r="MD268" s="33"/>
      <c r="ME268" s="33"/>
      <c r="MF268" s="33"/>
      <c r="MG268" s="33"/>
      <c r="MH268" s="33"/>
      <c r="MI268" s="33"/>
      <c r="MJ268" s="33"/>
      <c r="MK268" s="33"/>
      <c r="ML268" s="33"/>
      <c r="MM268" s="33"/>
      <c r="MN268" s="33"/>
      <c r="MO268" s="33"/>
      <c r="MP268" s="33"/>
      <c r="MQ268" s="33"/>
      <c r="MR268" s="33"/>
      <c r="MS268" s="33"/>
      <c r="MT268" s="33"/>
      <c r="MU268" s="33"/>
      <c r="MV268" s="33"/>
      <c r="MW268" s="33"/>
      <c r="MX268" s="33"/>
      <c r="MY268" s="33"/>
      <c r="MZ268" s="33"/>
      <c r="NA268" s="33"/>
      <c r="NB268" s="33"/>
      <c r="NC268" s="33"/>
      <c r="ND268" s="33"/>
      <c r="NE268" s="33"/>
      <c r="NF268" s="33"/>
      <c r="NG268" s="33"/>
      <c r="NH268" s="33"/>
      <c r="NI268" s="33"/>
      <c r="NJ268" s="33"/>
      <c r="NK268" s="33"/>
      <c r="NL268" s="33"/>
      <c r="NM268" s="33"/>
      <c r="NN268" s="33"/>
      <c r="NO268" s="33"/>
      <c r="NP268" s="33"/>
      <c r="NQ268" s="33"/>
      <c r="NR268" s="33"/>
      <c r="NS268" s="33"/>
      <c r="NT268" s="33"/>
      <c r="NU268" s="33"/>
      <c r="NV268" s="33"/>
      <c r="NW268" s="33"/>
      <c r="NX268" s="33"/>
      <c r="NY268" s="33"/>
      <c r="NZ268" s="33"/>
      <c r="OA268" s="33"/>
      <c r="OB268" s="33"/>
      <c r="OC268" s="33"/>
      <c r="OD268" s="33"/>
      <c r="OE268" s="33"/>
      <c r="OF268" s="33"/>
      <c r="OG268" s="33"/>
      <c r="OH268" s="33"/>
      <c r="OI268" s="33"/>
      <c r="OJ268" s="33"/>
      <c r="OK268" s="33"/>
      <c r="OL268" s="33"/>
      <c r="OM268" s="33"/>
      <c r="ON268" s="33"/>
      <c r="OO268" s="33"/>
      <c r="OP268" s="33"/>
      <c r="OQ268" s="33"/>
      <c r="OR268" s="33"/>
      <c r="OS268" s="33"/>
      <c r="OT268" s="33"/>
      <c r="OU268" s="33"/>
      <c r="OV268" s="33"/>
      <c r="OW268" s="33"/>
      <c r="OX268" s="33"/>
      <c r="OY268" s="33"/>
      <c r="OZ268" s="33"/>
      <c r="PA268" s="33"/>
      <c r="PB268" s="33"/>
      <c r="PC268" s="33"/>
      <c r="PD268" s="33"/>
      <c r="PE268" s="33"/>
      <c r="PF268" s="33"/>
      <c r="PG268" s="33"/>
      <c r="PH268" s="33"/>
      <c r="PI268" s="33"/>
      <c r="PJ268" s="33"/>
      <c r="PK268" s="33"/>
      <c r="PL268" s="33"/>
      <c r="PM268" s="33"/>
      <c r="PN268" s="33"/>
      <c r="PO268" s="33"/>
      <c r="PP268" s="33"/>
      <c r="PQ268" s="33"/>
      <c r="PR268" s="33"/>
      <c r="PS268" s="33"/>
      <c r="PT268" s="33"/>
      <c r="PU268" s="33"/>
      <c r="PV268" s="33"/>
      <c r="PW268" s="33"/>
      <c r="PX268" s="33"/>
      <c r="PY268" s="33"/>
      <c r="PZ268" s="33"/>
      <c r="QA268" s="33"/>
      <c r="QB268" s="33"/>
      <c r="QC268" s="33"/>
      <c r="QD268" s="33"/>
      <c r="QE268" s="33"/>
      <c r="QF268" s="33"/>
      <c r="QG268" s="33"/>
      <c r="QH268" s="33"/>
      <c r="QI268" s="33"/>
      <c r="QJ268" s="33"/>
      <c r="QK268" s="33"/>
      <c r="QL268" s="33"/>
      <c r="QM268" s="33"/>
      <c r="QN268" s="33"/>
      <c r="QO268" s="33"/>
      <c r="QP268" s="33"/>
      <c r="QQ268" s="33"/>
      <c r="QR268" s="33"/>
      <c r="QS268" s="33"/>
      <c r="QT268" s="33"/>
      <c r="QU268" s="33"/>
      <c r="QV268" s="33"/>
      <c r="QW268" s="33"/>
      <c r="QX268" s="33"/>
      <c r="QY268" s="33"/>
      <c r="QZ268" s="33"/>
      <c r="RA268" s="33"/>
      <c r="RB268" s="33"/>
      <c r="RC268" s="33"/>
      <c r="RD268" s="33"/>
      <c r="RE268" s="33"/>
      <c r="RF268" s="33"/>
      <c r="RG268" s="33"/>
      <c r="RH268" s="33"/>
      <c r="RI268" s="33"/>
      <c r="RJ268" s="33"/>
      <c r="RK268" s="33"/>
      <c r="RL268" s="33"/>
      <c r="RM268" s="33"/>
      <c r="RN268" s="33"/>
      <c r="RO268" s="33"/>
      <c r="RP268" s="33"/>
      <c r="RQ268" s="33"/>
      <c r="RR268" s="33"/>
      <c r="RS268" s="33"/>
      <c r="RT268" s="33"/>
      <c r="RU268" s="33"/>
      <c r="RV268" s="33"/>
      <c r="RW268" s="33"/>
      <c r="RX268" s="33"/>
      <c r="RY268" s="33"/>
      <c r="RZ268" s="33"/>
      <c r="SA268" s="33"/>
      <c r="SB268" s="33"/>
      <c r="SC268" s="33"/>
      <c r="SD268" s="33"/>
      <c r="SE268" s="33"/>
      <c r="SF268" s="33"/>
      <c r="SG268" s="33"/>
      <c r="SH268" s="33"/>
      <c r="SI268" s="33"/>
      <c r="SJ268" s="33"/>
      <c r="SK268" s="33"/>
      <c r="SL268" s="33"/>
      <c r="SM268" s="33"/>
      <c r="SN268" s="33"/>
      <c r="SO268" s="33"/>
      <c r="SP268" s="33"/>
      <c r="SQ268" s="33"/>
      <c r="SR268" s="33"/>
      <c r="SS268" s="33"/>
      <c r="ST268" s="33"/>
      <c r="SU268" s="33"/>
      <c r="SV268" s="33"/>
      <c r="SW268" s="33"/>
      <c r="SX268" s="33"/>
      <c r="SY268" s="33"/>
      <c r="SZ268" s="33"/>
      <c r="TA268" s="33"/>
      <c r="TB268" s="33"/>
      <c r="TC268" s="33"/>
      <c r="TD268" s="33"/>
      <c r="TE268" s="33"/>
      <c r="TF268" s="33"/>
      <c r="TG268" s="33"/>
    </row>
    <row r="269" spans="1:527" s="22" customFormat="1" ht="47.25" x14ac:dyDescent="0.25">
      <c r="A269" s="59" t="s">
        <v>0</v>
      </c>
      <c r="B269" s="92" t="str">
        <f>'дод 7'!A19</f>
        <v>0160</v>
      </c>
      <c r="C269" s="92" t="str">
        <f>'дод 7'!B19</f>
        <v>0111</v>
      </c>
      <c r="D269" s="36" t="s">
        <v>493</v>
      </c>
      <c r="E269" s="98">
        <f>F269+I269</f>
        <v>6537039</v>
      </c>
      <c r="F269" s="98">
        <f>6378200+8000+26619+111020+13200</f>
        <v>6537039</v>
      </c>
      <c r="G269" s="98">
        <f>5019800+91000-40300</f>
        <v>5070500</v>
      </c>
      <c r="H269" s="98">
        <f>75700+26619+13200+4920</f>
        <v>120439</v>
      </c>
      <c r="I269" s="98"/>
      <c r="J269" s="98">
        <f>L269+O269</f>
        <v>0</v>
      </c>
      <c r="K269" s="98">
        <f>8000-8000</f>
        <v>0</v>
      </c>
      <c r="L269" s="98"/>
      <c r="M269" s="98"/>
      <c r="N269" s="98"/>
      <c r="O269" s="98">
        <f>8000-8000</f>
        <v>0</v>
      </c>
      <c r="P269" s="98">
        <f>E269+J269</f>
        <v>6537039</v>
      </c>
      <c r="Q269" s="23"/>
      <c r="R269" s="32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</row>
    <row r="270" spans="1:527" s="27" customFormat="1" ht="52.5" customHeight="1" x14ac:dyDescent="0.25">
      <c r="A270" s="109" t="s">
        <v>28</v>
      </c>
      <c r="B270" s="111"/>
      <c r="C270" s="111"/>
      <c r="D270" s="106" t="s">
        <v>33</v>
      </c>
      <c r="E270" s="94">
        <f>E271</f>
        <v>3721421.1500000004</v>
      </c>
      <c r="F270" s="94">
        <f t="shared" ref="F270:J270" si="128">F271</f>
        <v>3721421.1500000004</v>
      </c>
      <c r="G270" s="94">
        <f t="shared" si="128"/>
        <v>2559400</v>
      </c>
      <c r="H270" s="94">
        <f t="shared" si="128"/>
        <v>0</v>
      </c>
      <c r="I270" s="94">
        <f t="shared" si="128"/>
        <v>0</v>
      </c>
      <c r="J270" s="94">
        <f t="shared" si="128"/>
        <v>285199104.5</v>
      </c>
      <c r="K270" s="94">
        <f t="shared" ref="K270" si="129">K271</f>
        <v>271753821.85000002</v>
      </c>
      <c r="L270" s="94">
        <f t="shared" ref="L270" si="130">L271</f>
        <v>1900000</v>
      </c>
      <c r="M270" s="94">
        <f t="shared" ref="M270" si="131">M271</f>
        <v>1332000</v>
      </c>
      <c r="N270" s="94">
        <f t="shared" ref="N270" si="132">N271</f>
        <v>71500</v>
      </c>
      <c r="O270" s="94">
        <f t="shared" ref="O270:P270" si="133">O271</f>
        <v>283299104.5</v>
      </c>
      <c r="P270" s="94">
        <f t="shared" si="133"/>
        <v>288920525.64999998</v>
      </c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  <c r="FK270" s="32"/>
      <c r="FL270" s="32"/>
      <c r="FM270" s="32"/>
      <c r="FN270" s="32"/>
      <c r="FO270" s="32"/>
      <c r="FP270" s="32"/>
      <c r="FQ270" s="32"/>
      <c r="FR270" s="32"/>
      <c r="FS270" s="32"/>
      <c r="FT270" s="32"/>
      <c r="FU270" s="32"/>
      <c r="FV270" s="32"/>
      <c r="FW270" s="32"/>
      <c r="FX270" s="32"/>
      <c r="FY270" s="32"/>
      <c r="FZ270" s="32"/>
      <c r="GA270" s="32"/>
      <c r="GB270" s="32"/>
      <c r="GC270" s="32"/>
      <c r="GD270" s="32"/>
      <c r="GE270" s="32"/>
      <c r="GF270" s="32"/>
      <c r="GG270" s="32"/>
      <c r="GH270" s="32"/>
      <c r="GI270" s="32"/>
      <c r="GJ270" s="32"/>
      <c r="GK270" s="32"/>
      <c r="GL270" s="32"/>
      <c r="GM270" s="32"/>
      <c r="GN270" s="32"/>
      <c r="GO270" s="32"/>
      <c r="GP270" s="32"/>
      <c r="GQ270" s="32"/>
      <c r="GR270" s="32"/>
      <c r="GS270" s="32"/>
      <c r="GT270" s="32"/>
      <c r="GU270" s="32"/>
      <c r="GV270" s="32"/>
      <c r="GW270" s="32"/>
      <c r="GX270" s="32"/>
      <c r="GY270" s="32"/>
      <c r="GZ270" s="32"/>
      <c r="HA270" s="32"/>
      <c r="HB270" s="32"/>
      <c r="HC270" s="32"/>
      <c r="HD270" s="32"/>
      <c r="HE270" s="32"/>
      <c r="HF270" s="32"/>
      <c r="HG270" s="32"/>
      <c r="HH270" s="32"/>
      <c r="HI270" s="32"/>
      <c r="HJ270" s="32"/>
      <c r="HK270" s="32"/>
      <c r="HL270" s="32"/>
      <c r="HM270" s="32"/>
      <c r="HN270" s="32"/>
      <c r="HO270" s="32"/>
      <c r="HP270" s="32"/>
      <c r="HQ270" s="32"/>
      <c r="HR270" s="32"/>
      <c r="HS270" s="32"/>
      <c r="HT270" s="32"/>
      <c r="HU270" s="32"/>
      <c r="HV270" s="32"/>
      <c r="HW270" s="32"/>
      <c r="HX270" s="32"/>
      <c r="HY270" s="32"/>
      <c r="HZ270" s="32"/>
      <c r="IA270" s="32"/>
      <c r="IB270" s="32"/>
      <c r="IC270" s="32"/>
      <c r="ID270" s="32"/>
      <c r="IE270" s="32"/>
      <c r="IF270" s="32"/>
      <c r="IG270" s="32"/>
      <c r="IH270" s="32"/>
      <c r="II270" s="32"/>
      <c r="IJ270" s="32"/>
      <c r="IK270" s="32"/>
      <c r="IL270" s="32"/>
      <c r="IM270" s="32"/>
      <c r="IN270" s="32"/>
      <c r="IO270" s="32"/>
      <c r="IP270" s="32"/>
      <c r="IQ270" s="32"/>
      <c r="IR270" s="32"/>
      <c r="IS270" s="32"/>
      <c r="IT270" s="32"/>
      <c r="IU270" s="32"/>
      <c r="IV270" s="32"/>
      <c r="IW270" s="32"/>
      <c r="IX270" s="32"/>
      <c r="IY270" s="32"/>
      <c r="IZ270" s="32"/>
      <c r="JA270" s="32"/>
      <c r="JB270" s="32"/>
      <c r="JC270" s="32"/>
      <c r="JD270" s="32"/>
      <c r="JE270" s="32"/>
      <c r="JF270" s="32"/>
      <c r="JG270" s="32"/>
      <c r="JH270" s="32"/>
      <c r="JI270" s="32"/>
      <c r="JJ270" s="32"/>
      <c r="JK270" s="32"/>
      <c r="JL270" s="32"/>
      <c r="JM270" s="32"/>
      <c r="JN270" s="32"/>
      <c r="JO270" s="32"/>
      <c r="JP270" s="32"/>
      <c r="JQ270" s="32"/>
      <c r="JR270" s="32"/>
      <c r="JS270" s="32"/>
      <c r="JT270" s="32"/>
      <c r="JU270" s="32"/>
      <c r="JV270" s="32"/>
      <c r="JW270" s="32"/>
      <c r="JX270" s="32"/>
      <c r="JY270" s="32"/>
      <c r="JZ270" s="32"/>
      <c r="KA270" s="32"/>
      <c r="KB270" s="32"/>
      <c r="KC270" s="32"/>
      <c r="KD270" s="32"/>
      <c r="KE270" s="32"/>
      <c r="KF270" s="32"/>
      <c r="KG270" s="32"/>
      <c r="KH270" s="32"/>
      <c r="KI270" s="32"/>
      <c r="KJ270" s="32"/>
      <c r="KK270" s="32"/>
      <c r="KL270" s="32"/>
      <c r="KM270" s="32"/>
      <c r="KN270" s="32"/>
      <c r="KO270" s="32"/>
      <c r="KP270" s="32"/>
      <c r="KQ270" s="32"/>
      <c r="KR270" s="32"/>
      <c r="KS270" s="32"/>
      <c r="KT270" s="32"/>
      <c r="KU270" s="32"/>
      <c r="KV270" s="32"/>
      <c r="KW270" s="32"/>
      <c r="KX270" s="32"/>
      <c r="KY270" s="32"/>
      <c r="KZ270" s="32"/>
      <c r="LA270" s="32"/>
      <c r="LB270" s="32"/>
      <c r="LC270" s="32"/>
      <c r="LD270" s="32"/>
      <c r="LE270" s="32"/>
      <c r="LF270" s="32"/>
      <c r="LG270" s="32"/>
      <c r="LH270" s="32"/>
      <c r="LI270" s="32"/>
      <c r="LJ270" s="32"/>
      <c r="LK270" s="32"/>
      <c r="LL270" s="32"/>
      <c r="LM270" s="32"/>
      <c r="LN270" s="32"/>
      <c r="LO270" s="32"/>
      <c r="LP270" s="32"/>
      <c r="LQ270" s="32"/>
      <c r="LR270" s="32"/>
      <c r="LS270" s="32"/>
      <c r="LT270" s="32"/>
      <c r="LU270" s="32"/>
      <c r="LV270" s="32"/>
      <c r="LW270" s="32"/>
      <c r="LX270" s="32"/>
      <c r="LY270" s="32"/>
      <c r="LZ270" s="32"/>
      <c r="MA270" s="32"/>
      <c r="MB270" s="32"/>
      <c r="MC270" s="32"/>
      <c r="MD270" s="32"/>
      <c r="ME270" s="32"/>
      <c r="MF270" s="32"/>
      <c r="MG270" s="32"/>
      <c r="MH270" s="32"/>
      <c r="MI270" s="32"/>
      <c r="MJ270" s="32"/>
      <c r="MK270" s="32"/>
      <c r="ML270" s="32"/>
      <c r="MM270" s="32"/>
      <c r="MN270" s="32"/>
      <c r="MO270" s="32"/>
      <c r="MP270" s="32"/>
      <c r="MQ270" s="32"/>
      <c r="MR270" s="32"/>
      <c r="MS270" s="32"/>
      <c r="MT270" s="32"/>
      <c r="MU270" s="32"/>
      <c r="MV270" s="32"/>
      <c r="MW270" s="32"/>
      <c r="MX270" s="32"/>
      <c r="MY270" s="32"/>
      <c r="MZ270" s="32"/>
      <c r="NA270" s="32"/>
      <c r="NB270" s="32"/>
      <c r="NC270" s="32"/>
      <c r="ND270" s="32"/>
      <c r="NE270" s="32"/>
      <c r="NF270" s="32"/>
      <c r="NG270" s="32"/>
      <c r="NH270" s="32"/>
      <c r="NI270" s="32"/>
      <c r="NJ270" s="32"/>
      <c r="NK270" s="32"/>
      <c r="NL270" s="32"/>
      <c r="NM270" s="32"/>
      <c r="NN270" s="32"/>
      <c r="NO270" s="32"/>
      <c r="NP270" s="32"/>
      <c r="NQ270" s="32"/>
      <c r="NR270" s="32"/>
      <c r="NS270" s="32"/>
      <c r="NT270" s="32"/>
      <c r="NU270" s="32"/>
      <c r="NV270" s="32"/>
      <c r="NW270" s="32"/>
      <c r="NX270" s="32"/>
      <c r="NY270" s="32"/>
      <c r="NZ270" s="32"/>
      <c r="OA270" s="32"/>
      <c r="OB270" s="32"/>
      <c r="OC270" s="32"/>
      <c r="OD270" s="32"/>
      <c r="OE270" s="32"/>
      <c r="OF270" s="32"/>
      <c r="OG270" s="32"/>
      <c r="OH270" s="32"/>
      <c r="OI270" s="32"/>
      <c r="OJ270" s="32"/>
      <c r="OK270" s="32"/>
      <c r="OL270" s="32"/>
      <c r="OM270" s="32"/>
      <c r="ON270" s="32"/>
      <c r="OO270" s="32"/>
      <c r="OP270" s="32"/>
      <c r="OQ270" s="32"/>
      <c r="OR270" s="32"/>
      <c r="OS270" s="32"/>
      <c r="OT270" s="32"/>
      <c r="OU270" s="32"/>
      <c r="OV270" s="32"/>
      <c r="OW270" s="32"/>
      <c r="OX270" s="32"/>
      <c r="OY270" s="32"/>
      <c r="OZ270" s="32"/>
      <c r="PA270" s="32"/>
      <c r="PB270" s="32"/>
      <c r="PC270" s="32"/>
      <c r="PD270" s="32"/>
      <c r="PE270" s="32"/>
      <c r="PF270" s="32"/>
      <c r="PG270" s="32"/>
      <c r="PH270" s="32"/>
      <c r="PI270" s="32"/>
      <c r="PJ270" s="32"/>
      <c r="PK270" s="32"/>
      <c r="PL270" s="32"/>
      <c r="PM270" s="32"/>
      <c r="PN270" s="32"/>
      <c r="PO270" s="32"/>
      <c r="PP270" s="32"/>
      <c r="PQ270" s="32"/>
      <c r="PR270" s="32"/>
      <c r="PS270" s="32"/>
      <c r="PT270" s="32"/>
      <c r="PU270" s="32"/>
      <c r="PV270" s="32"/>
      <c r="PW270" s="32"/>
      <c r="PX270" s="32"/>
      <c r="PY270" s="32"/>
      <c r="PZ270" s="32"/>
      <c r="QA270" s="32"/>
      <c r="QB270" s="32"/>
      <c r="QC270" s="32"/>
      <c r="QD270" s="32"/>
      <c r="QE270" s="32"/>
      <c r="QF270" s="32"/>
      <c r="QG270" s="32"/>
      <c r="QH270" s="32"/>
      <c r="QI270" s="32"/>
      <c r="QJ270" s="32"/>
      <c r="QK270" s="32"/>
      <c r="QL270" s="32"/>
      <c r="QM270" s="32"/>
      <c r="QN270" s="32"/>
      <c r="QO270" s="32"/>
      <c r="QP270" s="32"/>
      <c r="QQ270" s="32"/>
      <c r="QR270" s="32"/>
      <c r="QS270" s="32"/>
      <c r="QT270" s="32"/>
      <c r="QU270" s="32"/>
      <c r="QV270" s="32"/>
      <c r="QW270" s="32"/>
      <c r="QX270" s="32"/>
      <c r="QY270" s="32"/>
      <c r="QZ270" s="32"/>
      <c r="RA270" s="32"/>
      <c r="RB270" s="32"/>
      <c r="RC270" s="32"/>
      <c r="RD270" s="32"/>
      <c r="RE270" s="32"/>
      <c r="RF270" s="32"/>
      <c r="RG270" s="32"/>
      <c r="RH270" s="32"/>
      <c r="RI270" s="32"/>
      <c r="RJ270" s="32"/>
      <c r="RK270" s="32"/>
      <c r="RL270" s="32"/>
      <c r="RM270" s="32"/>
      <c r="RN270" s="32"/>
      <c r="RO270" s="32"/>
      <c r="RP270" s="32"/>
      <c r="RQ270" s="32"/>
      <c r="RR270" s="32"/>
      <c r="RS270" s="32"/>
      <c r="RT270" s="32"/>
      <c r="RU270" s="32"/>
      <c r="RV270" s="32"/>
      <c r="RW270" s="32"/>
      <c r="RX270" s="32"/>
      <c r="RY270" s="32"/>
      <c r="RZ270" s="32"/>
      <c r="SA270" s="32"/>
      <c r="SB270" s="32"/>
      <c r="SC270" s="32"/>
      <c r="SD270" s="32"/>
      <c r="SE270" s="32"/>
      <c r="SF270" s="32"/>
      <c r="SG270" s="32"/>
      <c r="SH270" s="32"/>
      <c r="SI270" s="32"/>
      <c r="SJ270" s="32"/>
      <c r="SK270" s="32"/>
      <c r="SL270" s="32"/>
      <c r="SM270" s="32"/>
      <c r="SN270" s="32"/>
      <c r="SO270" s="32"/>
      <c r="SP270" s="32"/>
      <c r="SQ270" s="32"/>
      <c r="SR270" s="32"/>
      <c r="SS270" s="32"/>
      <c r="ST270" s="32"/>
      <c r="SU270" s="32"/>
      <c r="SV270" s="32"/>
      <c r="SW270" s="32"/>
      <c r="SX270" s="32"/>
      <c r="SY270" s="32"/>
      <c r="SZ270" s="32"/>
      <c r="TA270" s="32"/>
      <c r="TB270" s="32"/>
      <c r="TC270" s="32"/>
      <c r="TD270" s="32"/>
      <c r="TE270" s="32"/>
      <c r="TF270" s="32"/>
      <c r="TG270" s="32"/>
    </row>
    <row r="271" spans="1:527" s="34" customFormat="1" ht="47.25" x14ac:dyDescent="0.25">
      <c r="A271" s="95" t="s">
        <v>29</v>
      </c>
      <c r="B271" s="108"/>
      <c r="C271" s="108"/>
      <c r="D271" s="76" t="s">
        <v>420</v>
      </c>
      <c r="E271" s="97">
        <f t="shared" ref="E271:P271" si="134">SUM(E274+E275+E276+E277+E278+E279+E280+E282+E283+E284+E285+E287+E288+E281+E290+E291)</f>
        <v>3721421.1500000004</v>
      </c>
      <c r="F271" s="97">
        <f t="shared" si="134"/>
        <v>3721421.1500000004</v>
      </c>
      <c r="G271" s="97">
        <f t="shared" si="134"/>
        <v>2559400</v>
      </c>
      <c r="H271" s="97">
        <f t="shared" si="134"/>
        <v>0</v>
      </c>
      <c r="I271" s="97">
        <f t="shared" si="134"/>
        <v>0</v>
      </c>
      <c r="J271" s="97">
        <f t="shared" si="134"/>
        <v>285199104.5</v>
      </c>
      <c r="K271" s="97">
        <f t="shared" si="134"/>
        <v>271753821.85000002</v>
      </c>
      <c r="L271" s="97">
        <f t="shared" si="134"/>
        <v>1900000</v>
      </c>
      <c r="M271" s="97">
        <f t="shared" si="134"/>
        <v>1332000</v>
      </c>
      <c r="N271" s="97">
        <f t="shared" si="134"/>
        <v>71500</v>
      </c>
      <c r="O271" s="97">
        <f t="shared" si="134"/>
        <v>283299104.5</v>
      </c>
      <c r="P271" s="97">
        <f t="shared" si="134"/>
        <v>288920525.64999998</v>
      </c>
      <c r="Q271" s="33"/>
      <c r="R271" s="32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33"/>
      <c r="HU271" s="33"/>
      <c r="HV271" s="33"/>
      <c r="HW271" s="33"/>
      <c r="HX271" s="33"/>
      <c r="HY271" s="33"/>
      <c r="HZ271" s="33"/>
      <c r="IA271" s="33"/>
      <c r="IB271" s="33"/>
      <c r="IC271" s="33"/>
      <c r="ID271" s="33"/>
      <c r="IE271" s="33"/>
      <c r="IF271" s="33"/>
      <c r="IG271" s="33"/>
      <c r="IH271" s="33"/>
      <c r="II271" s="33"/>
      <c r="IJ271" s="33"/>
      <c r="IK271" s="33"/>
      <c r="IL271" s="33"/>
      <c r="IM271" s="33"/>
      <c r="IN271" s="33"/>
      <c r="IO271" s="33"/>
      <c r="IP271" s="33"/>
      <c r="IQ271" s="33"/>
      <c r="IR271" s="33"/>
      <c r="IS271" s="33"/>
      <c r="IT271" s="33"/>
      <c r="IU271" s="33"/>
      <c r="IV271" s="33"/>
      <c r="IW271" s="33"/>
      <c r="IX271" s="33"/>
      <c r="IY271" s="33"/>
      <c r="IZ271" s="33"/>
      <c r="JA271" s="33"/>
      <c r="JB271" s="33"/>
      <c r="JC271" s="33"/>
      <c r="JD271" s="33"/>
      <c r="JE271" s="33"/>
      <c r="JF271" s="33"/>
      <c r="JG271" s="33"/>
      <c r="JH271" s="33"/>
      <c r="JI271" s="33"/>
      <c r="JJ271" s="33"/>
      <c r="JK271" s="33"/>
      <c r="JL271" s="33"/>
      <c r="JM271" s="33"/>
      <c r="JN271" s="33"/>
      <c r="JO271" s="33"/>
      <c r="JP271" s="33"/>
      <c r="JQ271" s="33"/>
      <c r="JR271" s="33"/>
      <c r="JS271" s="33"/>
      <c r="JT271" s="33"/>
      <c r="JU271" s="33"/>
      <c r="JV271" s="33"/>
      <c r="JW271" s="33"/>
      <c r="JX271" s="33"/>
      <c r="JY271" s="33"/>
      <c r="JZ271" s="33"/>
      <c r="KA271" s="33"/>
      <c r="KB271" s="33"/>
      <c r="KC271" s="33"/>
      <c r="KD271" s="33"/>
      <c r="KE271" s="33"/>
      <c r="KF271" s="33"/>
      <c r="KG271" s="33"/>
      <c r="KH271" s="33"/>
      <c r="KI271" s="33"/>
      <c r="KJ271" s="33"/>
      <c r="KK271" s="33"/>
      <c r="KL271" s="33"/>
      <c r="KM271" s="33"/>
      <c r="KN271" s="33"/>
      <c r="KO271" s="33"/>
      <c r="KP271" s="33"/>
      <c r="KQ271" s="33"/>
      <c r="KR271" s="33"/>
      <c r="KS271" s="33"/>
      <c r="KT271" s="33"/>
      <c r="KU271" s="33"/>
      <c r="KV271" s="33"/>
      <c r="KW271" s="33"/>
      <c r="KX271" s="33"/>
      <c r="KY271" s="33"/>
      <c r="KZ271" s="33"/>
      <c r="LA271" s="33"/>
      <c r="LB271" s="33"/>
      <c r="LC271" s="33"/>
      <c r="LD271" s="33"/>
      <c r="LE271" s="33"/>
      <c r="LF271" s="33"/>
      <c r="LG271" s="33"/>
      <c r="LH271" s="33"/>
      <c r="LI271" s="33"/>
      <c r="LJ271" s="33"/>
      <c r="LK271" s="33"/>
      <c r="LL271" s="33"/>
      <c r="LM271" s="33"/>
      <c r="LN271" s="33"/>
      <c r="LO271" s="33"/>
      <c r="LP271" s="33"/>
      <c r="LQ271" s="33"/>
      <c r="LR271" s="33"/>
      <c r="LS271" s="33"/>
      <c r="LT271" s="33"/>
      <c r="LU271" s="33"/>
      <c r="LV271" s="33"/>
      <c r="LW271" s="33"/>
      <c r="LX271" s="33"/>
      <c r="LY271" s="33"/>
      <c r="LZ271" s="33"/>
      <c r="MA271" s="33"/>
      <c r="MB271" s="33"/>
      <c r="MC271" s="33"/>
      <c r="MD271" s="33"/>
      <c r="ME271" s="33"/>
      <c r="MF271" s="33"/>
      <c r="MG271" s="33"/>
      <c r="MH271" s="33"/>
      <c r="MI271" s="33"/>
      <c r="MJ271" s="33"/>
      <c r="MK271" s="33"/>
      <c r="ML271" s="33"/>
      <c r="MM271" s="33"/>
      <c r="MN271" s="33"/>
      <c r="MO271" s="33"/>
      <c r="MP271" s="33"/>
      <c r="MQ271" s="33"/>
      <c r="MR271" s="33"/>
      <c r="MS271" s="33"/>
      <c r="MT271" s="33"/>
      <c r="MU271" s="33"/>
      <c r="MV271" s="33"/>
      <c r="MW271" s="33"/>
      <c r="MX271" s="33"/>
      <c r="MY271" s="33"/>
      <c r="MZ271" s="33"/>
      <c r="NA271" s="33"/>
      <c r="NB271" s="33"/>
      <c r="NC271" s="33"/>
      <c r="ND271" s="33"/>
      <c r="NE271" s="33"/>
      <c r="NF271" s="33"/>
      <c r="NG271" s="33"/>
      <c r="NH271" s="33"/>
      <c r="NI271" s="33"/>
      <c r="NJ271" s="33"/>
      <c r="NK271" s="33"/>
      <c r="NL271" s="33"/>
      <c r="NM271" s="33"/>
      <c r="NN271" s="33"/>
      <c r="NO271" s="33"/>
      <c r="NP271" s="33"/>
      <c r="NQ271" s="33"/>
      <c r="NR271" s="33"/>
      <c r="NS271" s="33"/>
      <c r="NT271" s="33"/>
      <c r="NU271" s="33"/>
      <c r="NV271" s="33"/>
      <c r="NW271" s="33"/>
      <c r="NX271" s="33"/>
      <c r="NY271" s="33"/>
      <c r="NZ271" s="33"/>
      <c r="OA271" s="33"/>
      <c r="OB271" s="33"/>
      <c r="OC271" s="33"/>
      <c r="OD271" s="33"/>
      <c r="OE271" s="33"/>
      <c r="OF271" s="33"/>
      <c r="OG271" s="33"/>
      <c r="OH271" s="33"/>
      <c r="OI271" s="33"/>
      <c r="OJ271" s="33"/>
      <c r="OK271" s="33"/>
      <c r="OL271" s="33"/>
      <c r="OM271" s="33"/>
      <c r="ON271" s="33"/>
      <c r="OO271" s="33"/>
      <c r="OP271" s="33"/>
      <c r="OQ271" s="33"/>
      <c r="OR271" s="33"/>
      <c r="OS271" s="33"/>
      <c r="OT271" s="33"/>
      <c r="OU271" s="33"/>
      <c r="OV271" s="33"/>
      <c r="OW271" s="33"/>
      <c r="OX271" s="33"/>
      <c r="OY271" s="33"/>
      <c r="OZ271" s="33"/>
      <c r="PA271" s="33"/>
      <c r="PB271" s="33"/>
      <c r="PC271" s="33"/>
      <c r="PD271" s="33"/>
      <c r="PE271" s="33"/>
      <c r="PF271" s="33"/>
      <c r="PG271" s="33"/>
      <c r="PH271" s="33"/>
      <c r="PI271" s="33"/>
      <c r="PJ271" s="33"/>
      <c r="PK271" s="33"/>
      <c r="PL271" s="33"/>
      <c r="PM271" s="33"/>
      <c r="PN271" s="33"/>
      <c r="PO271" s="33"/>
      <c r="PP271" s="33"/>
      <c r="PQ271" s="33"/>
      <c r="PR271" s="33"/>
      <c r="PS271" s="33"/>
      <c r="PT271" s="33"/>
      <c r="PU271" s="33"/>
      <c r="PV271" s="33"/>
      <c r="PW271" s="33"/>
      <c r="PX271" s="33"/>
      <c r="PY271" s="33"/>
      <c r="PZ271" s="33"/>
      <c r="QA271" s="33"/>
      <c r="QB271" s="33"/>
      <c r="QC271" s="33"/>
      <c r="QD271" s="33"/>
      <c r="QE271" s="33"/>
      <c r="QF271" s="33"/>
      <c r="QG271" s="33"/>
      <c r="QH271" s="33"/>
      <c r="QI271" s="33"/>
      <c r="QJ271" s="33"/>
      <c r="QK271" s="33"/>
      <c r="QL271" s="33"/>
      <c r="QM271" s="33"/>
      <c r="QN271" s="33"/>
      <c r="QO271" s="33"/>
      <c r="QP271" s="33"/>
      <c r="QQ271" s="33"/>
      <c r="QR271" s="33"/>
      <c r="QS271" s="33"/>
      <c r="QT271" s="33"/>
      <c r="QU271" s="33"/>
      <c r="QV271" s="33"/>
      <c r="QW271" s="33"/>
      <c r="QX271" s="33"/>
      <c r="QY271" s="33"/>
      <c r="QZ271" s="33"/>
      <c r="RA271" s="33"/>
      <c r="RB271" s="33"/>
      <c r="RC271" s="33"/>
      <c r="RD271" s="33"/>
      <c r="RE271" s="33"/>
      <c r="RF271" s="33"/>
      <c r="RG271" s="33"/>
      <c r="RH271" s="33"/>
      <c r="RI271" s="33"/>
      <c r="RJ271" s="33"/>
      <c r="RK271" s="33"/>
      <c r="RL271" s="33"/>
      <c r="RM271" s="33"/>
      <c r="RN271" s="33"/>
      <c r="RO271" s="33"/>
      <c r="RP271" s="33"/>
      <c r="RQ271" s="33"/>
      <c r="RR271" s="33"/>
      <c r="RS271" s="33"/>
      <c r="RT271" s="33"/>
      <c r="RU271" s="33"/>
      <c r="RV271" s="33"/>
      <c r="RW271" s="33"/>
      <c r="RX271" s="33"/>
      <c r="RY271" s="33"/>
      <c r="RZ271" s="33"/>
      <c r="SA271" s="33"/>
      <c r="SB271" s="33"/>
      <c r="SC271" s="33"/>
      <c r="SD271" s="33"/>
      <c r="SE271" s="33"/>
      <c r="SF271" s="33"/>
      <c r="SG271" s="33"/>
      <c r="SH271" s="33"/>
      <c r="SI271" s="33"/>
      <c r="SJ271" s="33"/>
      <c r="SK271" s="33"/>
      <c r="SL271" s="33"/>
      <c r="SM271" s="33"/>
      <c r="SN271" s="33"/>
      <c r="SO271" s="33"/>
      <c r="SP271" s="33"/>
      <c r="SQ271" s="33"/>
      <c r="SR271" s="33"/>
      <c r="SS271" s="33"/>
      <c r="ST271" s="33"/>
      <c r="SU271" s="33"/>
      <c r="SV271" s="33"/>
      <c r="SW271" s="33"/>
      <c r="SX271" s="33"/>
      <c r="SY271" s="33"/>
      <c r="SZ271" s="33"/>
      <c r="TA271" s="33"/>
      <c r="TB271" s="33"/>
      <c r="TC271" s="33"/>
      <c r="TD271" s="33"/>
      <c r="TE271" s="33"/>
      <c r="TF271" s="33"/>
      <c r="TG271" s="33"/>
    </row>
    <row r="272" spans="1:527" s="34" customFormat="1" ht="54" customHeight="1" x14ac:dyDescent="0.25">
      <c r="A272" s="95"/>
      <c r="B272" s="108"/>
      <c r="C272" s="108"/>
      <c r="D272" s="76" t="s">
        <v>388</v>
      </c>
      <c r="E272" s="97">
        <f>E286</f>
        <v>0</v>
      </c>
      <c r="F272" s="97">
        <f>F286</f>
        <v>0</v>
      </c>
      <c r="G272" s="97">
        <f t="shared" ref="G272:O272" si="135">G286</f>
        <v>0</v>
      </c>
      <c r="H272" s="97">
        <f t="shared" si="135"/>
        <v>0</v>
      </c>
      <c r="I272" s="97">
        <f t="shared" si="135"/>
        <v>0</v>
      </c>
      <c r="J272" s="97">
        <f>J286</f>
        <v>1200000</v>
      </c>
      <c r="K272" s="97">
        <f t="shared" si="135"/>
        <v>1200000</v>
      </c>
      <c r="L272" s="97">
        <f t="shared" si="135"/>
        <v>0</v>
      </c>
      <c r="M272" s="97">
        <f t="shared" si="135"/>
        <v>0</v>
      </c>
      <c r="N272" s="97">
        <f t="shared" si="135"/>
        <v>0</v>
      </c>
      <c r="O272" s="97">
        <f t="shared" si="135"/>
        <v>1200000</v>
      </c>
      <c r="P272" s="97">
        <f>P286</f>
        <v>1200000</v>
      </c>
      <c r="Q272" s="33"/>
      <c r="R272" s="32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  <c r="IW272" s="33"/>
      <c r="IX272" s="33"/>
      <c r="IY272" s="33"/>
      <c r="IZ272" s="33"/>
      <c r="JA272" s="33"/>
      <c r="JB272" s="33"/>
      <c r="JC272" s="33"/>
      <c r="JD272" s="33"/>
      <c r="JE272" s="33"/>
      <c r="JF272" s="33"/>
      <c r="JG272" s="33"/>
      <c r="JH272" s="33"/>
      <c r="JI272" s="33"/>
      <c r="JJ272" s="33"/>
      <c r="JK272" s="33"/>
      <c r="JL272" s="33"/>
      <c r="JM272" s="33"/>
      <c r="JN272" s="33"/>
      <c r="JO272" s="33"/>
      <c r="JP272" s="33"/>
      <c r="JQ272" s="33"/>
      <c r="JR272" s="33"/>
      <c r="JS272" s="33"/>
      <c r="JT272" s="33"/>
      <c r="JU272" s="33"/>
      <c r="JV272" s="33"/>
      <c r="JW272" s="33"/>
      <c r="JX272" s="33"/>
      <c r="JY272" s="33"/>
      <c r="JZ272" s="33"/>
      <c r="KA272" s="33"/>
      <c r="KB272" s="33"/>
      <c r="KC272" s="33"/>
      <c r="KD272" s="33"/>
      <c r="KE272" s="33"/>
      <c r="KF272" s="33"/>
      <c r="KG272" s="33"/>
      <c r="KH272" s="33"/>
      <c r="KI272" s="33"/>
      <c r="KJ272" s="33"/>
      <c r="KK272" s="33"/>
      <c r="KL272" s="33"/>
      <c r="KM272" s="33"/>
      <c r="KN272" s="33"/>
      <c r="KO272" s="33"/>
      <c r="KP272" s="33"/>
      <c r="KQ272" s="33"/>
      <c r="KR272" s="33"/>
      <c r="KS272" s="33"/>
      <c r="KT272" s="33"/>
      <c r="KU272" s="33"/>
      <c r="KV272" s="33"/>
      <c r="KW272" s="33"/>
      <c r="KX272" s="33"/>
      <c r="KY272" s="33"/>
      <c r="KZ272" s="33"/>
      <c r="LA272" s="33"/>
      <c r="LB272" s="33"/>
      <c r="LC272" s="33"/>
      <c r="LD272" s="33"/>
      <c r="LE272" s="33"/>
      <c r="LF272" s="33"/>
      <c r="LG272" s="33"/>
      <c r="LH272" s="33"/>
      <c r="LI272" s="33"/>
      <c r="LJ272" s="33"/>
      <c r="LK272" s="33"/>
      <c r="LL272" s="33"/>
      <c r="LM272" s="33"/>
      <c r="LN272" s="33"/>
      <c r="LO272" s="33"/>
      <c r="LP272" s="33"/>
      <c r="LQ272" s="33"/>
      <c r="LR272" s="33"/>
      <c r="LS272" s="33"/>
      <c r="LT272" s="33"/>
      <c r="LU272" s="33"/>
      <c r="LV272" s="33"/>
      <c r="LW272" s="33"/>
      <c r="LX272" s="33"/>
      <c r="LY272" s="33"/>
      <c r="LZ272" s="33"/>
      <c r="MA272" s="33"/>
      <c r="MB272" s="33"/>
      <c r="MC272" s="33"/>
      <c r="MD272" s="33"/>
      <c r="ME272" s="33"/>
      <c r="MF272" s="33"/>
      <c r="MG272" s="33"/>
      <c r="MH272" s="33"/>
      <c r="MI272" s="33"/>
      <c r="MJ272" s="33"/>
      <c r="MK272" s="33"/>
      <c r="ML272" s="33"/>
      <c r="MM272" s="33"/>
      <c r="MN272" s="33"/>
      <c r="MO272" s="33"/>
      <c r="MP272" s="33"/>
      <c r="MQ272" s="33"/>
      <c r="MR272" s="33"/>
      <c r="MS272" s="33"/>
      <c r="MT272" s="33"/>
      <c r="MU272" s="33"/>
      <c r="MV272" s="33"/>
      <c r="MW272" s="33"/>
      <c r="MX272" s="33"/>
      <c r="MY272" s="33"/>
      <c r="MZ272" s="33"/>
      <c r="NA272" s="33"/>
      <c r="NB272" s="33"/>
      <c r="NC272" s="33"/>
      <c r="ND272" s="33"/>
      <c r="NE272" s="33"/>
      <c r="NF272" s="33"/>
      <c r="NG272" s="33"/>
      <c r="NH272" s="33"/>
      <c r="NI272" s="33"/>
      <c r="NJ272" s="33"/>
      <c r="NK272" s="33"/>
      <c r="NL272" s="33"/>
      <c r="NM272" s="33"/>
      <c r="NN272" s="33"/>
      <c r="NO272" s="33"/>
      <c r="NP272" s="33"/>
      <c r="NQ272" s="33"/>
      <c r="NR272" s="33"/>
      <c r="NS272" s="33"/>
      <c r="NT272" s="33"/>
      <c r="NU272" s="33"/>
      <c r="NV272" s="33"/>
      <c r="NW272" s="33"/>
      <c r="NX272" s="33"/>
      <c r="NY272" s="33"/>
      <c r="NZ272" s="33"/>
      <c r="OA272" s="33"/>
      <c r="OB272" s="33"/>
      <c r="OC272" s="33"/>
      <c r="OD272" s="33"/>
      <c r="OE272" s="33"/>
      <c r="OF272" s="33"/>
      <c r="OG272" s="33"/>
      <c r="OH272" s="33"/>
      <c r="OI272" s="33"/>
      <c r="OJ272" s="33"/>
      <c r="OK272" s="33"/>
      <c r="OL272" s="33"/>
      <c r="OM272" s="33"/>
      <c r="ON272" s="33"/>
      <c r="OO272" s="33"/>
      <c r="OP272" s="33"/>
      <c r="OQ272" s="33"/>
      <c r="OR272" s="33"/>
      <c r="OS272" s="33"/>
      <c r="OT272" s="33"/>
      <c r="OU272" s="33"/>
      <c r="OV272" s="33"/>
      <c r="OW272" s="33"/>
      <c r="OX272" s="33"/>
      <c r="OY272" s="33"/>
      <c r="OZ272" s="33"/>
      <c r="PA272" s="33"/>
      <c r="PB272" s="33"/>
      <c r="PC272" s="33"/>
      <c r="PD272" s="33"/>
      <c r="PE272" s="33"/>
      <c r="PF272" s="33"/>
      <c r="PG272" s="33"/>
      <c r="PH272" s="33"/>
      <c r="PI272" s="33"/>
      <c r="PJ272" s="33"/>
      <c r="PK272" s="33"/>
      <c r="PL272" s="33"/>
      <c r="PM272" s="33"/>
      <c r="PN272" s="33"/>
      <c r="PO272" s="33"/>
      <c r="PP272" s="33"/>
      <c r="PQ272" s="33"/>
      <c r="PR272" s="33"/>
      <c r="PS272" s="33"/>
      <c r="PT272" s="33"/>
      <c r="PU272" s="33"/>
      <c r="PV272" s="33"/>
      <c r="PW272" s="33"/>
      <c r="PX272" s="33"/>
      <c r="PY272" s="33"/>
      <c r="PZ272" s="33"/>
      <c r="QA272" s="33"/>
      <c r="QB272" s="33"/>
      <c r="QC272" s="33"/>
      <c r="QD272" s="33"/>
      <c r="QE272" s="33"/>
      <c r="QF272" s="33"/>
      <c r="QG272" s="33"/>
      <c r="QH272" s="33"/>
      <c r="QI272" s="33"/>
      <c r="QJ272" s="33"/>
      <c r="QK272" s="33"/>
      <c r="QL272" s="33"/>
      <c r="QM272" s="33"/>
      <c r="QN272" s="33"/>
      <c r="QO272" s="33"/>
      <c r="QP272" s="33"/>
      <c r="QQ272" s="33"/>
      <c r="QR272" s="33"/>
      <c r="QS272" s="33"/>
      <c r="QT272" s="33"/>
      <c r="QU272" s="33"/>
      <c r="QV272" s="33"/>
      <c r="QW272" s="33"/>
      <c r="QX272" s="33"/>
      <c r="QY272" s="33"/>
      <c r="QZ272" s="33"/>
      <c r="RA272" s="33"/>
      <c r="RB272" s="33"/>
      <c r="RC272" s="33"/>
      <c r="RD272" s="33"/>
      <c r="RE272" s="33"/>
      <c r="RF272" s="33"/>
      <c r="RG272" s="33"/>
      <c r="RH272" s="33"/>
      <c r="RI272" s="33"/>
      <c r="RJ272" s="33"/>
      <c r="RK272" s="33"/>
      <c r="RL272" s="33"/>
      <c r="RM272" s="33"/>
      <c r="RN272" s="33"/>
      <c r="RO272" s="33"/>
      <c r="RP272" s="33"/>
      <c r="RQ272" s="33"/>
      <c r="RR272" s="33"/>
      <c r="RS272" s="33"/>
      <c r="RT272" s="33"/>
      <c r="RU272" s="33"/>
      <c r="RV272" s="33"/>
      <c r="RW272" s="33"/>
      <c r="RX272" s="33"/>
      <c r="RY272" s="33"/>
      <c r="RZ272" s="33"/>
      <c r="SA272" s="33"/>
      <c r="SB272" s="33"/>
      <c r="SC272" s="33"/>
      <c r="SD272" s="33"/>
      <c r="SE272" s="33"/>
      <c r="SF272" s="33"/>
      <c r="SG272" s="33"/>
      <c r="SH272" s="33"/>
      <c r="SI272" s="33"/>
      <c r="SJ272" s="33"/>
      <c r="SK272" s="33"/>
      <c r="SL272" s="33"/>
      <c r="SM272" s="33"/>
      <c r="SN272" s="33"/>
      <c r="SO272" s="33"/>
      <c r="SP272" s="33"/>
      <c r="SQ272" s="33"/>
      <c r="SR272" s="33"/>
      <c r="SS272" s="33"/>
      <c r="ST272" s="33"/>
      <c r="SU272" s="33"/>
      <c r="SV272" s="33"/>
      <c r="SW272" s="33"/>
      <c r="SX272" s="33"/>
      <c r="SY272" s="33"/>
      <c r="SZ272" s="33"/>
      <c r="TA272" s="33"/>
      <c r="TB272" s="33"/>
      <c r="TC272" s="33"/>
      <c r="TD272" s="33"/>
      <c r="TE272" s="33"/>
      <c r="TF272" s="33"/>
      <c r="TG272" s="33"/>
    </row>
    <row r="273" spans="1:527" s="34" customFormat="1" ht="17.25" customHeight="1" x14ac:dyDescent="0.25">
      <c r="A273" s="95"/>
      <c r="B273" s="108"/>
      <c r="C273" s="108"/>
      <c r="D273" s="82" t="s">
        <v>419</v>
      </c>
      <c r="E273" s="97">
        <f>E289</f>
        <v>0</v>
      </c>
      <c r="F273" s="97">
        <f t="shared" ref="F273:P273" si="136">F289</f>
        <v>0</v>
      </c>
      <c r="G273" s="97">
        <f t="shared" si="136"/>
        <v>0</v>
      </c>
      <c r="H273" s="97">
        <f t="shared" si="136"/>
        <v>0</v>
      </c>
      <c r="I273" s="97">
        <f t="shared" si="136"/>
        <v>0</v>
      </c>
      <c r="J273" s="97">
        <f t="shared" si="136"/>
        <v>96859595</v>
      </c>
      <c r="K273" s="97">
        <f t="shared" si="136"/>
        <v>96859595</v>
      </c>
      <c r="L273" s="97">
        <f t="shared" si="136"/>
        <v>0</v>
      </c>
      <c r="M273" s="97">
        <f t="shared" si="136"/>
        <v>0</v>
      </c>
      <c r="N273" s="97">
        <f t="shared" si="136"/>
        <v>0</v>
      </c>
      <c r="O273" s="97">
        <f t="shared" si="136"/>
        <v>96859595</v>
      </c>
      <c r="P273" s="97">
        <f t="shared" si="136"/>
        <v>96859595</v>
      </c>
      <c r="Q273" s="33"/>
      <c r="R273" s="32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  <c r="IV273" s="33"/>
      <c r="IW273" s="33"/>
      <c r="IX273" s="33"/>
      <c r="IY273" s="33"/>
      <c r="IZ273" s="33"/>
      <c r="JA273" s="33"/>
      <c r="JB273" s="33"/>
      <c r="JC273" s="33"/>
      <c r="JD273" s="33"/>
      <c r="JE273" s="33"/>
      <c r="JF273" s="33"/>
      <c r="JG273" s="33"/>
      <c r="JH273" s="33"/>
      <c r="JI273" s="33"/>
      <c r="JJ273" s="33"/>
      <c r="JK273" s="33"/>
      <c r="JL273" s="33"/>
      <c r="JM273" s="33"/>
      <c r="JN273" s="33"/>
      <c r="JO273" s="33"/>
      <c r="JP273" s="33"/>
      <c r="JQ273" s="33"/>
      <c r="JR273" s="33"/>
      <c r="JS273" s="33"/>
      <c r="JT273" s="33"/>
      <c r="JU273" s="33"/>
      <c r="JV273" s="33"/>
      <c r="JW273" s="33"/>
      <c r="JX273" s="33"/>
      <c r="JY273" s="33"/>
      <c r="JZ273" s="33"/>
      <c r="KA273" s="33"/>
      <c r="KB273" s="33"/>
      <c r="KC273" s="33"/>
      <c r="KD273" s="33"/>
      <c r="KE273" s="33"/>
      <c r="KF273" s="33"/>
      <c r="KG273" s="33"/>
      <c r="KH273" s="33"/>
      <c r="KI273" s="33"/>
      <c r="KJ273" s="33"/>
      <c r="KK273" s="33"/>
      <c r="KL273" s="33"/>
      <c r="KM273" s="33"/>
      <c r="KN273" s="33"/>
      <c r="KO273" s="33"/>
      <c r="KP273" s="33"/>
      <c r="KQ273" s="33"/>
      <c r="KR273" s="33"/>
      <c r="KS273" s="33"/>
      <c r="KT273" s="33"/>
      <c r="KU273" s="33"/>
      <c r="KV273" s="33"/>
      <c r="KW273" s="33"/>
      <c r="KX273" s="33"/>
      <c r="KY273" s="33"/>
      <c r="KZ273" s="33"/>
      <c r="LA273" s="33"/>
      <c r="LB273" s="33"/>
      <c r="LC273" s="33"/>
      <c r="LD273" s="33"/>
      <c r="LE273" s="33"/>
      <c r="LF273" s="33"/>
      <c r="LG273" s="33"/>
      <c r="LH273" s="33"/>
      <c r="LI273" s="33"/>
      <c r="LJ273" s="33"/>
      <c r="LK273" s="33"/>
      <c r="LL273" s="33"/>
      <c r="LM273" s="33"/>
      <c r="LN273" s="33"/>
      <c r="LO273" s="33"/>
      <c r="LP273" s="33"/>
      <c r="LQ273" s="33"/>
      <c r="LR273" s="33"/>
      <c r="LS273" s="33"/>
      <c r="LT273" s="33"/>
      <c r="LU273" s="33"/>
      <c r="LV273" s="33"/>
      <c r="LW273" s="33"/>
      <c r="LX273" s="33"/>
      <c r="LY273" s="33"/>
      <c r="LZ273" s="33"/>
      <c r="MA273" s="33"/>
      <c r="MB273" s="33"/>
      <c r="MC273" s="33"/>
      <c r="MD273" s="33"/>
      <c r="ME273" s="33"/>
      <c r="MF273" s="33"/>
      <c r="MG273" s="33"/>
      <c r="MH273" s="33"/>
      <c r="MI273" s="33"/>
      <c r="MJ273" s="33"/>
      <c r="MK273" s="33"/>
      <c r="ML273" s="33"/>
      <c r="MM273" s="33"/>
      <c r="MN273" s="33"/>
      <c r="MO273" s="33"/>
      <c r="MP273" s="33"/>
      <c r="MQ273" s="33"/>
      <c r="MR273" s="33"/>
      <c r="MS273" s="33"/>
      <c r="MT273" s="33"/>
      <c r="MU273" s="33"/>
      <c r="MV273" s="33"/>
      <c r="MW273" s="33"/>
      <c r="MX273" s="33"/>
      <c r="MY273" s="33"/>
      <c r="MZ273" s="33"/>
      <c r="NA273" s="33"/>
      <c r="NB273" s="33"/>
      <c r="NC273" s="33"/>
      <c r="ND273" s="33"/>
      <c r="NE273" s="33"/>
      <c r="NF273" s="33"/>
      <c r="NG273" s="33"/>
      <c r="NH273" s="33"/>
      <c r="NI273" s="33"/>
      <c r="NJ273" s="33"/>
      <c r="NK273" s="33"/>
      <c r="NL273" s="33"/>
      <c r="NM273" s="33"/>
      <c r="NN273" s="33"/>
      <c r="NO273" s="33"/>
      <c r="NP273" s="33"/>
      <c r="NQ273" s="33"/>
      <c r="NR273" s="33"/>
      <c r="NS273" s="33"/>
      <c r="NT273" s="33"/>
      <c r="NU273" s="33"/>
      <c r="NV273" s="33"/>
      <c r="NW273" s="33"/>
      <c r="NX273" s="33"/>
      <c r="NY273" s="33"/>
      <c r="NZ273" s="33"/>
      <c r="OA273" s="33"/>
      <c r="OB273" s="33"/>
      <c r="OC273" s="33"/>
      <c r="OD273" s="33"/>
      <c r="OE273" s="33"/>
      <c r="OF273" s="33"/>
      <c r="OG273" s="33"/>
      <c r="OH273" s="33"/>
      <c r="OI273" s="33"/>
      <c r="OJ273" s="33"/>
      <c r="OK273" s="33"/>
      <c r="OL273" s="33"/>
      <c r="OM273" s="33"/>
      <c r="ON273" s="33"/>
      <c r="OO273" s="33"/>
      <c r="OP273" s="33"/>
      <c r="OQ273" s="33"/>
      <c r="OR273" s="33"/>
      <c r="OS273" s="33"/>
      <c r="OT273" s="33"/>
      <c r="OU273" s="33"/>
      <c r="OV273" s="33"/>
      <c r="OW273" s="33"/>
      <c r="OX273" s="33"/>
      <c r="OY273" s="33"/>
      <c r="OZ273" s="33"/>
      <c r="PA273" s="33"/>
      <c r="PB273" s="33"/>
      <c r="PC273" s="33"/>
      <c r="PD273" s="33"/>
      <c r="PE273" s="33"/>
      <c r="PF273" s="33"/>
      <c r="PG273" s="33"/>
      <c r="PH273" s="33"/>
      <c r="PI273" s="33"/>
      <c r="PJ273" s="33"/>
      <c r="PK273" s="33"/>
      <c r="PL273" s="33"/>
      <c r="PM273" s="33"/>
      <c r="PN273" s="33"/>
      <c r="PO273" s="33"/>
      <c r="PP273" s="33"/>
      <c r="PQ273" s="33"/>
      <c r="PR273" s="33"/>
      <c r="PS273" s="33"/>
      <c r="PT273" s="33"/>
      <c r="PU273" s="33"/>
      <c r="PV273" s="33"/>
      <c r="PW273" s="33"/>
      <c r="PX273" s="33"/>
      <c r="PY273" s="33"/>
      <c r="PZ273" s="33"/>
      <c r="QA273" s="33"/>
      <c r="QB273" s="33"/>
      <c r="QC273" s="33"/>
      <c r="QD273" s="33"/>
      <c r="QE273" s="33"/>
      <c r="QF273" s="33"/>
      <c r="QG273" s="33"/>
      <c r="QH273" s="33"/>
      <c r="QI273" s="33"/>
      <c r="QJ273" s="33"/>
      <c r="QK273" s="33"/>
      <c r="QL273" s="33"/>
      <c r="QM273" s="33"/>
      <c r="QN273" s="33"/>
      <c r="QO273" s="33"/>
      <c r="QP273" s="33"/>
      <c r="QQ273" s="33"/>
      <c r="QR273" s="33"/>
      <c r="QS273" s="33"/>
      <c r="QT273" s="33"/>
      <c r="QU273" s="33"/>
      <c r="QV273" s="33"/>
      <c r="QW273" s="33"/>
      <c r="QX273" s="33"/>
      <c r="QY273" s="33"/>
      <c r="QZ273" s="33"/>
      <c r="RA273" s="33"/>
      <c r="RB273" s="33"/>
      <c r="RC273" s="33"/>
      <c r="RD273" s="33"/>
      <c r="RE273" s="33"/>
      <c r="RF273" s="33"/>
      <c r="RG273" s="33"/>
      <c r="RH273" s="33"/>
      <c r="RI273" s="33"/>
      <c r="RJ273" s="33"/>
      <c r="RK273" s="33"/>
      <c r="RL273" s="33"/>
      <c r="RM273" s="33"/>
      <c r="RN273" s="33"/>
      <c r="RO273" s="33"/>
      <c r="RP273" s="33"/>
      <c r="RQ273" s="33"/>
      <c r="RR273" s="33"/>
      <c r="RS273" s="33"/>
      <c r="RT273" s="33"/>
      <c r="RU273" s="33"/>
      <c r="RV273" s="33"/>
      <c r="RW273" s="33"/>
      <c r="RX273" s="33"/>
      <c r="RY273" s="33"/>
      <c r="RZ273" s="33"/>
      <c r="SA273" s="33"/>
      <c r="SB273" s="33"/>
      <c r="SC273" s="33"/>
      <c r="SD273" s="33"/>
      <c r="SE273" s="33"/>
      <c r="SF273" s="33"/>
      <c r="SG273" s="33"/>
      <c r="SH273" s="33"/>
      <c r="SI273" s="33"/>
      <c r="SJ273" s="33"/>
      <c r="SK273" s="33"/>
      <c r="SL273" s="33"/>
      <c r="SM273" s="33"/>
      <c r="SN273" s="33"/>
      <c r="SO273" s="33"/>
      <c r="SP273" s="33"/>
      <c r="SQ273" s="33"/>
      <c r="SR273" s="33"/>
      <c r="SS273" s="33"/>
      <c r="ST273" s="33"/>
      <c r="SU273" s="33"/>
      <c r="SV273" s="33"/>
      <c r="SW273" s="33"/>
      <c r="SX273" s="33"/>
      <c r="SY273" s="33"/>
      <c r="SZ273" s="33"/>
      <c r="TA273" s="33"/>
      <c r="TB273" s="33"/>
      <c r="TC273" s="33"/>
      <c r="TD273" s="33"/>
      <c r="TE273" s="33"/>
      <c r="TF273" s="33"/>
      <c r="TG273" s="33"/>
    </row>
    <row r="274" spans="1:527" s="22" customFormat="1" ht="47.25" x14ac:dyDescent="0.25">
      <c r="A274" s="59" t="s">
        <v>140</v>
      </c>
      <c r="B274" s="92" t="str">
        <f>'дод 7'!A19</f>
        <v>0160</v>
      </c>
      <c r="C274" s="92" t="str">
        <f>'дод 7'!B19</f>
        <v>0111</v>
      </c>
      <c r="D274" s="36" t="s">
        <v>493</v>
      </c>
      <c r="E274" s="98">
        <f t="shared" ref="E274:E290" si="137">F274+I274</f>
        <v>3109000</v>
      </c>
      <c r="F274" s="98">
        <f>3609000-1000000+500000</f>
        <v>3109000</v>
      </c>
      <c r="G274" s="98">
        <f>2958200-812000+413200</f>
        <v>2559400</v>
      </c>
      <c r="H274" s="98"/>
      <c r="I274" s="98"/>
      <c r="J274" s="98">
        <f>L274+O274</f>
        <v>1900000</v>
      </c>
      <c r="K274" s="98"/>
      <c r="L274" s="98">
        <v>1900000</v>
      </c>
      <c r="M274" s="98">
        <v>1332000</v>
      </c>
      <c r="N274" s="98">
        <v>71500</v>
      </c>
      <c r="O274" s="98"/>
      <c r="P274" s="98">
        <f t="shared" ref="P274:P290" si="138">E274+J274</f>
        <v>5009000</v>
      </c>
      <c r="Q274" s="23"/>
      <c r="R274" s="32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  <c r="SQ274" s="23"/>
      <c r="SR274" s="23"/>
      <c r="SS274" s="23"/>
      <c r="ST274" s="23"/>
      <c r="SU274" s="23"/>
      <c r="SV274" s="23"/>
      <c r="SW274" s="23"/>
      <c r="SX274" s="23"/>
      <c r="SY274" s="23"/>
      <c r="SZ274" s="23"/>
      <c r="TA274" s="23"/>
      <c r="TB274" s="23"/>
      <c r="TC274" s="23"/>
      <c r="TD274" s="23"/>
      <c r="TE274" s="23"/>
      <c r="TF274" s="23"/>
      <c r="TG274" s="23"/>
    </row>
    <row r="275" spans="1:527" s="22" customFormat="1" ht="18" customHeight="1" x14ac:dyDescent="0.25">
      <c r="A275" s="59" t="s">
        <v>205</v>
      </c>
      <c r="B275" s="92" t="str">
        <f>'дод 7'!A162</f>
        <v>6030</v>
      </c>
      <c r="C275" s="92" t="str">
        <f>'дод 7'!B162</f>
        <v>0620</v>
      </c>
      <c r="D275" s="60" t="str">
        <f>'дод 7'!C162</f>
        <v>Організація благоустрою населених пунктів</v>
      </c>
      <c r="E275" s="98">
        <f t="shared" si="137"/>
        <v>0</v>
      </c>
      <c r="F275" s="98"/>
      <c r="G275" s="98"/>
      <c r="H275" s="98"/>
      <c r="I275" s="98"/>
      <c r="J275" s="98">
        <f t="shared" ref="J275:J298" si="139">L275+O275</f>
        <v>59717919</v>
      </c>
      <c r="K275" s="98">
        <f>50000000+200000+100000+49000+50000+1764511+50000+381259-3407127+9457485+300000+640000+200763+1200000-1369864+101892</f>
        <v>59717919</v>
      </c>
      <c r="L275" s="98"/>
      <c r="M275" s="98"/>
      <c r="N275" s="98"/>
      <c r="O275" s="98">
        <f>50000000+200000+100000+49000+50000+1764511+50000+381259-3407127+9457485+300000+640000+200763+1200000-1369864+101892</f>
        <v>59717919</v>
      </c>
      <c r="P275" s="98">
        <f t="shared" si="138"/>
        <v>59717919</v>
      </c>
      <c r="Q275" s="23"/>
      <c r="R275" s="32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  <c r="IW275" s="23"/>
      <c r="IX275" s="23"/>
      <c r="IY275" s="23"/>
      <c r="IZ275" s="23"/>
      <c r="JA275" s="23"/>
      <c r="JB275" s="23"/>
      <c r="JC275" s="23"/>
      <c r="JD275" s="23"/>
      <c r="JE275" s="23"/>
      <c r="JF275" s="23"/>
      <c r="JG275" s="23"/>
      <c r="JH275" s="23"/>
      <c r="JI275" s="23"/>
      <c r="JJ275" s="23"/>
      <c r="JK275" s="23"/>
      <c r="JL275" s="23"/>
      <c r="JM275" s="23"/>
      <c r="JN275" s="23"/>
      <c r="JO275" s="23"/>
      <c r="JP275" s="23"/>
      <c r="JQ275" s="23"/>
      <c r="JR275" s="23"/>
      <c r="JS275" s="23"/>
      <c r="JT275" s="23"/>
      <c r="JU275" s="23"/>
      <c r="JV275" s="23"/>
      <c r="JW275" s="23"/>
      <c r="JX275" s="23"/>
      <c r="JY275" s="23"/>
      <c r="JZ275" s="23"/>
      <c r="KA275" s="23"/>
      <c r="KB275" s="23"/>
      <c r="KC275" s="23"/>
      <c r="KD275" s="23"/>
      <c r="KE275" s="23"/>
      <c r="KF275" s="23"/>
      <c r="KG275" s="23"/>
      <c r="KH275" s="23"/>
      <c r="KI275" s="23"/>
      <c r="KJ275" s="23"/>
      <c r="KK275" s="23"/>
      <c r="KL275" s="23"/>
      <c r="KM275" s="23"/>
      <c r="KN275" s="23"/>
      <c r="KO275" s="23"/>
      <c r="KP275" s="23"/>
      <c r="KQ275" s="23"/>
      <c r="KR275" s="23"/>
      <c r="KS275" s="23"/>
      <c r="KT275" s="23"/>
      <c r="KU275" s="23"/>
      <c r="KV275" s="23"/>
      <c r="KW275" s="23"/>
      <c r="KX275" s="23"/>
      <c r="KY275" s="23"/>
      <c r="KZ275" s="23"/>
      <c r="LA275" s="23"/>
      <c r="LB275" s="23"/>
      <c r="LC275" s="23"/>
      <c r="LD275" s="23"/>
      <c r="LE275" s="23"/>
      <c r="LF275" s="23"/>
      <c r="LG275" s="23"/>
      <c r="LH275" s="23"/>
      <c r="LI275" s="23"/>
      <c r="LJ275" s="23"/>
      <c r="LK275" s="23"/>
      <c r="LL275" s="23"/>
      <c r="LM275" s="23"/>
      <c r="LN275" s="23"/>
      <c r="LO275" s="23"/>
      <c r="LP275" s="23"/>
      <c r="LQ275" s="23"/>
      <c r="LR275" s="23"/>
      <c r="LS275" s="23"/>
      <c r="LT275" s="23"/>
      <c r="LU275" s="23"/>
      <c r="LV275" s="23"/>
      <c r="LW275" s="23"/>
      <c r="LX275" s="23"/>
      <c r="LY275" s="23"/>
      <c r="LZ275" s="23"/>
      <c r="MA275" s="23"/>
      <c r="MB275" s="23"/>
      <c r="MC275" s="23"/>
      <c r="MD275" s="23"/>
      <c r="ME275" s="23"/>
      <c r="MF275" s="23"/>
      <c r="MG275" s="23"/>
      <c r="MH275" s="23"/>
      <c r="MI275" s="23"/>
      <c r="MJ275" s="23"/>
      <c r="MK275" s="23"/>
      <c r="ML275" s="23"/>
      <c r="MM275" s="23"/>
      <c r="MN275" s="23"/>
      <c r="MO275" s="23"/>
      <c r="MP275" s="23"/>
      <c r="MQ275" s="23"/>
      <c r="MR275" s="23"/>
      <c r="MS275" s="23"/>
      <c r="MT275" s="23"/>
      <c r="MU275" s="23"/>
      <c r="MV275" s="23"/>
      <c r="MW275" s="23"/>
      <c r="MX275" s="23"/>
      <c r="MY275" s="23"/>
      <c r="MZ275" s="23"/>
      <c r="NA275" s="23"/>
      <c r="NB275" s="23"/>
      <c r="NC275" s="23"/>
      <c r="ND275" s="23"/>
      <c r="NE275" s="23"/>
      <c r="NF275" s="23"/>
      <c r="NG275" s="23"/>
      <c r="NH275" s="23"/>
      <c r="NI275" s="23"/>
      <c r="NJ275" s="23"/>
      <c r="NK275" s="23"/>
      <c r="NL275" s="23"/>
      <c r="NM275" s="23"/>
      <c r="NN275" s="23"/>
      <c r="NO275" s="23"/>
      <c r="NP275" s="23"/>
      <c r="NQ275" s="23"/>
      <c r="NR275" s="23"/>
      <c r="NS275" s="23"/>
      <c r="NT275" s="23"/>
      <c r="NU275" s="23"/>
      <c r="NV275" s="23"/>
      <c r="NW275" s="23"/>
      <c r="NX275" s="23"/>
      <c r="NY275" s="23"/>
      <c r="NZ275" s="23"/>
      <c r="OA275" s="23"/>
      <c r="OB275" s="23"/>
      <c r="OC275" s="23"/>
      <c r="OD275" s="23"/>
      <c r="OE275" s="23"/>
      <c r="OF275" s="23"/>
      <c r="OG275" s="23"/>
      <c r="OH275" s="23"/>
      <c r="OI275" s="23"/>
      <c r="OJ275" s="23"/>
      <c r="OK275" s="23"/>
      <c r="OL275" s="23"/>
      <c r="OM275" s="23"/>
      <c r="ON275" s="23"/>
      <c r="OO275" s="23"/>
      <c r="OP275" s="23"/>
      <c r="OQ275" s="23"/>
      <c r="OR275" s="23"/>
      <c r="OS275" s="23"/>
      <c r="OT275" s="23"/>
      <c r="OU275" s="23"/>
      <c r="OV275" s="23"/>
      <c r="OW275" s="23"/>
      <c r="OX275" s="23"/>
      <c r="OY275" s="23"/>
      <c r="OZ275" s="23"/>
      <c r="PA275" s="23"/>
      <c r="PB275" s="23"/>
      <c r="PC275" s="23"/>
      <c r="PD275" s="23"/>
      <c r="PE275" s="23"/>
      <c r="PF275" s="23"/>
      <c r="PG275" s="23"/>
      <c r="PH275" s="23"/>
      <c r="PI275" s="23"/>
      <c r="PJ275" s="23"/>
      <c r="PK275" s="23"/>
      <c r="PL275" s="23"/>
      <c r="PM275" s="23"/>
      <c r="PN275" s="23"/>
      <c r="PO275" s="23"/>
      <c r="PP275" s="23"/>
      <c r="PQ275" s="23"/>
      <c r="PR275" s="23"/>
      <c r="PS275" s="23"/>
      <c r="PT275" s="23"/>
      <c r="PU275" s="23"/>
      <c r="PV275" s="23"/>
      <c r="PW275" s="23"/>
      <c r="PX275" s="23"/>
      <c r="PY275" s="23"/>
      <c r="PZ275" s="23"/>
      <c r="QA275" s="23"/>
      <c r="QB275" s="23"/>
      <c r="QC275" s="23"/>
      <c r="QD275" s="23"/>
      <c r="QE275" s="23"/>
      <c r="QF275" s="23"/>
      <c r="QG275" s="23"/>
      <c r="QH275" s="23"/>
      <c r="QI275" s="23"/>
      <c r="QJ275" s="23"/>
      <c r="QK275" s="23"/>
      <c r="QL275" s="23"/>
      <c r="QM275" s="23"/>
      <c r="QN275" s="23"/>
      <c r="QO275" s="23"/>
      <c r="QP275" s="23"/>
      <c r="QQ275" s="23"/>
      <c r="QR275" s="23"/>
      <c r="QS275" s="23"/>
      <c r="QT275" s="23"/>
      <c r="QU275" s="23"/>
      <c r="QV275" s="23"/>
      <c r="QW275" s="23"/>
      <c r="QX275" s="23"/>
      <c r="QY275" s="23"/>
      <c r="QZ275" s="23"/>
      <c r="RA275" s="23"/>
      <c r="RB275" s="23"/>
      <c r="RC275" s="23"/>
      <c r="RD275" s="23"/>
      <c r="RE275" s="23"/>
      <c r="RF275" s="23"/>
      <c r="RG275" s="23"/>
      <c r="RH275" s="23"/>
      <c r="RI275" s="23"/>
      <c r="RJ275" s="23"/>
      <c r="RK275" s="23"/>
      <c r="RL275" s="23"/>
      <c r="RM275" s="23"/>
      <c r="RN275" s="23"/>
      <c r="RO275" s="23"/>
      <c r="RP275" s="23"/>
      <c r="RQ275" s="23"/>
      <c r="RR275" s="23"/>
      <c r="RS275" s="23"/>
      <c r="RT275" s="23"/>
      <c r="RU275" s="23"/>
      <c r="RV275" s="23"/>
      <c r="RW275" s="23"/>
      <c r="RX275" s="23"/>
      <c r="RY275" s="23"/>
      <c r="RZ275" s="23"/>
      <c r="SA275" s="23"/>
      <c r="SB275" s="23"/>
      <c r="SC275" s="23"/>
      <c r="SD275" s="23"/>
      <c r="SE275" s="23"/>
      <c r="SF275" s="23"/>
      <c r="SG275" s="23"/>
      <c r="SH275" s="23"/>
      <c r="SI275" s="23"/>
      <c r="SJ275" s="23"/>
      <c r="SK275" s="23"/>
      <c r="SL275" s="23"/>
      <c r="SM275" s="23"/>
      <c r="SN275" s="23"/>
      <c r="SO275" s="23"/>
      <c r="SP275" s="23"/>
      <c r="SQ275" s="23"/>
      <c r="SR275" s="23"/>
      <c r="SS275" s="23"/>
      <c r="ST275" s="23"/>
      <c r="SU275" s="23"/>
      <c r="SV275" s="23"/>
      <c r="SW275" s="23"/>
      <c r="SX275" s="23"/>
      <c r="SY275" s="23"/>
      <c r="SZ275" s="23"/>
      <c r="TA275" s="23"/>
      <c r="TB275" s="23"/>
      <c r="TC275" s="23"/>
      <c r="TD275" s="23"/>
      <c r="TE275" s="23"/>
      <c r="TF275" s="23"/>
      <c r="TG275" s="23"/>
    </row>
    <row r="276" spans="1:527" s="22" customFormat="1" ht="65.25" customHeight="1" x14ac:dyDescent="0.25">
      <c r="A276" s="59" t="s">
        <v>206</v>
      </c>
      <c r="B276" s="92" t="str">
        <f>'дод 7'!A165</f>
        <v>6084</v>
      </c>
      <c r="C276" s="92" t="str">
        <f>'дод 7'!B165</f>
        <v>0610</v>
      </c>
      <c r="D276" s="60" t="s">
        <v>530</v>
      </c>
      <c r="E276" s="98">
        <f t="shared" si="137"/>
        <v>0</v>
      </c>
      <c r="F276" s="98"/>
      <c r="G276" s="98"/>
      <c r="H276" s="98"/>
      <c r="I276" s="98"/>
      <c r="J276" s="98">
        <f t="shared" si="139"/>
        <v>71348.649999999994</v>
      </c>
      <c r="K276" s="98"/>
      <c r="L276" s="112"/>
      <c r="M276" s="98"/>
      <c r="N276" s="98"/>
      <c r="O276" s="98">
        <f>70060+1288.65</f>
        <v>71348.649999999994</v>
      </c>
      <c r="P276" s="98">
        <f t="shared" si="138"/>
        <v>71348.649999999994</v>
      </c>
      <c r="Q276" s="23"/>
      <c r="R276" s="32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  <c r="IW276" s="23"/>
      <c r="IX276" s="23"/>
      <c r="IY276" s="23"/>
      <c r="IZ276" s="23"/>
      <c r="JA276" s="23"/>
      <c r="JB276" s="23"/>
      <c r="JC276" s="23"/>
      <c r="JD276" s="23"/>
      <c r="JE276" s="23"/>
      <c r="JF276" s="23"/>
      <c r="JG276" s="23"/>
      <c r="JH276" s="23"/>
      <c r="JI276" s="23"/>
      <c r="JJ276" s="23"/>
      <c r="JK276" s="23"/>
      <c r="JL276" s="23"/>
      <c r="JM276" s="23"/>
      <c r="JN276" s="23"/>
      <c r="JO276" s="23"/>
      <c r="JP276" s="23"/>
      <c r="JQ276" s="23"/>
      <c r="JR276" s="23"/>
      <c r="JS276" s="23"/>
      <c r="JT276" s="23"/>
      <c r="JU276" s="23"/>
      <c r="JV276" s="23"/>
      <c r="JW276" s="23"/>
      <c r="JX276" s="23"/>
      <c r="JY276" s="23"/>
      <c r="JZ276" s="23"/>
      <c r="KA276" s="23"/>
      <c r="KB276" s="23"/>
      <c r="KC276" s="23"/>
      <c r="KD276" s="23"/>
      <c r="KE276" s="23"/>
      <c r="KF276" s="23"/>
      <c r="KG276" s="23"/>
      <c r="KH276" s="23"/>
      <c r="KI276" s="23"/>
      <c r="KJ276" s="23"/>
      <c r="KK276" s="23"/>
      <c r="KL276" s="23"/>
      <c r="KM276" s="23"/>
      <c r="KN276" s="23"/>
      <c r="KO276" s="23"/>
      <c r="KP276" s="23"/>
      <c r="KQ276" s="23"/>
      <c r="KR276" s="23"/>
      <c r="KS276" s="23"/>
      <c r="KT276" s="23"/>
      <c r="KU276" s="23"/>
      <c r="KV276" s="23"/>
      <c r="KW276" s="23"/>
      <c r="KX276" s="23"/>
      <c r="KY276" s="23"/>
      <c r="KZ276" s="23"/>
      <c r="LA276" s="23"/>
      <c r="LB276" s="23"/>
      <c r="LC276" s="23"/>
      <c r="LD276" s="23"/>
      <c r="LE276" s="23"/>
      <c r="LF276" s="23"/>
      <c r="LG276" s="23"/>
      <c r="LH276" s="23"/>
      <c r="LI276" s="23"/>
      <c r="LJ276" s="23"/>
      <c r="LK276" s="23"/>
      <c r="LL276" s="23"/>
      <c r="LM276" s="23"/>
      <c r="LN276" s="23"/>
      <c r="LO276" s="23"/>
      <c r="LP276" s="23"/>
      <c r="LQ276" s="23"/>
      <c r="LR276" s="23"/>
      <c r="LS276" s="23"/>
      <c r="LT276" s="23"/>
      <c r="LU276" s="23"/>
      <c r="LV276" s="23"/>
      <c r="LW276" s="23"/>
      <c r="LX276" s="23"/>
      <c r="LY276" s="23"/>
      <c r="LZ276" s="23"/>
      <c r="MA276" s="23"/>
      <c r="MB276" s="23"/>
      <c r="MC276" s="23"/>
      <c r="MD276" s="23"/>
      <c r="ME276" s="23"/>
      <c r="MF276" s="23"/>
      <c r="MG276" s="23"/>
      <c r="MH276" s="23"/>
      <c r="MI276" s="23"/>
      <c r="MJ276" s="23"/>
      <c r="MK276" s="23"/>
      <c r="ML276" s="23"/>
      <c r="MM276" s="23"/>
      <c r="MN276" s="23"/>
      <c r="MO276" s="23"/>
      <c r="MP276" s="23"/>
      <c r="MQ276" s="23"/>
      <c r="MR276" s="23"/>
      <c r="MS276" s="23"/>
      <c r="MT276" s="23"/>
      <c r="MU276" s="23"/>
      <c r="MV276" s="23"/>
      <c r="MW276" s="23"/>
      <c r="MX276" s="23"/>
      <c r="MY276" s="23"/>
      <c r="MZ276" s="23"/>
      <c r="NA276" s="23"/>
      <c r="NB276" s="23"/>
      <c r="NC276" s="23"/>
      <c r="ND276" s="23"/>
      <c r="NE276" s="23"/>
      <c r="NF276" s="23"/>
      <c r="NG276" s="23"/>
      <c r="NH276" s="23"/>
      <c r="NI276" s="23"/>
      <c r="NJ276" s="23"/>
      <c r="NK276" s="23"/>
      <c r="NL276" s="23"/>
      <c r="NM276" s="23"/>
      <c r="NN276" s="23"/>
      <c r="NO276" s="23"/>
      <c r="NP276" s="23"/>
      <c r="NQ276" s="23"/>
      <c r="NR276" s="23"/>
      <c r="NS276" s="23"/>
      <c r="NT276" s="23"/>
      <c r="NU276" s="23"/>
      <c r="NV276" s="23"/>
      <c r="NW276" s="23"/>
      <c r="NX276" s="23"/>
      <c r="NY276" s="23"/>
      <c r="NZ276" s="23"/>
      <c r="OA276" s="23"/>
      <c r="OB276" s="23"/>
      <c r="OC276" s="23"/>
      <c r="OD276" s="23"/>
      <c r="OE276" s="23"/>
      <c r="OF276" s="23"/>
      <c r="OG276" s="23"/>
      <c r="OH276" s="23"/>
      <c r="OI276" s="23"/>
      <c r="OJ276" s="23"/>
      <c r="OK276" s="23"/>
      <c r="OL276" s="23"/>
      <c r="OM276" s="23"/>
      <c r="ON276" s="23"/>
      <c r="OO276" s="23"/>
      <c r="OP276" s="23"/>
      <c r="OQ276" s="23"/>
      <c r="OR276" s="23"/>
      <c r="OS276" s="23"/>
      <c r="OT276" s="23"/>
      <c r="OU276" s="23"/>
      <c r="OV276" s="23"/>
      <c r="OW276" s="23"/>
      <c r="OX276" s="23"/>
      <c r="OY276" s="23"/>
      <c r="OZ276" s="23"/>
      <c r="PA276" s="23"/>
      <c r="PB276" s="23"/>
      <c r="PC276" s="23"/>
      <c r="PD276" s="23"/>
      <c r="PE276" s="23"/>
      <c r="PF276" s="23"/>
      <c r="PG276" s="23"/>
      <c r="PH276" s="23"/>
      <c r="PI276" s="23"/>
      <c r="PJ276" s="23"/>
      <c r="PK276" s="23"/>
      <c r="PL276" s="23"/>
      <c r="PM276" s="23"/>
      <c r="PN276" s="23"/>
      <c r="PO276" s="23"/>
      <c r="PP276" s="23"/>
      <c r="PQ276" s="23"/>
      <c r="PR276" s="23"/>
      <c r="PS276" s="23"/>
      <c r="PT276" s="23"/>
      <c r="PU276" s="23"/>
      <c r="PV276" s="23"/>
      <c r="PW276" s="23"/>
      <c r="PX276" s="23"/>
      <c r="PY276" s="23"/>
      <c r="PZ276" s="23"/>
      <c r="QA276" s="23"/>
      <c r="QB276" s="23"/>
      <c r="QC276" s="23"/>
      <c r="QD276" s="23"/>
      <c r="QE276" s="23"/>
      <c r="QF276" s="23"/>
      <c r="QG276" s="23"/>
      <c r="QH276" s="23"/>
      <c r="QI276" s="23"/>
      <c r="QJ276" s="23"/>
      <c r="QK276" s="23"/>
      <c r="QL276" s="23"/>
      <c r="QM276" s="23"/>
      <c r="QN276" s="23"/>
      <c r="QO276" s="23"/>
      <c r="QP276" s="23"/>
      <c r="QQ276" s="23"/>
      <c r="QR276" s="23"/>
      <c r="QS276" s="23"/>
      <c r="QT276" s="23"/>
      <c r="QU276" s="23"/>
      <c r="QV276" s="23"/>
      <c r="QW276" s="23"/>
      <c r="QX276" s="23"/>
      <c r="QY276" s="23"/>
      <c r="QZ276" s="23"/>
      <c r="RA276" s="23"/>
      <c r="RB276" s="23"/>
      <c r="RC276" s="23"/>
      <c r="RD276" s="23"/>
      <c r="RE276" s="23"/>
      <c r="RF276" s="23"/>
      <c r="RG276" s="23"/>
      <c r="RH276" s="23"/>
      <c r="RI276" s="23"/>
      <c r="RJ276" s="23"/>
      <c r="RK276" s="23"/>
      <c r="RL276" s="23"/>
      <c r="RM276" s="23"/>
      <c r="RN276" s="23"/>
      <c r="RO276" s="23"/>
      <c r="RP276" s="23"/>
      <c r="RQ276" s="23"/>
      <c r="RR276" s="23"/>
      <c r="RS276" s="23"/>
      <c r="RT276" s="23"/>
      <c r="RU276" s="23"/>
      <c r="RV276" s="23"/>
      <c r="RW276" s="23"/>
      <c r="RX276" s="23"/>
      <c r="RY276" s="23"/>
      <c r="RZ276" s="23"/>
      <c r="SA276" s="23"/>
      <c r="SB276" s="23"/>
      <c r="SC276" s="23"/>
      <c r="SD276" s="23"/>
      <c r="SE276" s="23"/>
      <c r="SF276" s="23"/>
      <c r="SG276" s="23"/>
      <c r="SH276" s="23"/>
      <c r="SI276" s="23"/>
      <c r="SJ276" s="23"/>
      <c r="SK276" s="23"/>
      <c r="SL276" s="23"/>
      <c r="SM276" s="23"/>
      <c r="SN276" s="23"/>
      <c r="SO276" s="23"/>
      <c r="SP276" s="23"/>
      <c r="SQ276" s="23"/>
      <c r="SR276" s="23"/>
      <c r="SS276" s="23"/>
      <c r="ST276" s="23"/>
      <c r="SU276" s="23"/>
      <c r="SV276" s="23"/>
      <c r="SW276" s="23"/>
      <c r="SX276" s="23"/>
      <c r="SY276" s="23"/>
      <c r="SZ276" s="23"/>
      <c r="TA276" s="23"/>
      <c r="TB276" s="23"/>
      <c r="TC276" s="23"/>
      <c r="TD276" s="23"/>
      <c r="TE276" s="23"/>
      <c r="TF276" s="23"/>
      <c r="TG276" s="23"/>
    </row>
    <row r="277" spans="1:527" s="22" customFormat="1" ht="31.5" x14ac:dyDescent="0.25">
      <c r="A277" s="59" t="s">
        <v>275</v>
      </c>
      <c r="B277" s="92" t="str">
        <f>'дод 7'!A179</f>
        <v>7310</v>
      </c>
      <c r="C277" s="92" t="str">
        <f>'дод 7'!B179</f>
        <v>0443</v>
      </c>
      <c r="D277" s="60" t="str">
        <f>'дод 7'!C179</f>
        <v>Будівництво1 об'єктів житлово-комунального господарства</v>
      </c>
      <c r="E277" s="98">
        <f t="shared" si="137"/>
        <v>0</v>
      </c>
      <c r="F277" s="98"/>
      <c r="G277" s="98"/>
      <c r="H277" s="98"/>
      <c r="I277" s="98"/>
      <c r="J277" s="98">
        <f t="shared" si="139"/>
        <v>23385.4</v>
      </c>
      <c r="K277" s="98">
        <v>23385.4</v>
      </c>
      <c r="L277" s="98"/>
      <c r="M277" s="98"/>
      <c r="N277" s="98"/>
      <c r="O277" s="98">
        <v>23385.4</v>
      </c>
      <c r="P277" s="98">
        <f t="shared" si="138"/>
        <v>23385.4</v>
      </c>
      <c r="Q277" s="23"/>
      <c r="R277" s="32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  <c r="KQ277" s="23"/>
      <c r="KR277" s="23"/>
      <c r="KS277" s="23"/>
      <c r="KT277" s="23"/>
      <c r="KU277" s="23"/>
      <c r="KV277" s="23"/>
      <c r="KW277" s="23"/>
      <c r="KX277" s="23"/>
      <c r="KY277" s="23"/>
      <c r="KZ277" s="23"/>
      <c r="LA277" s="23"/>
      <c r="LB277" s="23"/>
      <c r="LC277" s="23"/>
      <c r="LD277" s="23"/>
      <c r="LE277" s="23"/>
      <c r="LF277" s="23"/>
      <c r="LG277" s="23"/>
      <c r="LH277" s="23"/>
      <c r="LI277" s="23"/>
      <c r="LJ277" s="23"/>
      <c r="LK277" s="23"/>
      <c r="LL277" s="23"/>
      <c r="LM277" s="23"/>
      <c r="LN277" s="23"/>
      <c r="LO277" s="23"/>
      <c r="LP277" s="23"/>
      <c r="LQ277" s="23"/>
      <c r="LR277" s="23"/>
      <c r="LS277" s="23"/>
      <c r="LT277" s="23"/>
      <c r="LU277" s="23"/>
      <c r="LV277" s="23"/>
      <c r="LW277" s="23"/>
      <c r="LX277" s="23"/>
      <c r="LY277" s="23"/>
      <c r="LZ277" s="23"/>
      <c r="MA277" s="23"/>
      <c r="MB277" s="23"/>
      <c r="MC277" s="23"/>
      <c r="MD277" s="23"/>
      <c r="ME277" s="23"/>
      <c r="MF277" s="23"/>
      <c r="MG277" s="23"/>
      <c r="MH277" s="23"/>
      <c r="MI277" s="23"/>
      <c r="MJ277" s="23"/>
      <c r="MK277" s="23"/>
      <c r="ML277" s="23"/>
      <c r="MM277" s="23"/>
      <c r="MN277" s="23"/>
      <c r="MO277" s="23"/>
      <c r="MP277" s="23"/>
      <c r="MQ277" s="23"/>
      <c r="MR277" s="23"/>
      <c r="MS277" s="23"/>
      <c r="MT277" s="23"/>
      <c r="MU277" s="23"/>
      <c r="MV277" s="23"/>
      <c r="MW277" s="23"/>
      <c r="MX277" s="23"/>
      <c r="MY277" s="23"/>
      <c r="MZ277" s="23"/>
      <c r="NA277" s="23"/>
      <c r="NB277" s="23"/>
      <c r="NC277" s="23"/>
      <c r="ND277" s="23"/>
      <c r="NE277" s="23"/>
      <c r="NF277" s="23"/>
      <c r="NG277" s="23"/>
      <c r="NH277" s="23"/>
      <c r="NI277" s="23"/>
      <c r="NJ277" s="23"/>
      <c r="NK277" s="23"/>
      <c r="NL277" s="23"/>
      <c r="NM277" s="23"/>
      <c r="NN277" s="23"/>
      <c r="NO277" s="23"/>
      <c r="NP277" s="23"/>
      <c r="NQ277" s="23"/>
      <c r="NR277" s="23"/>
      <c r="NS277" s="23"/>
      <c r="NT277" s="23"/>
      <c r="NU277" s="23"/>
      <c r="NV277" s="23"/>
      <c r="NW277" s="23"/>
      <c r="NX277" s="23"/>
      <c r="NY277" s="23"/>
      <c r="NZ277" s="23"/>
      <c r="OA277" s="23"/>
      <c r="OB277" s="23"/>
      <c r="OC277" s="23"/>
      <c r="OD277" s="23"/>
      <c r="OE277" s="23"/>
      <c r="OF277" s="23"/>
      <c r="OG277" s="23"/>
      <c r="OH277" s="23"/>
      <c r="OI277" s="23"/>
      <c r="OJ277" s="23"/>
      <c r="OK277" s="23"/>
      <c r="OL277" s="23"/>
      <c r="OM277" s="23"/>
      <c r="ON277" s="23"/>
      <c r="OO277" s="23"/>
      <c r="OP277" s="23"/>
      <c r="OQ277" s="23"/>
      <c r="OR277" s="23"/>
      <c r="OS277" s="23"/>
      <c r="OT277" s="23"/>
      <c r="OU277" s="23"/>
      <c r="OV277" s="23"/>
      <c r="OW277" s="23"/>
      <c r="OX277" s="23"/>
      <c r="OY277" s="23"/>
      <c r="OZ277" s="23"/>
      <c r="PA277" s="23"/>
      <c r="PB277" s="23"/>
      <c r="PC277" s="23"/>
      <c r="PD277" s="23"/>
      <c r="PE277" s="23"/>
      <c r="PF277" s="23"/>
      <c r="PG277" s="23"/>
      <c r="PH277" s="23"/>
      <c r="PI277" s="23"/>
      <c r="PJ277" s="23"/>
      <c r="PK277" s="23"/>
      <c r="PL277" s="23"/>
      <c r="PM277" s="23"/>
      <c r="PN277" s="23"/>
      <c r="PO277" s="23"/>
      <c r="PP277" s="23"/>
      <c r="PQ277" s="23"/>
      <c r="PR277" s="23"/>
      <c r="PS277" s="23"/>
      <c r="PT277" s="23"/>
      <c r="PU277" s="23"/>
      <c r="PV277" s="23"/>
      <c r="PW277" s="23"/>
      <c r="PX277" s="23"/>
      <c r="PY277" s="23"/>
      <c r="PZ277" s="23"/>
      <c r="QA277" s="23"/>
      <c r="QB277" s="23"/>
      <c r="QC277" s="23"/>
      <c r="QD277" s="23"/>
      <c r="QE277" s="23"/>
      <c r="QF277" s="23"/>
      <c r="QG277" s="23"/>
      <c r="QH277" s="23"/>
      <c r="QI277" s="23"/>
      <c r="QJ277" s="23"/>
      <c r="QK277" s="23"/>
      <c r="QL277" s="23"/>
      <c r="QM277" s="23"/>
      <c r="QN277" s="23"/>
      <c r="QO277" s="23"/>
      <c r="QP277" s="23"/>
      <c r="QQ277" s="23"/>
      <c r="QR277" s="23"/>
      <c r="QS277" s="23"/>
      <c r="QT277" s="23"/>
      <c r="QU277" s="23"/>
      <c r="QV277" s="23"/>
      <c r="QW277" s="23"/>
      <c r="QX277" s="23"/>
      <c r="QY277" s="23"/>
      <c r="QZ277" s="23"/>
      <c r="RA277" s="23"/>
      <c r="RB277" s="23"/>
      <c r="RC277" s="23"/>
      <c r="RD277" s="23"/>
      <c r="RE277" s="23"/>
      <c r="RF277" s="23"/>
      <c r="RG277" s="23"/>
      <c r="RH277" s="23"/>
      <c r="RI277" s="23"/>
      <c r="RJ277" s="23"/>
      <c r="RK277" s="23"/>
      <c r="RL277" s="23"/>
      <c r="RM277" s="23"/>
      <c r="RN277" s="23"/>
      <c r="RO277" s="23"/>
      <c r="RP277" s="23"/>
      <c r="RQ277" s="23"/>
      <c r="RR277" s="23"/>
      <c r="RS277" s="23"/>
      <c r="RT277" s="23"/>
      <c r="RU277" s="23"/>
      <c r="RV277" s="23"/>
      <c r="RW277" s="23"/>
      <c r="RX277" s="23"/>
      <c r="RY277" s="23"/>
      <c r="RZ277" s="23"/>
      <c r="SA277" s="23"/>
      <c r="SB277" s="23"/>
      <c r="SC277" s="23"/>
      <c r="SD277" s="23"/>
      <c r="SE277" s="23"/>
      <c r="SF277" s="23"/>
      <c r="SG277" s="23"/>
      <c r="SH277" s="23"/>
      <c r="SI277" s="23"/>
      <c r="SJ277" s="23"/>
      <c r="SK277" s="23"/>
      <c r="SL277" s="23"/>
      <c r="SM277" s="23"/>
      <c r="SN277" s="23"/>
      <c r="SO277" s="23"/>
      <c r="SP277" s="23"/>
      <c r="SQ277" s="23"/>
      <c r="SR277" s="23"/>
      <c r="SS277" s="23"/>
      <c r="ST277" s="23"/>
      <c r="SU277" s="23"/>
      <c r="SV277" s="23"/>
      <c r="SW277" s="23"/>
      <c r="SX277" s="23"/>
      <c r="SY277" s="23"/>
      <c r="SZ277" s="23"/>
      <c r="TA277" s="23"/>
      <c r="TB277" s="23"/>
      <c r="TC277" s="23"/>
      <c r="TD277" s="23"/>
      <c r="TE277" s="23"/>
      <c r="TF277" s="23"/>
      <c r="TG277" s="23"/>
    </row>
    <row r="278" spans="1:527" s="22" customFormat="1" ht="18.75" x14ac:dyDescent="0.25">
      <c r="A278" s="59" t="s">
        <v>276</v>
      </c>
      <c r="B278" s="92" t="str">
        <f>'дод 7'!A180</f>
        <v>7321</v>
      </c>
      <c r="C278" s="92" t="str">
        <f>'дод 7'!B180</f>
        <v>0443</v>
      </c>
      <c r="D278" s="6" t="s">
        <v>547</v>
      </c>
      <c r="E278" s="98">
        <f t="shared" si="137"/>
        <v>0</v>
      </c>
      <c r="F278" s="98"/>
      <c r="G278" s="98"/>
      <c r="H278" s="98"/>
      <c r="I278" s="98"/>
      <c r="J278" s="98">
        <f t="shared" si="139"/>
        <v>7270560</v>
      </c>
      <c r="K278" s="98">
        <f>42471+46089+10000+22000+1000000+100000+3000000+150000+3000000-100000</f>
        <v>7270560</v>
      </c>
      <c r="L278" s="98"/>
      <c r="M278" s="98"/>
      <c r="N278" s="98"/>
      <c r="O278" s="98">
        <f>42471+46089+10000+22000+1000000+100000+3000000+150000+3000000-100000</f>
        <v>7270560</v>
      </c>
      <c r="P278" s="98">
        <f t="shared" si="138"/>
        <v>7270560</v>
      </c>
      <c r="Q278" s="23"/>
      <c r="R278" s="32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</row>
    <row r="279" spans="1:527" s="22" customFormat="1" ht="18.75" x14ac:dyDescent="0.25">
      <c r="A279" s="59" t="s">
        <v>278</v>
      </c>
      <c r="B279" s="92" t="str">
        <f>'дод 7'!A182</f>
        <v>7322</v>
      </c>
      <c r="C279" s="92" t="str">
        <f>'дод 7'!B182</f>
        <v>0443</v>
      </c>
      <c r="D279" s="6" t="s">
        <v>548</v>
      </c>
      <c r="E279" s="98">
        <f t="shared" si="137"/>
        <v>0</v>
      </c>
      <c r="F279" s="98"/>
      <c r="G279" s="98"/>
      <c r="H279" s="98"/>
      <c r="I279" s="98"/>
      <c r="J279" s="98">
        <f t="shared" si="139"/>
        <v>10269864</v>
      </c>
      <c r="K279" s="98">
        <f>3000000+1800000+2000000+3000000+469864</f>
        <v>10269864</v>
      </c>
      <c r="L279" s="98"/>
      <c r="M279" s="98"/>
      <c r="N279" s="98"/>
      <c r="O279" s="98">
        <f>3000000+1800000+2000000+3000000+469864</f>
        <v>10269864</v>
      </c>
      <c r="P279" s="98">
        <f t="shared" si="138"/>
        <v>10269864</v>
      </c>
      <c r="Q279" s="23"/>
      <c r="R279" s="32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</row>
    <row r="280" spans="1:527" s="22" customFormat="1" ht="18.75" x14ac:dyDescent="0.25">
      <c r="A280" s="59" t="s">
        <v>560</v>
      </c>
      <c r="B280" s="92">
        <v>7324</v>
      </c>
      <c r="C280" s="92">
        <v>443</v>
      </c>
      <c r="D280" s="6" t="s">
        <v>550</v>
      </c>
      <c r="E280" s="98">
        <f t="shared" si="137"/>
        <v>0</v>
      </c>
      <c r="F280" s="98"/>
      <c r="G280" s="98"/>
      <c r="H280" s="98"/>
      <c r="I280" s="98"/>
      <c r="J280" s="98">
        <f t="shared" si="139"/>
        <v>165000</v>
      </c>
      <c r="K280" s="98">
        <f>400000-235000</f>
        <v>165000</v>
      </c>
      <c r="L280" s="98"/>
      <c r="M280" s="98"/>
      <c r="N280" s="98"/>
      <c r="O280" s="98">
        <f>400000-235000</f>
        <v>165000</v>
      </c>
      <c r="P280" s="98">
        <f t="shared" si="138"/>
        <v>165000</v>
      </c>
      <c r="Q280" s="23"/>
      <c r="R280" s="32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  <c r="TF280" s="23"/>
      <c r="TG280" s="23"/>
    </row>
    <row r="281" spans="1:527" s="22" customFormat="1" ht="34.5" x14ac:dyDescent="0.25">
      <c r="A281" s="59" t="s">
        <v>359</v>
      </c>
      <c r="B281" s="92">
        <f>'дод 7'!A186</f>
        <v>7325</v>
      </c>
      <c r="C281" s="59" t="s">
        <v>111</v>
      </c>
      <c r="D281" s="6" t="s">
        <v>545</v>
      </c>
      <c r="E281" s="98">
        <f t="shared" si="137"/>
        <v>0</v>
      </c>
      <c r="F281" s="98"/>
      <c r="G281" s="98"/>
      <c r="H281" s="98"/>
      <c r="I281" s="98"/>
      <c r="J281" s="98">
        <f t="shared" si="139"/>
        <v>2849440</v>
      </c>
      <c r="K281" s="98">
        <f>199440+1000000+600000+750000+300000</f>
        <v>2849440</v>
      </c>
      <c r="L281" s="98"/>
      <c r="M281" s="98"/>
      <c r="N281" s="98"/>
      <c r="O281" s="98">
        <f>199440+1000000+600000+750000+300000</f>
        <v>2849440</v>
      </c>
      <c r="P281" s="98">
        <f t="shared" si="138"/>
        <v>2849440</v>
      </c>
      <c r="Q281" s="23"/>
      <c r="R281" s="32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</row>
    <row r="282" spans="1:527" s="22" customFormat="1" ht="18" customHeight="1" x14ac:dyDescent="0.25">
      <c r="A282" s="59" t="s">
        <v>280</v>
      </c>
      <c r="B282" s="92" t="str">
        <f>'дод 7'!A187</f>
        <v>7330</v>
      </c>
      <c r="C282" s="92" t="str">
        <f>'дод 7'!B187</f>
        <v>0443</v>
      </c>
      <c r="D282" s="6" t="s">
        <v>546</v>
      </c>
      <c r="E282" s="98">
        <f t="shared" si="137"/>
        <v>0</v>
      </c>
      <c r="F282" s="98"/>
      <c r="G282" s="98"/>
      <c r="H282" s="98"/>
      <c r="I282" s="98"/>
      <c r="J282" s="98">
        <f t="shared" si="139"/>
        <v>11797276</v>
      </c>
      <c r="K282" s="98">
        <f>39750000+1567447+258138-1800000+200000+135000+200000+95995-28000000+240000-70000+60000+30000-30000+49900+1000000-2814608-60000+698667-136875+136875-150000-200763+900000+2500-265000</f>
        <v>11797276</v>
      </c>
      <c r="L282" s="98"/>
      <c r="M282" s="98"/>
      <c r="N282" s="98"/>
      <c r="O282" s="98">
        <f>39750000+1567447+258138-1800000+200000+135000+200000+95995-28000000+240000-70000+60000+30000-30000+49900+1000000-2814608-60000+698667-136875+136875-150000-200763+900000+2500-265000</f>
        <v>11797276</v>
      </c>
      <c r="P282" s="98">
        <f t="shared" si="138"/>
        <v>11797276</v>
      </c>
      <c r="Q282" s="23"/>
      <c r="R282" s="32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  <c r="SQ282" s="23"/>
      <c r="SR282" s="23"/>
      <c r="SS282" s="23"/>
      <c r="ST282" s="23"/>
      <c r="SU282" s="23"/>
      <c r="SV282" s="23"/>
      <c r="SW282" s="23"/>
      <c r="SX282" s="23"/>
      <c r="SY282" s="23"/>
      <c r="SZ282" s="23"/>
      <c r="TA282" s="23"/>
      <c r="TB282" s="23"/>
      <c r="TC282" s="23"/>
      <c r="TD282" s="23"/>
      <c r="TE282" s="23"/>
      <c r="TF282" s="23"/>
      <c r="TG282" s="23"/>
    </row>
    <row r="283" spans="1:527" s="22" customFormat="1" ht="31.5" x14ac:dyDescent="0.25">
      <c r="A283" s="59" t="s">
        <v>428</v>
      </c>
      <c r="B283" s="92">
        <v>7340</v>
      </c>
      <c r="C283" s="59" t="s">
        <v>111</v>
      </c>
      <c r="D283" s="60" t="s">
        <v>1</v>
      </c>
      <c r="E283" s="98">
        <f t="shared" si="137"/>
        <v>0</v>
      </c>
      <c r="F283" s="98"/>
      <c r="G283" s="98"/>
      <c r="H283" s="98"/>
      <c r="I283" s="98"/>
      <c r="J283" s="98">
        <f t="shared" si="139"/>
        <v>883608</v>
      </c>
      <c r="K283" s="98">
        <f>6000000-2067496-104420-86000-2742084-12000-104392</f>
        <v>883608</v>
      </c>
      <c r="L283" s="98"/>
      <c r="M283" s="98"/>
      <c r="N283" s="98"/>
      <c r="O283" s="98">
        <f>6000000-2067496-104420-86000-2742084-12000-104392</f>
        <v>883608</v>
      </c>
      <c r="P283" s="98">
        <f t="shared" si="138"/>
        <v>883608</v>
      </c>
      <c r="Q283" s="23"/>
      <c r="R283" s="32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  <c r="TF283" s="23"/>
      <c r="TG283" s="23"/>
    </row>
    <row r="284" spans="1:527" s="22" customFormat="1" ht="53.25" customHeight="1" x14ac:dyDescent="0.25">
      <c r="A284" s="59" t="s">
        <v>371</v>
      </c>
      <c r="B284" s="92">
        <f>'дод 7'!A190</f>
        <v>7361</v>
      </c>
      <c r="C284" s="92" t="str">
        <f>'дод 7'!B190</f>
        <v>0490</v>
      </c>
      <c r="D284" s="60" t="str">
        <f>'дод 7'!C190</f>
        <v>Співфінансування інвестиційних проектів, що реалізуються за рахунок коштів державного фонду регіонального розвитку</v>
      </c>
      <c r="E284" s="98">
        <f t="shared" ref="E284" si="140">F284+I284</f>
        <v>0</v>
      </c>
      <c r="F284" s="98"/>
      <c r="G284" s="98"/>
      <c r="H284" s="98"/>
      <c r="I284" s="98"/>
      <c r="J284" s="98">
        <f t="shared" ref="J284" si="141">L284+O284</f>
        <v>67184673</v>
      </c>
      <c r="K284" s="98">
        <f>10172673+28000000+15000000+924549+4075451+9000000+12000</f>
        <v>67184673</v>
      </c>
      <c r="L284" s="98"/>
      <c r="M284" s="98"/>
      <c r="N284" s="98"/>
      <c r="O284" s="98">
        <f>10172673+28000000+15000000+924549+4075451+9000000+12000</f>
        <v>67184673</v>
      </c>
      <c r="P284" s="98">
        <f t="shared" si="138"/>
        <v>67184673</v>
      </c>
      <c r="Q284" s="23"/>
      <c r="R284" s="32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  <c r="TG284" s="23"/>
    </row>
    <row r="285" spans="1:527" s="22" customFormat="1" ht="47.25" x14ac:dyDescent="0.25">
      <c r="A285" s="59" t="s">
        <v>366</v>
      </c>
      <c r="B285" s="92">
        <v>7363</v>
      </c>
      <c r="C285" s="59" t="s">
        <v>82</v>
      </c>
      <c r="D285" s="60" t="s">
        <v>398</v>
      </c>
      <c r="E285" s="98">
        <f t="shared" si="137"/>
        <v>0</v>
      </c>
      <c r="F285" s="98"/>
      <c r="G285" s="98"/>
      <c r="H285" s="98"/>
      <c r="I285" s="98"/>
      <c r="J285" s="98">
        <f t="shared" si="139"/>
        <v>1200000</v>
      </c>
      <c r="K285" s="98">
        <v>1200000</v>
      </c>
      <c r="L285" s="98"/>
      <c r="M285" s="98"/>
      <c r="N285" s="98"/>
      <c r="O285" s="98">
        <v>1200000</v>
      </c>
      <c r="P285" s="98">
        <f t="shared" si="138"/>
        <v>1200000</v>
      </c>
      <c r="Q285" s="23"/>
      <c r="R285" s="32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  <c r="SQ285" s="23"/>
      <c r="SR285" s="23"/>
      <c r="SS285" s="23"/>
      <c r="ST285" s="23"/>
      <c r="SU285" s="23"/>
      <c r="SV285" s="23"/>
      <c r="SW285" s="23"/>
      <c r="SX285" s="23"/>
      <c r="SY285" s="23"/>
      <c r="SZ285" s="23"/>
      <c r="TA285" s="23"/>
      <c r="TB285" s="23"/>
      <c r="TC285" s="23"/>
      <c r="TD285" s="23"/>
      <c r="TE285" s="23"/>
      <c r="TF285" s="23"/>
      <c r="TG285" s="23"/>
    </row>
    <row r="286" spans="1:527" s="24" customFormat="1" ht="51.75" customHeight="1" x14ac:dyDescent="0.25">
      <c r="A286" s="83"/>
      <c r="B286" s="110"/>
      <c r="C286" s="83"/>
      <c r="D286" s="86" t="s">
        <v>388</v>
      </c>
      <c r="E286" s="100">
        <f t="shared" si="137"/>
        <v>0</v>
      </c>
      <c r="F286" s="100"/>
      <c r="G286" s="100"/>
      <c r="H286" s="100"/>
      <c r="I286" s="100"/>
      <c r="J286" s="100">
        <f t="shared" ref="J286" si="142">L286+O286</f>
        <v>1200000</v>
      </c>
      <c r="K286" s="100">
        <v>1200000</v>
      </c>
      <c r="L286" s="100"/>
      <c r="M286" s="100"/>
      <c r="N286" s="100"/>
      <c r="O286" s="100">
        <v>1200000</v>
      </c>
      <c r="P286" s="100">
        <f t="shared" ref="P286" si="143">E286+J286</f>
        <v>1200000</v>
      </c>
      <c r="Q286" s="30"/>
      <c r="R286" s="33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  <c r="IV286" s="30"/>
      <c r="IW286" s="30"/>
      <c r="IX286" s="30"/>
      <c r="IY286" s="30"/>
      <c r="IZ286" s="30"/>
      <c r="JA286" s="30"/>
      <c r="JB286" s="30"/>
      <c r="JC286" s="30"/>
      <c r="JD286" s="30"/>
      <c r="JE286" s="30"/>
      <c r="JF286" s="30"/>
      <c r="JG286" s="30"/>
      <c r="JH286" s="30"/>
      <c r="JI286" s="30"/>
      <c r="JJ286" s="30"/>
      <c r="JK286" s="30"/>
      <c r="JL286" s="30"/>
      <c r="JM286" s="30"/>
      <c r="JN286" s="30"/>
      <c r="JO286" s="30"/>
      <c r="JP286" s="30"/>
      <c r="JQ286" s="30"/>
      <c r="JR286" s="30"/>
      <c r="JS286" s="30"/>
      <c r="JT286" s="30"/>
      <c r="JU286" s="30"/>
      <c r="JV286" s="30"/>
      <c r="JW286" s="30"/>
      <c r="JX286" s="30"/>
      <c r="JY286" s="30"/>
      <c r="JZ286" s="30"/>
      <c r="KA286" s="30"/>
      <c r="KB286" s="30"/>
      <c r="KC286" s="30"/>
      <c r="KD286" s="30"/>
      <c r="KE286" s="30"/>
      <c r="KF286" s="30"/>
      <c r="KG286" s="30"/>
      <c r="KH286" s="30"/>
      <c r="KI286" s="30"/>
      <c r="KJ286" s="30"/>
      <c r="KK286" s="30"/>
      <c r="KL286" s="30"/>
      <c r="KM286" s="30"/>
      <c r="KN286" s="30"/>
      <c r="KO286" s="30"/>
      <c r="KP286" s="30"/>
      <c r="KQ286" s="30"/>
      <c r="KR286" s="30"/>
      <c r="KS286" s="30"/>
      <c r="KT286" s="30"/>
      <c r="KU286" s="30"/>
      <c r="KV286" s="30"/>
      <c r="KW286" s="30"/>
      <c r="KX286" s="30"/>
      <c r="KY286" s="30"/>
      <c r="KZ286" s="30"/>
      <c r="LA286" s="30"/>
      <c r="LB286" s="30"/>
      <c r="LC286" s="30"/>
      <c r="LD286" s="30"/>
      <c r="LE286" s="30"/>
      <c r="LF286" s="30"/>
      <c r="LG286" s="30"/>
      <c r="LH286" s="30"/>
      <c r="LI286" s="30"/>
      <c r="LJ286" s="30"/>
      <c r="LK286" s="30"/>
      <c r="LL286" s="30"/>
      <c r="LM286" s="30"/>
      <c r="LN286" s="30"/>
      <c r="LO286" s="30"/>
      <c r="LP286" s="30"/>
      <c r="LQ286" s="30"/>
      <c r="LR286" s="30"/>
      <c r="LS286" s="30"/>
      <c r="LT286" s="30"/>
      <c r="LU286" s="30"/>
      <c r="LV286" s="30"/>
      <c r="LW286" s="30"/>
      <c r="LX286" s="30"/>
      <c r="LY286" s="30"/>
      <c r="LZ286" s="30"/>
      <c r="MA286" s="30"/>
      <c r="MB286" s="30"/>
      <c r="MC286" s="30"/>
      <c r="MD286" s="30"/>
      <c r="ME286" s="30"/>
      <c r="MF286" s="30"/>
      <c r="MG286" s="30"/>
      <c r="MH286" s="30"/>
      <c r="MI286" s="30"/>
      <c r="MJ286" s="30"/>
      <c r="MK286" s="30"/>
      <c r="ML286" s="30"/>
      <c r="MM286" s="30"/>
      <c r="MN286" s="30"/>
      <c r="MO286" s="30"/>
      <c r="MP286" s="30"/>
      <c r="MQ286" s="30"/>
      <c r="MR286" s="30"/>
      <c r="MS286" s="30"/>
      <c r="MT286" s="30"/>
      <c r="MU286" s="30"/>
      <c r="MV286" s="30"/>
      <c r="MW286" s="30"/>
      <c r="MX286" s="30"/>
      <c r="MY286" s="30"/>
      <c r="MZ286" s="30"/>
      <c r="NA286" s="30"/>
      <c r="NB286" s="30"/>
      <c r="NC286" s="30"/>
      <c r="ND286" s="30"/>
      <c r="NE286" s="30"/>
      <c r="NF286" s="30"/>
      <c r="NG286" s="30"/>
      <c r="NH286" s="30"/>
      <c r="NI286" s="30"/>
      <c r="NJ286" s="30"/>
      <c r="NK286" s="30"/>
      <c r="NL286" s="30"/>
      <c r="NM286" s="30"/>
      <c r="NN286" s="30"/>
      <c r="NO286" s="30"/>
      <c r="NP286" s="30"/>
      <c r="NQ286" s="30"/>
      <c r="NR286" s="30"/>
      <c r="NS286" s="30"/>
      <c r="NT286" s="30"/>
      <c r="NU286" s="30"/>
      <c r="NV286" s="30"/>
      <c r="NW286" s="30"/>
      <c r="NX286" s="30"/>
      <c r="NY286" s="30"/>
      <c r="NZ286" s="30"/>
      <c r="OA286" s="30"/>
      <c r="OB286" s="30"/>
      <c r="OC286" s="30"/>
      <c r="OD286" s="30"/>
      <c r="OE286" s="30"/>
      <c r="OF286" s="30"/>
      <c r="OG286" s="30"/>
      <c r="OH286" s="30"/>
      <c r="OI286" s="30"/>
      <c r="OJ286" s="30"/>
      <c r="OK286" s="30"/>
      <c r="OL286" s="30"/>
      <c r="OM286" s="30"/>
      <c r="ON286" s="30"/>
      <c r="OO286" s="30"/>
      <c r="OP286" s="30"/>
      <c r="OQ286" s="30"/>
      <c r="OR286" s="30"/>
      <c r="OS286" s="30"/>
      <c r="OT286" s="30"/>
      <c r="OU286" s="30"/>
      <c r="OV286" s="30"/>
      <c r="OW286" s="30"/>
      <c r="OX286" s="30"/>
      <c r="OY286" s="30"/>
      <c r="OZ286" s="30"/>
      <c r="PA286" s="30"/>
      <c r="PB286" s="30"/>
      <c r="PC286" s="30"/>
      <c r="PD286" s="30"/>
      <c r="PE286" s="30"/>
      <c r="PF286" s="30"/>
      <c r="PG286" s="30"/>
      <c r="PH286" s="30"/>
      <c r="PI286" s="30"/>
      <c r="PJ286" s="30"/>
      <c r="PK286" s="30"/>
      <c r="PL286" s="30"/>
      <c r="PM286" s="30"/>
      <c r="PN286" s="30"/>
      <c r="PO286" s="30"/>
      <c r="PP286" s="30"/>
      <c r="PQ286" s="30"/>
      <c r="PR286" s="30"/>
      <c r="PS286" s="30"/>
      <c r="PT286" s="30"/>
      <c r="PU286" s="30"/>
      <c r="PV286" s="30"/>
      <c r="PW286" s="30"/>
      <c r="PX286" s="30"/>
      <c r="PY286" s="30"/>
      <c r="PZ286" s="30"/>
      <c r="QA286" s="30"/>
      <c r="QB286" s="30"/>
      <c r="QC286" s="30"/>
      <c r="QD286" s="30"/>
      <c r="QE286" s="30"/>
      <c r="QF286" s="30"/>
      <c r="QG286" s="30"/>
      <c r="QH286" s="30"/>
      <c r="QI286" s="30"/>
      <c r="QJ286" s="30"/>
      <c r="QK286" s="30"/>
      <c r="QL286" s="30"/>
      <c r="QM286" s="30"/>
      <c r="QN286" s="30"/>
      <c r="QO286" s="30"/>
      <c r="QP286" s="30"/>
      <c r="QQ286" s="30"/>
      <c r="QR286" s="30"/>
      <c r="QS286" s="30"/>
      <c r="QT286" s="30"/>
      <c r="QU286" s="30"/>
      <c r="QV286" s="30"/>
      <c r="QW286" s="30"/>
      <c r="QX286" s="30"/>
      <c r="QY286" s="30"/>
      <c r="QZ286" s="30"/>
      <c r="RA286" s="30"/>
      <c r="RB286" s="30"/>
      <c r="RC286" s="30"/>
      <c r="RD286" s="30"/>
      <c r="RE286" s="30"/>
      <c r="RF286" s="30"/>
      <c r="RG286" s="30"/>
      <c r="RH286" s="30"/>
      <c r="RI286" s="30"/>
      <c r="RJ286" s="30"/>
      <c r="RK286" s="30"/>
      <c r="RL286" s="30"/>
      <c r="RM286" s="30"/>
      <c r="RN286" s="30"/>
      <c r="RO286" s="30"/>
      <c r="RP286" s="30"/>
      <c r="RQ286" s="30"/>
      <c r="RR286" s="30"/>
      <c r="RS286" s="30"/>
      <c r="RT286" s="30"/>
      <c r="RU286" s="30"/>
      <c r="RV286" s="30"/>
      <c r="RW286" s="30"/>
      <c r="RX286" s="30"/>
      <c r="RY286" s="30"/>
      <c r="RZ286" s="30"/>
      <c r="SA286" s="30"/>
      <c r="SB286" s="30"/>
      <c r="SC286" s="30"/>
      <c r="SD286" s="30"/>
      <c r="SE286" s="30"/>
      <c r="SF286" s="30"/>
      <c r="SG286" s="30"/>
      <c r="SH286" s="30"/>
      <c r="SI286" s="30"/>
      <c r="SJ286" s="30"/>
      <c r="SK286" s="30"/>
      <c r="SL286" s="30"/>
      <c r="SM286" s="30"/>
      <c r="SN286" s="30"/>
      <c r="SO286" s="30"/>
      <c r="SP286" s="30"/>
      <c r="SQ286" s="30"/>
      <c r="SR286" s="30"/>
      <c r="SS286" s="30"/>
      <c r="ST286" s="30"/>
      <c r="SU286" s="30"/>
      <c r="SV286" s="30"/>
      <c r="SW286" s="30"/>
      <c r="SX286" s="30"/>
      <c r="SY286" s="30"/>
      <c r="SZ286" s="30"/>
      <c r="TA286" s="30"/>
      <c r="TB286" s="30"/>
      <c r="TC286" s="30"/>
      <c r="TD286" s="30"/>
      <c r="TE286" s="30"/>
      <c r="TF286" s="30"/>
      <c r="TG286" s="30"/>
    </row>
    <row r="287" spans="1:527" s="22" customFormat="1" ht="31.5" x14ac:dyDescent="0.25">
      <c r="A287" s="59" t="s">
        <v>430</v>
      </c>
      <c r="B287" s="92">
        <v>7370</v>
      </c>
      <c r="C287" s="59" t="s">
        <v>82</v>
      </c>
      <c r="D287" s="60" t="s">
        <v>431</v>
      </c>
      <c r="E287" s="98">
        <f>F287+I287</f>
        <v>81034.600000000006</v>
      </c>
      <c r="F287" s="98">
        <f>104420-23385.4</f>
        <v>81034.600000000006</v>
      </c>
      <c r="G287" s="98"/>
      <c r="H287" s="98"/>
      <c r="I287" s="98"/>
      <c r="J287" s="98">
        <f t="shared" si="139"/>
        <v>0</v>
      </c>
      <c r="K287" s="98"/>
      <c r="L287" s="98"/>
      <c r="M287" s="98"/>
      <c r="N287" s="98"/>
      <c r="O287" s="98"/>
      <c r="P287" s="98">
        <f t="shared" si="138"/>
        <v>81034.600000000006</v>
      </c>
      <c r="Q287" s="23"/>
      <c r="R287" s="32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  <c r="TF287" s="23"/>
      <c r="TG287" s="23"/>
    </row>
    <row r="288" spans="1:527" s="22" customFormat="1" ht="21.75" customHeight="1" x14ac:dyDescent="0.25">
      <c r="A288" s="59" t="s">
        <v>146</v>
      </c>
      <c r="B288" s="92" t="str">
        <f>'дод 7'!A218</f>
        <v>7640</v>
      </c>
      <c r="C288" s="92" t="str">
        <f>'дод 7'!B218</f>
        <v>0470</v>
      </c>
      <c r="D288" s="60" t="s">
        <v>467</v>
      </c>
      <c r="E288" s="98">
        <f t="shared" si="137"/>
        <v>531386.55000000005</v>
      </c>
      <c r="F288" s="98">
        <f>1763607-797422.45+49500-484298</f>
        <v>531386.55000000005</v>
      </c>
      <c r="G288" s="98"/>
      <c r="H288" s="98"/>
      <c r="I288" s="98"/>
      <c r="J288" s="98">
        <f t="shared" si="139"/>
        <v>121780030.44999999</v>
      </c>
      <c r="K288" s="98">
        <f>124644482+797422.45+2700000-4500000-14835808+1500000</f>
        <v>110306096.45</v>
      </c>
      <c r="L288" s="112"/>
      <c r="M288" s="98"/>
      <c r="N288" s="98"/>
      <c r="O288" s="98">
        <f>136118416+797422.45+2700000-4500000-14835808+1500000</f>
        <v>121780030.44999999</v>
      </c>
      <c r="P288" s="98">
        <f t="shared" si="138"/>
        <v>122311416.99999999</v>
      </c>
      <c r="Q288" s="23"/>
      <c r="R288" s="32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  <c r="TF288" s="23"/>
      <c r="TG288" s="23"/>
    </row>
    <row r="289" spans="1:527" s="24" customFormat="1" ht="17.25" customHeight="1" x14ac:dyDescent="0.25">
      <c r="A289" s="83"/>
      <c r="B289" s="110"/>
      <c r="C289" s="110"/>
      <c r="D289" s="84" t="s">
        <v>419</v>
      </c>
      <c r="E289" s="100">
        <f t="shared" si="137"/>
        <v>0</v>
      </c>
      <c r="F289" s="100"/>
      <c r="G289" s="100"/>
      <c r="H289" s="100"/>
      <c r="I289" s="100"/>
      <c r="J289" s="100">
        <f t="shared" si="139"/>
        <v>96859595</v>
      </c>
      <c r="K289" s="100">
        <v>96859595</v>
      </c>
      <c r="L289" s="113"/>
      <c r="M289" s="100"/>
      <c r="N289" s="100"/>
      <c r="O289" s="100">
        <v>96859595</v>
      </c>
      <c r="P289" s="100">
        <f t="shared" si="138"/>
        <v>96859595</v>
      </c>
      <c r="Q289" s="30"/>
      <c r="R289" s="32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  <c r="IV289" s="30"/>
      <c r="IW289" s="30"/>
      <c r="IX289" s="30"/>
      <c r="IY289" s="30"/>
      <c r="IZ289" s="30"/>
      <c r="JA289" s="30"/>
      <c r="JB289" s="30"/>
      <c r="JC289" s="30"/>
      <c r="JD289" s="30"/>
      <c r="JE289" s="30"/>
      <c r="JF289" s="30"/>
      <c r="JG289" s="30"/>
      <c r="JH289" s="30"/>
      <c r="JI289" s="30"/>
      <c r="JJ289" s="30"/>
      <c r="JK289" s="30"/>
      <c r="JL289" s="30"/>
      <c r="JM289" s="30"/>
      <c r="JN289" s="30"/>
      <c r="JO289" s="30"/>
      <c r="JP289" s="30"/>
      <c r="JQ289" s="30"/>
      <c r="JR289" s="30"/>
      <c r="JS289" s="30"/>
      <c r="JT289" s="30"/>
      <c r="JU289" s="30"/>
      <c r="JV289" s="30"/>
      <c r="JW289" s="30"/>
      <c r="JX289" s="30"/>
      <c r="JY289" s="30"/>
      <c r="JZ289" s="30"/>
      <c r="KA289" s="30"/>
      <c r="KB289" s="30"/>
      <c r="KC289" s="30"/>
      <c r="KD289" s="30"/>
      <c r="KE289" s="30"/>
      <c r="KF289" s="30"/>
      <c r="KG289" s="30"/>
      <c r="KH289" s="30"/>
      <c r="KI289" s="30"/>
      <c r="KJ289" s="30"/>
      <c r="KK289" s="30"/>
      <c r="KL289" s="30"/>
      <c r="KM289" s="30"/>
      <c r="KN289" s="30"/>
      <c r="KO289" s="30"/>
      <c r="KP289" s="30"/>
      <c r="KQ289" s="30"/>
      <c r="KR289" s="30"/>
      <c r="KS289" s="30"/>
      <c r="KT289" s="30"/>
      <c r="KU289" s="30"/>
      <c r="KV289" s="30"/>
      <c r="KW289" s="30"/>
      <c r="KX289" s="30"/>
      <c r="KY289" s="30"/>
      <c r="KZ289" s="30"/>
      <c r="LA289" s="30"/>
      <c r="LB289" s="30"/>
      <c r="LC289" s="30"/>
      <c r="LD289" s="30"/>
      <c r="LE289" s="30"/>
      <c r="LF289" s="30"/>
      <c r="LG289" s="30"/>
      <c r="LH289" s="30"/>
      <c r="LI289" s="30"/>
      <c r="LJ289" s="30"/>
      <c r="LK289" s="30"/>
      <c r="LL289" s="30"/>
      <c r="LM289" s="30"/>
      <c r="LN289" s="30"/>
      <c r="LO289" s="30"/>
      <c r="LP289" s="30"/>
      <c r="LQ289" s="30"/>
      <c r="LR289" s="30"/>
      <c r="LS289" s="30"/>
      <c r="LT289" s="30"/>
      <c r="LU289" s="30"/>
      <c r="LV289" s="30"/>
      <c r="LW289" s="30"/>
      <c r="LX289" s="30"/>
      <c r="LY289" s="30"/>
      <c r="LZ289" s="30"/>
      <c r="MA289" s="30"/>
      <c r="MB289" s="30"/>
      <c r="MC289" s="30"/>
      <c r="MD289" s="30"/>
      <c r="ME289" s="30"/>
      <c r="MF289" s="30"/>
      <c r="MG289" s="30"/>
      <c r="MH289" s="30"/>
      <c r="MI289" s="30"/>
      <c r="MJ289" s="30"/>
      <c r="MK289" s="30"/>
      <c r="ML289" s="30"/>
      <c r="MM289" s="30"/>
      <c r="MN289" s="30"/>
      <c r="MO289" s="30"/>
      <c r="MP289" s="30"/>
      <c r="MQ289" s="30"/>
      <c r="MR289" s="30"/>
      <c r="MS289" s="30"/>
      <c r="MT289" s="30"/>
      <c r="MU289" s="30"/>
      <c r="MV289" s="30"/>
      <c r="MW289" s="30"/>
      <c r="MX289" s="30"/>
      <c r="MY289" s="30"/>
      <c r="MZ289" s="30"/>
      <c r="NA289" s="30"/>
      <c r="NB289" s="30"/>
      <c r="NC289" s="30"/>
      <c r="ND289" s="30"/>
      <c r="NE289" s="30"/>
      <c r="NF289" s="30"/>
      <c r="NG289" s="30"/>
      <c r="NH289" s="30"/>
      <c r="NI289" s="30"/>
      <c r="NJ289" s="30"/>
      <c r="NK289" s="30"/>
      <c r="NL289" s="30"/>
      <c r="NM289" s="30"/>
      <c r="NN289" s="30"/>
      <c r="NO289" s="30"/>
      <c r="NP289" s="30"/>
      <c r="NQ289" s="30"/>
      <c r="NR289" s="30"/>
      <c r="NS289" s="30"/>
      <c r="NT289" s="30"/>
      <c r="NU289" s="30"/>
      <c r="NV289" s="30"/>
      <c r="NW289" s="30"/>
      <c r="NX289" s="30"/>
      <c r="NY289" s="30"/>
      <c r="NZ289" s="30"/>
      <c r="OA289" s="30"/>
      <c r="OB289" s="30"/>
      <c r="OC289" s="30"/>
      <c r="OD289" s="30"/>
      <c r="OE289" s="30"/>
      <c r="OF289" s="30"/>
      <c r="OG289" s="30"/>
      <c r="OH289" s="30"/>
      <c r="OI289" s="30"/>
      <c r="OJ289" s="30"/>
      <c r="OK289" s="30"/>
      <c r="OL289" s="30"/>
      <c r="OM289" s="30"/>
      <c r="ON289" s="30"/>
      <c r="OO289" s="30"/>
      <c r="OP289" s="30"/>
      <c r="OQ289" s="30"/>
      <c r="OR289" s="30"/>
      <c r="OS289" s="30"/>
      <c r="OT289" s="30"/>
      <c r="OU289" s="30"/>
      <c r="OV289" s="30"/>
      <c r="OW289" s="30"/>
      <c r="OX289" s="30"/>
      <c r="OY289" s="30"/>
      <c r="OZ289" s="30"/>
      <c r="PA289" s="30"/>
      <c r="PB289" s="30"/>
      <c r="PC289" s="30"/>
      <c r="PD289" s="30"/>
      <c r="PE289" s="30"/>
      <c r="PF289" s="30"/>
      <c r="PG289" s="30"/>
      <c r="PH289" s="30"/>
      <c r="PI289" s="30"/>
      <c r="PJ289" s="30"/>
      <c r="PK289" s="30"/>
      <c r="PL289" s="30"/>
      <c r="PM289" s="30"/>
      <c r="PN289" s="30"/>
      <c r="PO289" s="30"/>
      <c r="PP289" s="30"/>
      <c r="PQ289" s="30"/>
      <c r="PR289" s="30"/>
      <c r="PS289" s="30"/>
      <c r="PT289" s="30"/>
      <c r="PU289" s="30"/>
      <c r="PV289" s="30"/>
      <c r="PW289" s="30"/>
      <c r="PX289" s="30"/>
      <c r="PY289" s="30"/>
      <c r="PZ289" s="30"/>
      <c r="QA289" s="30"/>
      <c r="QB289" s="30"/>
      <c r="QC289" s="30"/>
      <c r="QD289" s="30"/>
      <c r="QE289" s="30"/>
      <c r="QF289" s="30"/>
      <c r="QG289" s="30"/>
      <c r="QH289" s="30"/>
      <c r="QI289" s="30"/>
      <c r="QJ289" s="30"/>
      <c r="QK289" s="30"/>
      <c r="QL289" s="30"/>
      <c r="QM289" s="30"/>
      <c r="QN289" s="30"/>
      <c r="QO289" s="30"/>
      <c r="QP289" s="30"/>
      <c r="QQ289" s="30"/>
      <c r="QR289" s="30"/>
      <c r="QS289" s="30"/>
      <c r="QT289" s="30"/>
      <c r="QU289" s="30"/>
      <c r="QV289" s="30"/>
      <c r="QW289" s="30"/>
      <c r="QX289" s="30"/>
      <c r="QY289" s="30"/>
      <c r="QZ289" s="30"/>
      <c r="RA289" s="30"/>
      <c r="RB289" s="30"/>
      <c r="RC289" s="30"/>
      <c r="RD289" s="30"/>
      <c r="RE289" s="30"/>
      <c r="RF289" s="30"/>
      <c r="RG289" s="30"/>
      <c r="RH289" s="30"/>
      <c r="RI289" s="30"/>
      <c r="RJ289" s="30"/>
      <c r="RK289" s="30"/>
      <c r="RL289" s="30"/>
      <c r="RM289" s="30"/>
      <c r="RN289" s="30"/>
      <c r="RO289" s="30"/>
      <c r="RP289" s="30"/>
      <c r="RQ289" s="30"/>
      <c r="RR289" s="30"/>
      <c r="RS289" s="30"/>
      <c r="RT289" s="30"/>
      <c r="RU289" s="30"/>
      <c r="RV289" s="30"/>
      <c r="RW289" s="30"/>
      <c r="RX289" s="30"/>
      <c r="RY289" s="30"/>
      <c r="RZ289" s="30"/>
      <c r="SA289" s="30"/>
      <c r="SB289" s="30"/>
      <c r="SC289" s="30"/>
      <c r="SD289" s="30"/>
      <c r="SE289" s="30"/>
      <c r="SF289" s="30"/>
      <c r="SG289" s="30"/>
      <c r="SH289" s="30"/>
      <c r="SI289" s="30"/>
      <c r="SJ289" s="30"/>
      <c r="SK289" s="30"/>
      <c r="SL289" s="30"/>
      <c r="SM289" s="30"/>
      <c r="SN289" s="30"/>
      <c r="SO289" s="30"/>
      <c r="SP289" s="30"/>
      <c r="SQ289" s="30"/>
      <c r="SR289" s="30"/>
      <c r="SS289" s="30"/>
      <c r="ST289" s="30"/>
      <c r="SU289" s="30"/>
      <c r="SV289" s="30"/>
      <c r="SW289" s="30"/>
      <c r="SX289" s="30"/>
      <c r="SY289" s="30"/>
      <c r="SZ289" s="30"/>
      <c r="TA289" s="30"/>
      <c r="TB289" s="30"/>
      <c r="TC289" s="30"/>
      <c r="TD289" s="30"/>
      <c r="TE289" s="30"/>
      <c r="TF289" s="30"/>
      <c r="TG289" s="30"/>
    </row>
    <row r="290" spans="1:527" s="22" customFormat="1" ht="126" hidden="1" customHeight="1" x14ac:dyDescent="0.25">
      <c r="A290" s="59" t="s">
        <v>369</v>
      </c>
      <c r="B290" s="92">
        <v>7691</v>
      </c>
      <c r="C290" s="37" t="s">
        <v>82</v>
      </c>
      <c r="D290" s="60" t="s">
        <v>314</v>
      </c>
      <c r="E290" s="98">
        <f t="shared" si="137"/>
        <v>0</v>
      </c>
      <c r="F290" s="98"/>
      <c r="G290" s="98"/>
      <c r="H290" s="98"/>
      <c r="I290" s="98"/>
      <c r="J290" s="98">
        <f t="shared" si="139"/>
        <v>0</v>
      </c>
      <c r="K290" s="98"/>
      <c r="L290" s="112"/>
      <c r="M290" s="98"/>
      <c r="N290" s="98"/>
      <c r="O290" s="98"/>
      <c r="P290" s="98">
        <f t="shared" si="138"/>
        <v>0</v>
      </c>
      <c r="Q290" s="23"/>
      <c r="R290" s="32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  <c r="TF290" s="23"/>
      <c r="TG290" s="23"/>
    </row>
    <row r="291" spans="1:527" s="22" customFormat="1" ht="33.75" customHeight="1" x14ac:dyDescent="0.25">
      <c r="A291" s="59" t="s">
        <v>527</v>
      </c>
      <c r="B291" s="92">
        <v>9750</v>
      </c>
      <c r="C291" s="59" t="s">
        <v>45</v>
      </c>
      <c r="D291" s="60" t="s">
        <v>528</v>
      </c>
      <c r="E291" s="98">
        <f t="shared" ref="E291" si="144">F291+I291</f>
        <v>0</v>
      </c>
      <c r="F291" s="98"/>
      <c r="G291" s="98"/>
      <c r="H291" s="98"/>
      <c r="I291" s="98"/>
      <c r="J291" s="98">
        <f t="shared" ref="J291" si="145">L291+O291</f>
        <v>86000</v>
      </c>
      <c r="K291" s="98">
        <v>86000</v>
      </c>
      <c r="L291" s="112"/>
      <c r="M291" s="98"/>
      <c r="N291" s="98"/>
      <c r="O291" s="98">
        <v>86000</v>
      </c>
      <c r="P291" s="98">
        <f t="shared" ref="P291" si="146">E291+J291</f>
        <v>86000</v>
      </c>
      <c r="Q291" s="23"/>
      <c r="R291" s="32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  <c r="TF291" s="23"/>
      <c r="TG291" s="23"/>
    </row>
    <row r="292" spans="1:527" s="27" customFormat="1" ht="30.75" customHeight="1" x14ac:dyDescent="0.25">
      <c r="A292" s="109" t="s">
        <v>207</v>
      </c>
      <c r="B292" s="111"/>
      <c r="C292" s="111"/>
      <c r="D292" s="106" t="s">
        <v>40</v>
      </c>
      <c r="E292" s="94">
        <f>E293</f>
        <v>11950107</v>
      </c>
      <c r="F292" s="94">
        <f t="shared" ref="F292:J292" si="147">F293</f>
        <v>11950107</v>
      </c>
      <c r="G292" s="94">
        <f t="shared" si="147"/>
        <v>7340700</v>
      </c>
      <c r="H292" s="94">
        <f t="shared" si="147"/>
        <v>137522</v>
      </c>
      <c r="I292" s="94">
        <f t="shared" si="147"/>
        <v>0</v>
      </c>
      <c r="J292" s="94">
        <f t="shared" si="147"/>
        <v>2596250.2999999998</v>
      </c>
      <c r="K292" s="94">
        <f t="shared" ref="K292" si="148">K293</f>
        <v>0</v>
      </c>
      <c r="L292" s="94">
        <f t="shared" ref="L292" si="149">L293</f>
        <v>2596250.2999999998</v>
      </c>
      <c r="M292" s="94">
        <f t="shared" ref="M292" si="150">M293</f>
        <v>0</v>
      </c>
      <c r="N292" s="94">
        <f t="shared" ref="N292" si="151">N293</f>
        <v>0</v>
      </c>
      <c r="O292" s="94">
        <f t="shared" ref="O292:P292" si="152">O293</f>
        <v>0</v>
      </c>
      <c r="P292" s="94">
        <f t="shared" si="152"/>
        <v>14546357.300000001</v>
      </c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  <c r="IP292" s="32"/>
      <c r="IQ292" s="32"/>
      <c r="IR292" s="32"/>
      <c r="IS292" s="32"/>
      <c r="IT292" s="32"/>
      <c r="IU292" s="32"/>
      <c r="IV292" s="32"/>
      <c r="IW292" s="32"/>
      <c r="IX292" s="32"/>
      <c r="IY292" s="32"/>
      <c r="IZ292" s="32"/>
      <c r="JA292" s="32"/>
      <c r="JB292" s="32"/>
      <c r="JC292" s="32"/>
      <c r="JD292" s="32"/>
      <c r="JE292" s="32"/>
      <c r="JF292" s="32"/>
      <c r="JG292" s="32"/>
      <c r="JH292" s="32"/>
      <c r="JI292" s="32"/>
      <c r="JJ292" s="32"/>
      <c r="JK292" s="32"/>
      <c r="JL292" s="32"/>
      <c r="JM292" s="32"/>
      <c r="JN292" s="32"/>
      <c r="JO292" s="32"/>
      <c r="JP292" s="32"/>
      <c r="JQ292" s="32"/>
      <c r="JR292" s="32"/>
      <c r="JS292" s="32"/>
      <c r="JT292" s="32"/>
      <c r="JU292" s="32"/>
      <c r="JV292" s="32"/>
      <c r="JW292" s="32"/>
      <c r="JX292" s="32"/>
      <c r="JY292" s="32"/>
      <c r="JZ292" s="32"/>
      <c r="KA292" s="32"/>
      <c r="KB292" s="32"/>
      <c r="KC292" s="32"/>
      <c r="KD292" s="32"/>
      <c r="KE292" s="32"/>
      <c r="KF292" s="32"/>
      <c r="KG292" s="32"/>
      <c r="KH292" s="32"/>
      <c r="KI292" s="32"/>
      <c r="KJ292" s="32"/>
      <c r="KK292" s="32"/>
      <c r="KL292" s="32"/>
      <c r="KM292" s="32"/>
      <c r="KN292" s="32"/>
      <c r="KO292" s="32"/>
      <c r="KP292" s="32"/>
      <c r="KQ292" s="32"/>
      <c r="KR292" s="32"/>
      <c r="KS292" s="32"/>
      <c r="KT292" s="32"/>
      <c r="KU292" s="32"/>
      <c r="KV292" s="32"/>
      <c r="KW292" s="32"/>
      <c r="KX292" s="32"/>
      <c r="KY292" s="32"/>
      <c r="KZ292" s="32"/>
      <c r="LA292" s="32"/>
      <c r="LB292" s="32"/>
      <c r="LC292" s="32"/>
      <c r="LD292" s="32"/>
      <c r="LE292" s="32"/>
      <c r="LF292" s="32"/>
      <c r="LG292" s="32"/>
      <c r="LH292" s="32"/>
      <c r="LI292" s="32"/>
      <c r="LJ292" s="32"/>
      <c r="LK292" s="32"/>
      <c r="LL292" s="32"/>
      <c r="LM292" s="32"/>
      <c r="LN292" s="32"/>
      <c r="LO292" s="32"/>
      <c r="LP292" s="32"/>
      <c r="LQ292" s="32"/>
      <c r="LR292" s="32"/>
      <c r="LS292" s="32"/>
      <c r="LT292" s="32"/>
      <c r="LU292" s="32"/>
      <c r="LV292" s="32"/>
      <c r="LW292" s="32"/>
      <c r="LX292" s="32"/>
      <c r="LY292" s="32"/>
      <c r="LZ292" s="32"/>
      <c r="MA292" s="32"/>
      <c r="MB292" s="32"/>
      <c r="MC292" s="32"/>
      <c r="MD292" s="32"/>
      <c r="ME292" s="32"/>
      <c r="MF292" s="32"/>
      <c r="MG292" s="32"/>
      <c r="MH292" s="32"/>
      <c r="MI292" s="32"/>
      <c r="MJ292" s="32"/>
      <c r="MK292" s="32"/>
      <c r="ML292" s="32"/>
      <c r="MM292" s="32"/>
      <c r="MN292" s="32"/>
      <c r="MO292" s="32"/>
      <c r="MP292" s="32"/>
      <c r="MQ292" s="32"/>
      <c r="MR292" s="32"/>
      <c r="MS292" s="32"/>
      <c r="MT292" s="32"/>
      <c r="MU292" s="32"/>
      <c r="MV292" s="32"/>
      <c r="MW292" s="32"/>
      <c r="MX292" s="32"/>
      <c r="MY292" s="32"/>
      <c r="MZ292" s="32"/>
      <c r="NA292" s="32"/>
      <c r="NB292" s="32"/>
      <c r="NC292" s="32"/>
      <c r="ND292" s="32"/>
      <c r="NE292" s="32"/>
      <c r="NF292" s="32"/>
      <c r="NG292" s="32"/>
      <c r="NH292" s="32"/>
      <c r="NI292" s="32"/>
      <c r="NJ292" s="32"/>
      <c r="NK292" s="32"/>
      <c r="NL292" s="32"/>
      <c r="NM292" s="32"/>
      <c r="NN292" s="32"/>
      <c r="NO292" s="32"/>
      <c r="NP292" s="32"/>
      <c r="NQ292" s="32"/>
      <c r="NR292" s="32"/>
      <c r="NS292" s="32"/>
      <c r="NT292" s="32"/>
      <c r="NU292" s="32"/>
      <c r="NV292" s="32"/>
      <c r="NW292" s="32"/>
      <c r="NX292" s="32"/>
      <c r="NY292" s="32"/>
      <c r="NZ292" s="32"/>
      <c r="OA292" s="32"/>
      <c r="OB292" s="32"/>
      <c r="OC292" s="32"/>
      <c r="OD292" s="32"/>
      <c r="OE292" s="32"/>
      <c r="OF292" s="32"/>
      <c r="OG292" s="32"/>
      <c r="OH292" s="32"/>
      <c r="OI292" s="32"/>
      <c r="OJ292" s="32"/>
      <c r="OK292" s="32"/>
      <c r="OL292" s="32"/>
      <c r="OM292" s="32"/>
      <c r="ON292" s="32"/>
      <c r="OO292" s="32"/>
      <c r="OP292" s="32"/>
      <c r="OQ292" s="32"/>
      <c r="OR292" s="32"/>
      <c r="OS292" s="32"/>
      <c r="OT292" s="32"/>
      <c r="OU292" s="32"/>
      <c r="OV292" s="32"/>
      <c r="OW292" s="32"/>
      <c r="OX292" s="32"/>
      <c r="OY292" s="32"/>
      <c r="OZ292" s="32"/>
      <c r="PA292" s="32"/>
      <c r="PB292" s="32"/>
      <c r="PC292" s="32"/>
      <c r="PD292" s="32"/>
      <c r="PE292" s="32"/>
      <c r="PF292" s="32"/>
      <c r="PG292" s="32"/>
      <c r="PH292" s="32"/>
      <c r="PI292" s="32"/>
      <c r="PJ292" s="32"/>
      <c r="PK292" s="32"/>
      <c r="PL292" s="32"/>
      <c r="PM292" s="32"/>
      <c r="PN292" s="32"/>
      <c r="PO292" s="32"/>
      <c r="PP292" s="32"/>
      <c r="PQ292" s="32"/>
      <c r="PR292" s="32"/>
      <c r="PS292" s="32"/>
      <c r="PT292" s="32"/>
      <c r="PU292" s="32"/>
      <c r="PV292" s="32"/>
      <c r="PW292" s="32"/>
      <c r="PX292" s="32"/>
      <c r="PY292" s="32"/>
      <c r="PZ292" s="32"/>
      <c r="QA292" s="32"/>
      <c r="QB292" s="32"/>
      <c r="QC292" s="32"/>
      <c r="QD292" s="32"/>
      <c r="QE292" s="32"/>
      <c r="QF292" s="32"/>
      <c r="QG292" s="32"/>
      <c r="QH292" s="32"/>
      <c r="QI292" s="32"/>
      <c r="QJ292" s="32"/>
      <c r="QK292" s="32"/>
      <c r="QL292" s="32"/>
      <c r="QM292" s="32"/>
      <c r="QN292" s="32"/>
      <c r="QO292" s="32"/>
      <c r="QP292" s="32"/>
      <c r="QQ292" s="32"/>
      <c r="QR292" s="32"/>
      <c r="QS292" s="32"/>
      <c r="QT292" s="32"/>
      <c r="QU292" s="32"/>
      <c r="QV292" s="32"/>
      <c r="QW292" s="32"/>
      <c r="QX292" s="32"/>
      <c r="QY292" s="32"/>
      <c r="QZ292" s="32"/>
      <c r="RA292" s="32"/>
      <c r="RB292" s="32"/>
      <c r="RC292" s="32"/>
      <c r="RD292" s="32"/>
      <c r="RE292" s="32"/>
      <c r="RF292" s="32"/>
      <c r="RG292" s="32"/>
      <c r="RH292" s="32"/>
      <c r="RI292" s="32"/>
      <c r="RJ292" s="32"/>
      <c r="RK292" s="32"/>
      <c r="RL292" s="32"/>
      <c r="RM292" s="32"/>
      <c r="RN292" s="32"/>
      <c r="RO292" s="32"/>
      <c r="RP292" s="32"/>
      <c r="RQ292" s="32"/>
      <c r="RR292" s="32"/>
      <c r="RS292" s="32"/>
      <c r="RT292" s="32"/>
      <c r="RU292" s="32"/>
      <c r="RV292" s="32"/>
      <c r="RW292" s="32"/>
      <c r="RX292" s="32"/>
      <c r="RY292" s="32"/>
      <c r="RZ292" s="32"/>
      <c r="SA292" s="32"/>
      <c r="SB292" s="32"/>
      <c r="SC292" s="32"/>
      <c r="SD292" s="32"/>
      <c r="SE292" s="32"/>
      <c r="SF292" s="32"/>
      <c r="SG292" s="32"/>
      <c r="SH292" s="32"/>
      <c r="SI292" s="32"/>
      <c r="SJ292" s="32"/>
      <c r="SK292" s="32"/>
      <c r="SL292" s="32"/>
      <c r="SM292" s="32"/>
      <c r="SN292" s="32"/>
      <c r="SO292" s="32"/>
      <c r="SP292" s="32"/>
      <c r="SQ292" s="32"/>
      <c r="SR292" s="32"/>
      <c r="SS292" s="32"/>
      <c r="ST292" s="32"/>
      <c r="SU292" s="32"/>
      <c r="SV292" s="32"/>
      <c r="SW292" s="32"/>
      <c r="SX292" s="32"/>
      <c r="SY292" s="32"/>
      <c r="SZ292" s="32"/>
      <c r="TA292" s="32"/>
      <c r="TB292" s="32"/>
      <c r="TC292" s="32"/>
      <c r="TD292" s="32"/>
      <c r="TE292" s="32"/>
      <c r="TF292" s="32"/>
      <c r="TG292" s="32"/>
    </row>
    <row r="293" spans="1:527" s="34" customFormat="1" ht="35.25" customHeight="1" x14ac:dyDescent="0.25">
      <c r="A293" s="95" t="s">
        <v>208</v>
      </c>
      <c r="B293" s="108"/>
      <c r="C293" s="108"/>
      <c r="D293" s="76" t="s">
        <v>40</v>
      </c>
      <c r="E293" s="97">
        <f>E294+E295+E296+E297+E298</f>
        <v>11950107</v>
      </c>
      <c r="F293" s="97">
        <f>F294+F295+F296+F297+F298</f>
        <v>11950107</v>
      </c>
      <c r="G293" s="97">
        <f t="shared" ref="G293:P293" si="153">G294+G295+G296+G297+G298</f>
        <v>7340700</v>
      </c>
      <c r="H293" s="97">
        <f t="shared" si="153"/>
        <v>137522</v>
      </c>
      <c r="I293" s="97">
        <f t="shared" si="153"/>
        <v>0</v>
      </c>
      <c r="J293" s="97">
        <f t="shared" si="153"/>
        <v>2596250.2999999998</v>
      </c>
      <c r="K293" s="97">
        <f t="shared" si="153"/>
        <v>0</v>
      </c>
      <c r="L293" s="97">
        <f t="shared" si="153"/>
        <v>2596250.2999999998</v>
      </c>
      <c r="M293" s="97">
        <f t="shared" si="153"/>
        <v>0</v>
      </c>
      <c r="N293" s="97">
        <f t="shared" si="153"/>
        <v>0</v>
      </c>
      <c r="O293" s="97">
        <f t="shared" si="153"/>
        <v>0</v>
      </c>
      <c r="P293" s="97">
        <f t="shared" si="153"/>
        <v>14546357.300000001</v>
      </c>
      <c r="Q293" s="33"/>
      <c r="R293" s="32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  <c r="IU293" s="33"/>
      <c r="IV293" s="33"/>
      <c r="IW293" s="33"/>
      <c r="IX293" s="33"/>
      <c r="IY293" s="33"/>
      <c r="IZ293" s="33"/>
      <c r="JA293" s="33"/>
      <c r="JB293" s="33"/>
      <c r="JC293" s="33"/>
      <c r="JD293" s="33"/>
      <c r="JE293" s="33"/>
      <c r="JF293" s="33"/>
      <c r="JG293" s="33"/>
      <c r="JH293" s="33"/>
      <c r="JI293" s="33"/>
      <c r="JJ293" s="33"/>
      <c r="JK293" s="33"/>
      <c r="JL293" s="33"/>
      <c r="JM293" s="33"/>
      <c r="JN293" s="33"/>
      <c r="JO293" s="33"/>
      <c r="JP293" s="33"/>
      <c r="JQ293" s="33"/>
      <c r="JR293" s="33"/>
      <c r="JS293" s="33"/>
      <c r="JT293" s="33"/>
      <c r="JU293" s="33"/>
      <c r="JV293" s="33"/>
      <c r="JW293" s="33"/>
      <c r="JX293" s="33"/>
      <c r="JY293" s="33"/>
      <c r="JZ293" s="33"/>
      <c r="KA293" s="33"/>
      <c r="KB293" s="33"/>
      <c r="KC293" s="33"/>
      <c r="KD293" s="33"/>
      <c r="KE293" s="33"/>
      <c r="KF293" s="33"/>
      <c r="KG293" s="33"/>
      <c r="KH293" s="33"/>
      <c r="KI293" s="33"/>
      <c r="KJ293" s="33"/>
      <c r="KK293" s="33"/>
      <c r="KL293" s="33"/>
      <c r="KM293" s="33"/>
      <c r="KN293" s="33"/>
      <c r="KO293" s="33"/>
      <c r="KP293" s="33"/>
      <c r="KQ293" s="33"/>
      <c r="KR293" s="33"/>
      <c r="KS293" s="33"/>
      <c r="KT293" s="33"/>
      <c r="KU293" s="33"/>
      <c r="KV293" s="33"/>
      <c r="KW293" s="33"/>
      <c r="KX293" s="33"/>
      <c r="KY293" s="33"/>
      <c r="KZ293" s="33"/>
      <c r="LA293" s="33"/>
      <c r="LB293" s="33"/>
      <c r="LC293" s="33"/>
      <c r="LD293" s="33"/>
      <c r="LE293" s="33"/>
      <c r="LF293" s="33"/>
      <c r="LG293" s="33"/>
      <c r="LH293" s="33"/>
      <c r="LI293" s="33"/>
      <c r="LJ293" s="33"/>
      <c r="LK293" s="33"/>
      <c r="LL293" s="33"/>
      <c r="LM293" s="33"/>
      <c r="LN293" s="33"/>
      <c r="LO293" s="33"/>
      <c r="LP293" s="33"/>
      <c r="LQ293" s="33"/>
      <c r="LR293" s="33"/>
      <c r="LS293" s="33"/>
      <c r="LT293" s="33"/>
      <c r="LU293" s="33"/>
      <c r="LV293" s="33"/>
      <c r="LW293" s="33"/>
      <c r="LX293" s="33"/>
      <c r="LY293" s="33"/>
      <c r="LZ293" s="33"/>
      <c r="MA293" s="33"/>
      <c r="MB293" s="33"/>
      <c r="MC293" s="33"/>
      <c r="MD293" s="33"/>
      <c r="ME293" s="33"/>
      <c r="MF293" s="33"/>
      <c r="MG293" s="33"/>
      <c r="MH293" s="33"/>
      <c r="MI293" s="33"/>
      <c r="MJ293" s="33"/>
      <c r="MK293" s="33"/>
      <c r="ML293" s="33"/>
      <c r="MM293" s="33"/>
      <c r="MN293" s="33"/>
      <c r="MO293" s="33"/>
      <c r="MP293" s="33"/>
      <c r="MQ293" s="33"/>
      <c r="MR293" s="33"/>
      <c r="MS293" s="33"/>
      <c r="MT293" s="33"/>
      <c r="MU293" s="33"/>
      <c r="MV293" s="33"/>
      <c r="MW293" s="33"/>
      <c r="MX293" s="33"/>
      <c r="MY293" s="33"/>
      <c r="MZ293" s="33"/>
      <c r="NA293" s="33"/>
      <c r="NB293" s="33"/>
      <c r="NC293" s="33"/>
      <c r="ND293" s="33"/>
      <c r="NE293" s="33"/>
      <c r="NF293" s="33"/>
      <c r="NG293" s="33"/>
      <c r="NH293" s="33"/>
      <c r="NI293" s="33"/>
      <c r="NJ293" s="33"/>
      <c r="NK293" s="33"/>
      <c r="NL293" s="33"/>
      <c r="NM293" s="33"/>
      <c r="NN293" s="33"/>
      <c r="NO293" s="33"/>
      <c r="NP293" s="33"/>
      <c r="NQ293" s="33"/>
      <c r="NR293" s="33"/>
      <c r="NS293" s="33"/>
      <c r="NT293" s="33"/>
      <c r="NU293" s="33"/>
      <c r="NV293" s="33"/>
      <c r="NW293" s="33"/>
      <c r="NX293" s="33"/>
      <c r="NY293" s="33"/>
      <c r="NZ293" s="33"/>
      <c r="OA293" s="33"/>
      <c r="OB293" s="33"/>
      <c r="OC293" s="33"/>
      <c r="OD293" s="33"/>
      <c r="OE293" s="33"/>
      <c r="OF293" s="33"/>
      <c r="OG293" s="33"/>
      <c r="OH293" s="33"/>
      <c r="OI293" s="33"/>
      <c r="OJ293" s="33"/>
      <c r="OK293" s="33"/>
      <c r="OL293" s="33"/>
      <c r="OM293" s="33"/>
      <c r="ON293" s="33"/>
      <c r="OO293" s="33"/>
      <c r="OP293" s="33"/>
      <c r="OQ293" s="33"/>
      <c r="OR293" s="33"/>
      <c r="OS293" s="33"/>
      <c r="OT293" s="33"/>
      <c r="OU293" s="33"/>
      <c r="OV293" s="33"/>
      <c r="OW293" s="33"/>
      <c r="OX293" s="33"/>
      <c r="OY293" s="33"/>
      <c r="OZ293" s="33"/>
      <c r="PA293" s="33"/>
      <c r="PB293" s="33"/>
      <c r="PC293" s="33"/>
      <c r="PD293" s="33"/>
      <c r="PE293" s="33"/>
      <c r="PF293" s="33"/>
      <c r="PG293" s="33"/>
      <c r="PH293" s="33"/>
      <c r="PI293" s="33"/>
      <c r="PJ293" s="33"/>
      <c r="PK293" s="33"/>
      <c r="PL293" s="33"/>
      <c r="PM293" s="33"/>
      <c r="PN293" s="33"/>
      <c r="PO293" s="33"/>
      <c r="PP293" s="33"/>
      <c r="PQ293" s="33"/>
      <c r="PR293" s="33"/>
      <c r="PS293" s="33"/>
      <c r="PT293" s="33"/>
      <c r="PU293" s="33"/>
      <c r="PV293" s="33"/>
      <c r="PW293" s="33"/>
      <c r="PX293" s="33"/>
      <c r="PY293" s="33"/>
      <c r="PZ293" s="33"/>
      <c r="QA293" s="33"/>
      <c r="QB293" s="33"/>
      <c r="QC293" s="33"/>
      <c r="QD293" s="33"/>
      <c r="QE293" s="33"/>
      <c r="QF293" s="33"/>
      <c r="QG293" s="33"/>
      <c r="QH293" s="33"/>
      <c r="QI293" s="33"/>
      <c r="QJ293" s="33"/>
      <c r="QK293" s="33"/>
      <c r="QL293" s="33"/>
      <c r="QM293" s="33"/>
      <c r="QN293" s="33"/>
      <c r="QO293" s="33"/>
      <c r="QP293" s="33"/>
      <c r="QQ293" s="33"/>
      <c r="QR293" s="33"/>
      <c r="QS293" s="33"/>
      <c r="QT293" s="33"/>
      <c r="QU293" s="33"/>
      <c r="QV293" s="33"/>
      <c r="QW293" s="33"/>
      <c r="QX293" s="33"/>
      <c r="QY293" s="33"/>
      <c r="QZ293" s="33"/>
      <c r="RA293" s="33"/>
      <c r="RB293" s="33"/>
      <c r="RC293" s="33"/>
      <c r="RD293" s="33"/>
      <c r="RE293" s="33"/>
      <c r="RF293" s="33"/>
      <c r="RG293" s="33"/>
      <c r="RH293" s="33"/>
      <c r="RI293" s="33"/>
      <c r="RJ293" s="33"/>
      <c r="RK293" s="33"/>
      <c r="RL293" s="33"/>
      <c r="RM293" s="33"/>
      <c r="RN293" s="33"/>
      <c r="RO293" s="33"/>
      <c r="RP293" s="33"/>
      <c r="RQ293" s="33"/>
      <c r="RR293" s="33"/>
      <c r="RS293" s="33"/>
      <c r="RT293" s="33"/>
      <c r="RU293" s="33"/>
      <c r="RV293" s="33"/>
      <c r="RW293" s="33"/>
      <c r="RX293" s="33"/>
      <c r="RY293" s="33"/>
      <c r="RZ293" s="33"/>
      <c r="SA293" s="33"/>
      <c r="SB293" s="33"/>
      <c r="SC293" s="33"/>
      <c r="SD293" s="33"/>
      <c r="SE293" s="33"/>
      <c r="SF293" s="33"/>
      <c r="SG293" s="33"/>
      <c r="SH293" s="33"/>
      <c r="SI293" s="33"/>
      <c r="SJ293" s="33"/>
      <c r="SK293" s="33"/>
      <c r="SL293" s="33"/>
      <c r="SM293" s="33"/>
      <c r="SN293" s="33"/>
      <c r="SO293" s="33"/>
      <c r="SP293" s="33"/>
      <c r="SQ293" s="33"/>
      <c r="SR293" s="33"/>
      <c r="SS293" s="33"/>
      <c r="ST293" s="33"/>
      <c r="SU293" s="33"/>
      <c r="SV293" s="33"/>
      <c r="SW293" s="33"/>
      <c r="SX293" s="33"/>
      <c r="SY293" s="33"/>
      <c r="SZ293" s="33"/>
      <c r="TA293" s="33"/>
      <c r="TB293" s="33"/>
      <c r="TC293" s="33"/>
      <c r="TD293" s="33"/>
      <c r="TE293" s="33"/>
      <c r="TF293" s="33"/>
      <c r="TG293" s="33"/>
    </row>
    <row r="294" spans="1:527" s="22" customFormat="1" ht="47.25" x14ac:dyDescent="0.25">
      <c r="A294" s="59" t="s">
        <v>209</v>
      </c>
      <c r="B294" s="92" t="str">
        <f>'дод 7'!A19</f>
        <v>0160</v>
      </c>
      <c r="C294" s="92" t="str">
        <f>'дод 7'!B19</f>
        <v>0111</v>
      </c>
      <c r="D294" s="36" t="s">
        <v>493</v>
      </c>
      <c r="E294" s="98">
        <f>F294+I294</f>
        <v>9514841</v>
      </c>
      <c r="F294" s="98">
        <f>9390500+40922+48490+29329+5600</f>
        <v>9514841</v>
      </c>
      <c r="G294" s="98">
        <f>7405200-64500</f>
        <v>7340700</v>
      </c>
      <c r="H294" s="98">
        <f>86000+40922+5600+5000</f>
        <v>137522</v>
      </c>
      <c r="I294" s="98"/>
      <c r="J294" s="98">
        <f t="shared" si="139"/>
        <v>0</v>
      </c>
      <c r="K294" s="98"/>
      <c r="L294" s="98"/>
      <c r="M294" s="98"/>
      <c r="N294" s="98"/>
      <c r="O294" s="98"/>
      <c r="P294" s="98">
        <f>E294+J294</f>
        <v>9514841</v>
      </c>
      <c r="Q294" s="23"/>
      <c r="R294" s="32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  <c r="IW294" s="23"/>
      <c r="IX294" s="23"/>
      <c r="IY294" s="23"/>
      <c r="IZ294" s="23"/>
      <c r="JA294" s="23"/>
      <c r="JB294" s="23"/>
      <c r="JC294" s="23"/>
      <c r="JD294" s="23"/>
      <c r="JE294" s="23"/>
      <c r="JF294" s="23"/>
      <c r="JG294" s="23"/>
      <c r="JH294" s="23"/>
      <c r="JI294" s="23"/>
      <c r="JJ294" s="23"/>
      <c r="JK294" s="23"/>
      <c r="JL294" s="23"/>
      <c r="JM294" s="23"/>
      <c r="JN294" s="23"/>
      <c r="JO294" s="23"/>
      <c r="JP294" s="23"/>
      <c r="JQ294" s="23"/>
      <c r="JR294" s="23"/>
      <c r="JS294" s="23"/>
      <c r="JT294" s="23"/>
      <c r="JU294" s="23"/>
      <c r="JV294" s="23"/>
      <c r="JW294" s="23"/>
      <c r="JX294" s="23"/>
      <c r="JY294" s="23"/>
      <c r="JZ294" s="23"/>
      <c r="KA294" s="23"/>
      <c r="KB294" s="23"/>
      <c r="KC294" s="23"/>
      <c r="KD294" s="23"/>
      <c r="KE294" s="23"/>
      <c r="KF294" s="23"/>
      <c r="KG294" s="23"/>
      <c r="KH294" s="23"/>
      <c r="KI294" s="23"/>
      <c r="KJ294" s="23"/>
      <c r="KK294" s="23"/>
      <c r="KL294" s="23"/>
      <c r="KM294" s="23"/>
      <c r="KN294" s="23"/>
      <c r="KO294" s="23"/>
      <c r="KP294" s="23"/>
      <c r="KQ294" s="23"/>
      <c r="KR294" s="23"/>
      <c r="KS294" s="23"/>
      <c r="KT294" s="23"/>
      <c r="KU294" s="23"/>
      <c r="KV294" s="23"/>
      <c r="KW294" s="23"/>
      <c r="KX294" s="23"/>
      <c r="KY294" s="23"/>
      <c r="KZ294" s="23"/>
      <c r="LA294" s="23"/>
      <c r="LB294" s="23"/>
      <c r="LC294" s="23"/>
      <c r="LD294" s="23"/>
      <c r="LE294" s="23"/>
      <c r="LF294" s="23"/>
      <c r="LG294" s="23"/>
      <c r="LH294" s="23"/>
      <c r="LI294" s="23"/>
      <c r="LJ294" s="23"/>
      <c r="LK294" s="23"/>
      <c r="LL294" s="23"/>
      <c r="LM294" s="23"/>
      <c r="LN294" s="23"/>
      <c r="LO294" s="23"/>
      <c r="LP294" s="23"/>
      <c r="LQ294" s="23"/>
      <c r="LR294" s="23"/>
      <c r="LS294" s="23"/>
      <c r="LT294" s="23"/>
      <c r="LU294" s="23"/>
      <c r="LV294" s="23"/>
      <c r="LW294" s="23"/>
      <c r="LX294" s="23"/>
      <c r="LY294" s="23"/>
      <c r="LZ294" s="23"/>
      <c r="MA294" s="23"/>
      <c r="MB294" s="23"/>
      <c r="MC294" s="23"/>
      <c r="MD294" s="23"/>
      <c r="ME294" s="23"/>
      <c r="MF294" s="23"/>
      <c r="MG294" s="23"/>
      <c r="MH294" s="23"/>
      <c r="MI294" s="23"/>
      <c r="MJ294" s="23"/>
      <c r="MK294" s="23"/>
      <c r="ML294" s="23"/>
      <c r="MM294" s="23"/>
      <c r="MN294" s="23"/>
      <c r="MO294" s="23"/>
      <c r="MP294" s="23"/>
      <c r="MQ294" s="23"/>
      <c r="MR294" s="23"/>
      <c r="MS294" s="23"/>
      <c r="MT294" s="23"/>
      <c r="MU294" s="23"/>
      <c r="MV294" s="23"/>
      <c r="MW294" s="23"/>
      <c r="MX294" s="23"/>
      <c r="MY294" s="23"/>
      <c r="MZ294" s="23"/>
      <c r="NA294" s="23"/>
      <c r="NB294" s="23"/>
      <c r="NC294" s="23"/>
      <c r="ND294" s="23"/>
      <c r="NE294" s="23"/>
      <c r="NF294" s="23"/>
      <c r="NG294" s="23"/>
      <c r="NH294" s="23"/>
      <c r="NI294" s="23"/>
      <c r="NJ294" s="23"/>
      <c r="NK294" s="23"/>
      <c r="NL294" s="23"/>
      <c r="NM294" s="23"/>
      <c r="NN294" s="23"/>
      <c r="NO294" s="23"/>
      <c r="NP294" s="23"/>
      <c r="NQ294" s="23"/>
      <c r="NR294" s="23"/>
      <c r="NS294" s="23"/>
      <c r="NT294" s="23"/>
      <c r="NU294" s="23"/>
      <c r="NV294" s="23"/>
      <c r="NW294" s="23"/>
      <c r="NX294" s="23"/>
      <c r="NY294" s="23"/>
      <c r="NZ294" s="23"/>
      <c r="OA294" s="23"/>
      <c r="OB294" s="23"/>
      <c r="OC294" s="23"/>
      <c r="OD294" s="23"/>
      <c r="OE294" s="23"/>
      <c r="OF294" s="23"/>
      <c r="OG294" s="23"/>
      <c r="OH294" s="23"/>
      <c r="OI294" s="23"/>
      <c r="OJ294" s="23"/>
      <c r="OK294" s="23"/>
      <c r="OL294" s="23"/>
      <c r="OM294" s="23"/>
      <c r="ON294" s="23"/>
      <c r="OO294" s="23"/>
      <c r="OP294" s="23"/>
      <c r="OQ294" s="23"/>
      <c r="OR294" s="23"/>
      <c r="OS294" s="23"/>
      <c r="OT294" s="23"/>
      <c r="OU294" s="23"/>
      <c r="OV294" s="23"/>
      <c r="OW294" s="23"/>
      <c r="OX294" s="23"/>
      <c r="OY294" s="23"/>
      <c r="OZ294" s="23"/>
      <c r="PA294" s="23"/>
      <c r="PB294" s="23"/>
      <c r="PC294" s="23"/>
      <c r="PD294" s="23"/>
      <c r="PE294" s="23"/>
      <c r="PF294" s="23"/>
      <c r="PG294" s="23"/>
      <c r="PH294" s="23"/>
      <c r="PI294" s="23"/>
      <c r="PJ294" s="23"/>
      <c r="PK294" s="23"/>
      <c r="PL294" s="23"/>
      <c r="PM294" s="23"/>
      <c r="PN294" s="23"/>
      <c r="PO294" s="23"/>
      <c r="PP294" s="23"/>
      <c r="PQ294" s="23"/>
      <c r="PR294" s="23"/>
      <c r="PS294" s="23"/>
      <c r="PT294" s="23"/>
      <c r="PU294" s="23"/>
      <c r="PV294" s="23"/>
      <c r="PW294" s="23"/>
      <c r="PX294" s="23"/>
      <c r="PY294" s="23"/>
      <c r="PZ294" s="23"/>
      <c r="QA294" s="23"/>
      <c r="QB294" s="23"/>
      <c r="QC294" s="23"/>
      <c r="QD294" s="23"/>
      <c r="QE294" s="23"/>
      <c r="QF294" s="23"/>
      <c r="QG294" s="23"/>
      <c r="QH294" s="23"/>
      <c r="QI294" s="23"/>
      <c r="QJ294" s="23"/>
      <c r="QK294" s="23"/>
      <c r="QL294" s="23"/>
      <c r="QM294" s="23"/>
      <c r="QN294" s="23"/>
      <c r="QO294" s="23"/>
      <c r="QP294" s="23"/>
      <c r="QQ294" s="23"/>
      <c r="QR294" s="23"/>
      <c r="QS294" s="23"/>
      <c r="QT294" s="23"/>
      <c r="QU294" s="23"/>
      <c r="QV294" s="23"/>
      <c r="QW294" s="23"/>
      <c r="QX294" s="23"/>
      <c r="QY294" s="23"/>
      <c r="QZ294" s="23"/>
      <c r="RA294" s="23"/>
      <c r="RB294" s="23"/>
      <c r="RC294" s="23"/>
      <c r="RD294" s="23"/>
      <c r="RE294" s="23"/>
      <c r="RF294" s="23"/>
      <c r="RG294" s="23"/>
      <c r="RH294" s="23"/>
      <c r="RI294" s="23"/>
      <c r="RJ294" s="23"/>
      <c r="RK294" s="23"/>
      <c r="RL294" s="23"/>
      <c r="RM294" s="23"/>
      <c r="RN294" s="23"/>
      <c r="RO294" s="23"/>
      <c r="RP294" s="23"/>
      <c r="RQ294" s="23"/>
      <c r="RR294" s="23"/>
      <c r="RS294" s="23"/>
      <c r="RT294" s="23"/>
      <c r="RU294" s="23"/>
      <c r="RV294" s="23"/>
      <c r="RW294" s="23"/>
      <c r="RX294" s="23"/>
      <c r="RY294" s="23"/>
      <c r="RZ294" s="23"/>
      <c r="SA294" s="23"/>
      <c r="SB294" s="23"/>
      <c r="SC294" s="23"/>
      <c r="SD294" s="23"/>
      <c r="SE294" s="23"/>
      <c r="SF294" s="23"/>
      <c r="SG294" s="23"/>
      <c r="SH294" s="23"/>
      <c r="SI294" s="23"/>
      <c r="SJ294" s="23"/>
      <c r="SK294" s="23"/>
      <c r="SL294" s="23"/>
      <c r="SM294" s="23"/>
      <c r="SN294" s="23"/>
      <c r="SO294" s="23"/>
      <c r="SP294" s="23"/>
      <c r="SQ294" s="23"/>
      <c r="SR294" s="23"/>
      <c r="SS294" s="23"/>
      <c r="ST294" s="23"/>
      <c r="SU294" s="23"/>
      <c r="SV294" s="23"/>
      <c r="SW294" s="23"/>
      <c r="SX294" s="23"/>
      <c r="SY294" s="23"/>
      <c r="SZ294" s="23"/>
      <c r="TA294" s="23"/>
      <c r="TB294" s="23"/>
      <c r="TC294" s="23"/>
      <c r="TD294" s="23"/>
      <c r="TE294" s="23"/>
      <c r="TF294" s="23"/>
      <c r="TG294" s="23"/>
    </row>
    <row r="295" spans="1:527" s="22" customFormat="1" ht="31.5" x14ac:dyDescent="0.25">
      <c r="A295" s="59" t="s">
        <v>311</v>
      </c>
      <c r="B295" s="92" t="str">
        <f>'дод 7'!A166</f>
        <v>6090</v>
      </c>
      <c r="C295" s="92" t="str">
        <f>'дод 7'!B166</f>
        <v>0640</v>
      </c>
      <c r="D295" s="60" t="str">
        <f>'дод 7'!C166</f>
        <v>Інша діяльність у сфері житлово-комунального господарства</v>
      </c>
      <c r="E295" s="98">
        <f>F295+I295</f>
        <v>175000</v>
      </c>
      <c r="F295" s="98">
        <v>175000</v>
      </c>
      <c r="G295" s="98"/>
      <c r="H295" s="98"/>
      <c r="I295" s="98"/>
      <c r="J295" s="98">
        <f t="shared" si="139"/>
        <v>0</v>
      </c>
      <c r="K295" s="98"/>
      <c r="L295" s="98"/>
      <c r="M295" s="98"/>
      <c r="N295" s="98"/>
      <c r="O295" s="98"/>
      <c r="P295" s="98">
        <f>E295+J295</f>
        <v>175000</v>
      </c>
      <c r="Q295" s="23"/>
      <c r="R295" s="32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  <c r="SQ295" s="23"/>
      <c r="SR295" s="23"/>
      <c r="SS295" s="23"/>
      <c r="ST295" s="23"/>
      <c r="SU295" s="23"/>
      <c r="SV295" s="23"/>
      <c r="SW295" s="23"/>
      <c r="SX295" s="23"/>
      <c r="SY295" s="23"/>
      <c r="SZ295" s="23"/>
      <c r="TA295" s="23"/>
      <c r="TB295" s="23"/>
      <c r="TC295" s="23"/>
      <c r="TD295" s="23"/>
      <c r="TE295" s="23"/>
      <c r="TF295" s="23"/>
      <c r="TG295" s="23"/>
    </row>
    <row r="296" spans="1:527" s="22" customFormat="1" ht="31.5" hidden="1" x14ac:dyDescent="0.25">
      <c r="A296" s="59" t="s">
        <v>457</v>
      </c>
      <c r="B296" s="59" t="s">
        <v>458</v>
      </c>
      <c r="C296" s="59" t="s">
        <v>111</v>
      </c>
      <c r="D296" s="60" t="s">
        <v>459</v>
      </c>
      <c r="E296" s="98">
        <f>F296+I296</f>
        <v>0</v>
      </c>
      <c r="F296" s="98"/>
      <c r="G296" s="98"/>
      <c r="H296" s="98"/>
      <c r="I296" s="98"/>
      <c r="J296" s="98">
        <f t="shared" si="139"/>
        <v>0</v>
      </c>
      <c r="K296" s="98">
        <f>900000-900000</f>
        <v>0</v>
      </c>
      <c r="L296" s="98"/>
      <c r="M296" s="98"/>
      <c r="N296" s="98"/>
      <c r="O296" s="98">
        <f>900000-900000</f>
        <v>0</v>
      </c>
      <c r="P296" s="98">
        <f>E296+J296</f>
        <v>0</v>
      </c>
      <c r="Q296" s="23"/>
      <c r="R296" s="32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  <c r="IW296" s="23"/>
      <c r="IX296" s="23"/>
      <c r="IY296" s="23"/>
      <c r="IZ296" s="23"/>
      <c r="JA296" s="23"/>
      <c r="JB296" s="23"/>
      <c r="JC296" s="23"/>
      <c r="JD296" s="23"/>
      <c r="JE296" s="23"/>
      <c r="JF296" s="23"/>
      <c r="JG296" s="23"/>
      <c r="JH296" s="23"/>
      <c r="JI296" s="23"/>
      <c r="JJ296" s="23"/>
      <c r="JK296" s="23"/>
      <c r="JL296" s="23"/>
      <c r="JM296" s="23"/>
      <c r="JN296" s="23"/>
      <c r="JO296" s="23"/>
      <c r="JP296" s="23"/>
      <c r="JQ296" s="23"/>
      <c r="JR296" s="23"/>
      <c r="JS296" s="23"/>
      <c r="JT296" s="23"/>
      <c r="JU296" s="23"/>
      <c r="JV296" s="23"/>
      <c r="JW296" s="23"/>
      <c r="JX296" s="23"/>
      <c r="JY296" s="23"/>
      <c r="JZ296" s="23"/>
      <c r="KA296" s="23"/>
      <c r="KB296" s="23"/>
      <c r="KC296" s="23"/>
      <c r="KD296" s="23"/>
      <c r="KE296" s="23"/>
      <c r="KF296" s="23"/>
      <c r="KG296" s="23"/>
      <c r="KH296" s="23"/>
      <c r="KI296" s="23"/>
      <c r="KJ296" s="23"/>
      <c r="KK296" s="23"/>
      <c r="KL296" s="23"/>
      <c r="KM296" s="23"/>
      <c r="KN296" s="23"/>
      <c r="KO296" s="23"/>
      <c r="KP296" s="23"/>
      <c r="KQ296" s="23"/>
      <c r="KR296" s="23"/>
      <c r="KS296" s="23"/>
      <c r="KT296" s="23"/>
      <c r="KU296" s="23"/>
      <c r="KV296" s="23"/>
      <c r="KW296" s="23"/>
      <c r="KX296" s="23"/>
      <c r="KY296" s="23"/>
      <c r="KZ296" s="23"/>
      <c r="LA296" s="23"/>
      <c r="LB296" s="23"/>
      <c r="LC296" s="23"/>
      <c r="LD296" s="23"/>
      <c r="LE296" s="23"/>
      <c r="LF296" s="23"/>
      <c r="LG296" s="23"/>
      <c r="LH296" s="23"/>
      <c r="LI296" s="23"/>
      <c r="LJ296" s="23"/>
      <c r="LK296" s="23"/>
      <c r="LL296" s="23"/>
      <c r="LM296" s="23"/>
      <c r="LN296" s="23"/>
      <c r="LO296" s="23"/>
      <c r="LP296" s="23"/>
      <c r="LQ296" s="23"/>
      <c r="LR296" s="23"/>
      <c r="LS296" s="23"/>
      <c r="LT296" s="23"/>
      <c r="LU296" s="23"/>
      <c r="LV296" s="23"/>
      <c r="LW296" s="23"/>
      <c r="LX296" s="23"/>
      <c r="LY296" s="23"/>
      <c r="LZ296" s="23"/>
      <c r="MA296" s="23"/>
      <c r="MB296" s="23"/>
      <c r="MC296" s="23"/>
      <c r="MD296" s="23"/>
      <c r="ME296" s="23"/>
      <c r="MF296" s="23"/>
      <c r="MG296" s="23"/>
      <c r="MH296" s="23"/>
      <c r="MI296" s="23"/>
      <c r="MJ296" s="23"/>
      <c r="MK296" s="23"/>
      <c r="ML296" s="23"/>
      <c r="MM296" s="23"/>
      <c r="MN296" s="23"/>
      <c r="MO296" s="23"/>
      <c r="MP296" s="23"/>
      <c r="MQ296" s="23"/>
      <c r="MR296" s="23"/>
      <c r="MS296" s="23"/>
      <c r="MT296" s="23"/>
      <c r="MU296" s="23"/>
      <c r="MV296" s="23"/>
      <c r="MW296" s="23"/>
      <c r="MX296" s="23"/>
      <c r="MY296" s="23"/>
      <c r="MZ296" s="23"/>
      <c r="NA296" s="23"/>
      <c r="NB296" s="23"/>
      <c r="NC296" s="23"/>
      <c r="ND296" s="23"/>
      <c r="NE296" s="23"/>
      <c r="NF296" s="23"/>
      <c r="NG296" s="23"/>
      <c r="NH296" s="23"/>
      <c r="NI296" s="23"/>
      <c r="NJ296" s="23"/>
      <c r="NK296" s="23"/>
      <c r="NL296" s="23"/>
      <c r="NM296" s="23"/>
      <c r="NN296" s="23"/>
      <c r="NO296" s="23"/>
      <c r="NP296" s="23"/>
      <c r="NQ296" s="23"/>
      <c r="NR296" s="23"/>
      <c r="NS296" s="23"/>
      <c r="NT296" s="23"/>
      <c r="NU296" s="23"/>
      <c r="NV296" s="23"/>
      <c r="NW296" s="23"/>
      <c r="NX296" s="23"/>
      <c r="NY296" s="23"/>
      <c r="NZ296" s="23"/>
      <c r="OA296" s="23"/>
      <c r="OB296" s="23"/>
      <c r="OC296" s="23"/>
      <c r="OD296" s="23"/>
      <c r="OE296" s="23"/>
      <c r="OF296" s="23"/>
      <c r="OG296" s="23"/>
      <c r="OH296" s="23"/>
      <c r="OI296" s="23"/>
      <c r="OJ296" s="23"/>
      <c r="OK296" s="23"/>
      <c r="OL296" s="23"/>
      <c r="OM296" s="23"/>
      <c r="ON296" s="23"/>
      <c r="OO296" s="23"/>
      <c r="OP296" s="23"/>
      <c r="OQ296" s="23"/>
      <c r="OR296" s="23"/>
      <c r="OS296" s="23"/>
      <c r="OT296" s="23"/>
      <c r="OU296" s="23"/>
      <c r="OV296" s="23"/>
      <c r="OW296" s="23"/>
      <c r="OX296" s="23"/>
      <c r="OY296" s="23"/>
      <c r="OZ296" s="23"/>
      <c r="PA296" s="23"/>
      <c r="PB296" s="23"/>
      <c r="PC296" s="23"/>
      <c r="PD296" s="23"/>
      <c r="PE296" s="23"/>
      <c r="PF296" s="23"/>
      <c r="PG296" s="23"/>
      <c r="PH296" s="23"/>
      <c r="PI296" s="23"/>
      <c r="PJ296" s="23"/>
      <c r="PK296" s="23"/>
      <c r="PL296" s="23"/>
      <c r="PM296" s="23"/>
      <c r="PN296" s="23"/>
      <c r="PO296" s="23"/>
      <c r="PP296" s="23"/>
      <c r="PQ296" s="23"/>
      <c r="PR296" s="23"/>
      <c r="PS296" s="23"/>
      <c r="PT296" s="23"/>
      <c r="PU296" s="23"/>
      <c r="PV296" s="23"/>
      <c r="PW296" s="23"/>
      <c r="PX296" s="23"/>
      <c r="PY296" s="23"/>
      <c r="PZ296" s="23"/>
      <c r="QA296" s="23"/>
      <c r="QB296" s="23"/>
      <c r="QC296" s="23"/>
      <c r="QD296" s="23"/>
      <c r="QE296" s="23"/>
      <c r="QF296" s="23"/>
      <c r="QG296" s="23"/>
      <c r="QH296" s="23"/>
      <c r="QI296" s="23"/>
      <c r="QJ296" s="23"/>
      <c r="QK296" s="23"/>
      <c r="QL296" s="23"/>
      <c r="QM296" s="23"/>
      <c r="QN296" s="23"/>
      <c r="QO296" s="23"/>
      <c r="QP296" s="23"/>
      <c r="QQ296" s="23"/>
      <c r="QR296" s="23"/>
      <c r="QS296" s="23"/>
      <c r="QT296" s="23"/>
      <c r="QU296" s="23"/>
      <c r="QV296" s="23"/>
      <c r="QW296" s="23"/>
      <c r="QX296" s="23"/>
      <c r="QY296" s="23"/>
      <c r="QZ296" s="23"/>
      <c r="RA296" s="23"/>
      <c r="RB296" s="23"/>
      <c r="RC296" s="23"/>
      <c r="RD296" s="23"/>
      <c r="RE296" s="23"/>
      <c r="RF296" s="23"/>
      <c r="RG296" s="23"/>
      <c r="RH296" s="23"/>
      <c r="RI296" s="23"/>
      <c r="RJ296" s="23"/>
      <c r="RK296" s="23"/>
      <c r="RL296" s="23"/>
      <c r="RM296" s="23"/>
      <c r="RN296" s="23"/>
      <c r="RO296" s="23"/>
      <c r="RP296" s="23"/>
      <c r="RQ296" s="23"/>
      <c r="RR296" s="23"/>
      <c r="RS296" s="23"/>
      <c r="RT296" s="23"/>
      <c r="RU296" s="23"/>
      <c r="RV296" s="23"/>
      <c r="RW296" s="23"/>
      <c r="RX296" s="23"/>
      <c r="RY296" s="23"/>
      <c r="RZ296" s="23"/>
      <c r="SA296" s="23"/>
      <c r="SB296" s="23"/>
      <c r="SC296" s="23"/>
      <c r="SD296" s="23"/>
      <c r="SE296" s="23"/>
      <c r="SF296" s="23"/>
      <c r="SG296" s="23"/>
      <c r="SH296" s="23"/>
      <c r="SI296" s="23"/>
      <c r="SJ296" s="23"/>
      <c r="SK296" s="23"/>
      <c r="SL296" s="23"/>
      <c r="SM296" s="23"/>
      <c r="SN296" s="23"/>
      <c r="SO296" s="23"/>
      <c r="SP296" s="23"/>
      <c r="SQ296" s="23"/>
      <c r="SR296" s="23"/>
      <c r="SS296" s="23"/>
      <c r="ST296" s="23"/>
      <c r="SU296" s="23"/>
      <c r="SV296" s="23"/>
      <c r="SW296" s="23"/>
      <c r="SX296" s="23"/>
      <c r="SY296" s="23"/>
      <c r="SZ296" s="23"/>
      <c r="TA296" s="23"/>
      <c r="TB296" s="23"/>
      <c r="TC296" s="23"/>
      <c r="TD296" s="23"/>
      <c r="TE296" s="23"/>
      <c r="TF296" s="23"/>
      <c r="TG296" s="23"/>
    </row>
    <row r="297" spans="1:527" s="22" customFormat="1" ht="31.5" x14ac:dyDescent="0.25">
      <c r="A297" s="59" t="s">
        <v>553</v>
      </c>
      <c r="B297" s="59" t="s">
        <v>554</v>
      </c>
      <c r="C297" s="59" t="s">
        <v>82</v>
      </c>
      <c r="D297" s="60" t="s">
        <v>431</v>
      </c>
      <c r="E297" s="98">
        <f>F297+I297</f>
        <v>2260266</v>
      </c>
      <c r="F297" s="98">
        <f>1360266+900000</f>
        <v>2260266</v>
      </c>
      <c r="G297" s="98"/>
      <c r="H297" s="98"/>
      <c r="I297" s="98"/>
      <c r="J297" s="98">
        <f t="shared" ref="J297" si="154">L297+O297</f>
        <v>0</v>
      </c>
      <c r="K297" s="98"/>
      <c r="L297" s="98"/>
      <c r="M297" s="98"/>
      <c r="N297" s="98"/>
      <c r="O297" s="98"/>
      <c r="P297" s="98">
        <f>E297+J297</f>
        <v>2260266</v>
      </c>
      <c r="Q297" s="23"/>
      <c r="R297" s="32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  <c r="IT297" s="23"/>
      <c r="IU297" s="23"/>
      <c r="IV297" s="23"/>
      <c r="IW297" s="23"/>
      <c r="IX297" s="23"/>
      <c r="IY297" s="23"/>
      <c r="IZ297" s="23"/>
      <c r="JA297" s="23"/>
      <c r="JB297" s="23"/>
      <c r="JC297" s="23"/>
      <c r="JD297" s="23"/>
      <c r="JE297" s="23"/>
      <c r="JF297" s="23"/>
      <c r="JG297" s="23"/>
      <c r="JH297" s="23"/>
      <c r="JI297" s="23"/>
      <c r="JJ297" s="23"/>
      <c r="JK297" s="23"/>
      <c r="JL297" s="23"/>
      <c r="JM297" s="23"/>
      <c r="JN297" s="23"/>
      <c r="JO297" s="23"/>
      <c r="JP297" s="23"/>
      <c r="JQ297" s="23"/>
      <c r="JR297" s="23"/>
      <c r="JS297" s="23"/>
      <c r="JT297" s="23"/>
      <c r="JU297" s="23"/>
      <c r="JV297" s="23"/>
      <c r="JW297" s="23"/>
      <c r="JX297" s="23"/>
      <c r="JY297" s="23"/>
      <c r="JZ297" s="23"/>
      <c r="KA297" s="23"/>
      <c r="KB297" s="23"/>
      <c r="KC297" s="23"/>
      <c r="KD297" s="23"/>
      <c r="KE297" s="23"/>
      <c r="KF297" s="23"/>
      <c r="KG297" s="23"/>
      <c r="KH297" s="23"/>
      <c r="KI297" s="23"/>
      <c r="KJ297" s="23"/>
      <c r="KK297" s="23"/>
      <c r="KL297" s="23"/>
      <c r="KM297" s="23"/>
      <c r="KN297" s="23"/>
      <c r="KO297" s="23"/>
      <c r="KP297" s="23"/>
      <c r="KQ297" s="23"/>
      <c r="KR297" s="23"/>
      <c r="KS297" s="23"/>
      <c r="KT297" s="23"/>
      <c r="KU297" s="23"/>
      <c r="KV297" s="23"/>
      <c r="KW297" s="23"/>
      <c r="KX297" s="23"/>
      <c r="KY297" s="23"/>
      <c r="KZ297" s="23"/>
      <c r="LA297" s="23"/>
      <c r="LB297" s="23"/>
      <c r="LC297" s="23"/>
      <c r="LD297" s="23"/>
      <c r="LE297" s="23"/>
      <c r="LF297" s="23"/>
      <c r="LG297" s="23"/>
      <c r="LH297" s="23"/>
      <c r="LI297" s="23"/>
      <c r="LJ297" s="23"/>
      <c r="LK297" s="23"/>
      <c r="LL297" s="23"/>
      <c r="LM297" s="23"/>
      <c r="LN297" s="23"/>
      <c r="LO297" s="23"/>
      <c r="LP297" s="23"/>
      <c r="LQ297" s="23"/>
      <c r="LR297" s="23"/>
      <c r="LS297" s="23"/>
      <c r="LT297" s="23"/>
      <c r="LU297" s="23"/>
      <c r="LV297" s="23"/>
      <c r="LW297" s="23"/>
      <c r="LX297" s="23"/>
      <c r="LY297" s="23"/>
      <c r="LZ297" s="23"/>
      <c r="MA297" s="23"/>
      <c r="MB297" s="23"/>
      <c r="MC297" s="23"/>
      <c r="MD297" s="23"/>
      <c r="ME297" s="23"/>
      <c r="MF297" s="23"/>
      <c r="MG297" s="23"/>
      <c r="MH297" s="23"/>
      <c r="MI297" s="23"/>
      <c r="MJ297" s="23"/>
      <c r="MK297" s="23"/>
      <c r="ML297" s="23"/>
      <c r="MM297" s="23"/>
      <c r="MN297" s="23"/>
      <c r="MO297" s="23"/>
      <c r="MP297" s="23"/>
      <c r="MQ297" s="23"/>
      <c r="MR297" s="23"/>
      <c r="MS297" s="23"/>
      <c r="MT297" s="23"/>
      <c r="MU297" s="23"/>
      <c r="MV297" s="23"/>
      <c r="MW297" s="23"/>
      <c r="MX297" s="23"/>
      <c r="MY297" s="23"/>
      <c r="MZ297" s="23"/>
      <c r="NA297" s="23"/>
      <c r="NB297" s="23"/>
      <c r="NC297" s="23"/>
      <c r="ND297" s="23"/>
      <c r="NE297" s="23"/>
      <c r="NF297" s="23"/>
      <c r="NG297" s="23"/>
      <c r="NH297" s="23"/>
      <c r="NI297" s="23"/>
      <c r="NJ297" s="23"/>
      <c r="NK297" s="23"/>
      <c r="NL297" s="23"/>
      <c r="NM297" s="23"/>
      <c r="NN297" s="23"/>
      <c r="NO297" s="23"/>
      <c r="NP297" s="23"/>
      <c r="NQ297" s="23"/>
      <c r="NR297" s="23"/>
      <c r="NS297" s="23"/>
      <c r="NT297" s="23"/>
      <c r="NU297" s="23"/>
      <c r="NV297" s="23"/>
      <c r="NW297" s="23"/>
      <c r="NX297" s="23"/>
      <c r="NY297" s="23"/>
      <c r="NZ297" s="23"/>
      <c r="OA297" s="23"/>
      <c r="OB297" s="23"/>
      <c r="OC297" s="23"/>
      <c r="OD297" s="23"/>
      <c r="OE297" s="23"/>
      <c r="OF297" s="23"/>
      <c r="OG297" s="23"/>
      <c r="OH297" s="23"/>
      <c r="OI297" s="23"/>
      <c r="OJ297" s="23"/>
      <c r="OK297" s="23"/>
      <c r="OL297" s="23"/>
      <c r="OM297" s="23"/>
      <c r="ON297" s="23"/>
      <c r="OO297" s="23"/>
      <c r="OP297" s="23"/>
      <c r="OQ297" s="23"/>
      <c r="OR297" s="23"/>
      <c r="OS297" s="23"/>
      <c r="OT297" s="23"/>
      <c r="OU297" s="23"/>
      <c r="OV297" s="23"/>
      <c r="OW297" s="23"/>
      <c r="OX297" s="23"/>
      <c r="OY297" s="23"/>
      <c r="OZ297" s="23"/>
      <c r="PA297" s="23"/>
      <c r="PB297" s="23"/>
      <c r="PC297" s="23"/>
      <c r="PD297" s="23"/>
      <c r="PE297" s="23"/>
      <c r="PF297" s="23"/>
      <c r="PG297" s="23"/>
      <c r="PH297" s="23"/>
      <c r="PI297" s="23"/>
      <c r="PJ297" s="23"/>
      <c r="PK297" s="23"/>
      <c r="PL297" s="23"/>
      <c r="PM297" s="23"/>
      <c r="PN297" s="23"/>
      <c r="PO297" s="23"/>
      <c r="PP297" s="23"/>
      <c r="PQ297" s="23"/>
      <c r="PR297" s="23"/>
      <c r="PS297" s="23"/>
      <c r="PT297" s="23"/>
      <c r="PU297" s="23"/>
      <c r="PV297" s="23"/>
      <c r="PW297" s="23"/>
      <c r="PX297" s="23"/>
      <c r="PY297" s="23"/>
      <c r="PZ297" s="23"/>
      <c r="QA297" s="23"/>
      <c r="QB297" s="23"/>
      <c r="QC297" s="23"/>
      <c r="QD297" s="23"/>
      <c r="QE297" s="23"/>
      <c r="QF297" s="23"/>
      <c r="QG297" s="23"/>
      <c r="QH297" s="23"/>
      <c r="QI297" s="23"/>
      <c r="QJ297" s="23"/>
      <c r="QK297" s="23"/>
      <c r="QL297" s="23"/>
      <c r="QM297" s="23"/>
      <c r="QN297" s="23"/>
      <c r="QO297" s="23"/>
      <c r="QP297" s="23"/>
      <c r="QQ297" s="23"/>
      <c r="QR297" s="23"/>
      <c r="QS297" s="23"/>
      <c r="QT297" s="23"/>
      <c r="QU297" s="23"/>
      <c r="QV297" s="23"/>
      <c r="QW297" s="23"/>
      <c r="QX297" s="23"/>
      <c r="QY297" s="23"/>
      <c r="QZ297" s="23"/>
      <c r="RA297" s="23"/>
      <c r="RB297" s="23"/>
      <c r="RC297" s="23"/>
      <c r="RD297" s="23"/>
      <c r="RE297" s="23"/>
      <c r="RF297" s="23"/>
      <c r="RG297" s="23"/>
      <c r="RH297" s="23"/>
      <c r="RI297" s="23"/>
      <c r="RJ297" s="23"/>
      <c r="RK297" s="23"/>
      <c r="RL297" s="23"/>
      <c r="RM297" s="23"/>
      <c r="RN297" s="23"/>
      <c r="RO297" s="23"/>
      <c r="RP297" s="23"/>
      <c r="RQ297" s="23"/>
      <c r="RR297" s="23"/>
      <c r="RS297" s="23"/>
      <c r="RT297" s="23"/>
      <c r="RU297" s="23"/>
      <c r="RV297" s="23"/>
      <c r="RW297" s="23"/>
      <c r="RX297" s="23"/>
      <c r="RY297" s="23"/>
      <c r="RZ297" s="23"/>
      <c r="SA297" s="23"/>
      <c r="SB297" s="23"/>
      <c r="SC297" s="23"/>
      <c r="SD297" s="23"/>
      <c r="SE297" s="23"/>
      <c r="SF297" s="23"/>
      <c r="SG297" s="23"/>
      <c r="SH297" s="23"/>
      <c r="SI297" s="23"/>
      <c r="SJ297" s="23"/>
      <c r="SK297" s="23"/>
      <c r="SL297" s="23"/>
      <c r="SM297" s="23"/>
      <c r="SN297" s="23"/>
      <c r="SO297" s="23"/>
      <c r="SP297" s="23"/>
      <c r="SQ297" s="23"/>
      <c r="SR297" s="23"/>
      <c r="SS297" s="23"/>
      <c r="ST297" s="23"/>
      <c r="SU297" s="23"/>
      <c r="SV297" s="23"/>
      <c r="SW297" s="23"/>
      <c r="SX297" s="23"/>
      <c r="SY297" s="23"/>
      <c r="SZ297" s="23"/>
      <c r="TA297" s="23"/>
      <c r="TB297" s="23"/>
      <c r="TC297" s="23"/>
      <c r="TD297" s="23"/>
      <c r="TE297" s="23"/>
      <c r="TF297" s="23"/>
      <c r="TG297" s="23"/>
    </row>
    <row r="298" spans="1:527" s="22" customFormat="1" ht="123.75" customHeight="1" x14ac:dyDescent="0.25">
      <c r="A298" s="102" t="s">
        <v>299</v>
      </c>
      <c r="B298" s="42" t="str">
        <f>'дод 7'!A225</f>
        <v>7691</v>
      </c>
      <c r="C298" s="42" t="str">
        <f>'дод 7'!B225</f>
        <v>0490</v>
      </c>
      <c r="D298" s="36" t="str">
        <f>'дод 7'!C225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98" s="98">
        <f>F298+I298</f>
        <v>0</v>
      </c>
      <c r="F298" s="98"/>
      <c r="G298" s="98"/>
      <c r="H298" s="98"/>
      <c r="I298" s="98"/>
      <c r="J298" s="98">
        <f t="shared" si="139"/>
        <v>2596250.2999999998</v>
      </c>
      <c r="K298" s="98"/>
      <c r="L298" s="98">
        <f>1060391+1535859.3</f>
        <v>2596250.2999999998</v>
      </c>
      <c r="M298" s="98"/>
      <c r="N298" s="98"/>
      <c r="O298" s="98"/>
      <c r="P298" s="98">
        <f>E298+J298</f>
        <v>2596250.2999999998</v>
      </c>
      <c r="Q298" s="23"/>
      <c r="R298" s="32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  <c r="IW298" s="23"/>
      <c r="IX298" s="23"/>
      <c r="IY298" s="23"/>
      <c r="IZ298" s="23"/>
      <c r="JA298" s="23"/>
      <c r="JB298" s="23"/>
      <c r="JC298" s="23"/>
      <c r="JD298" s="23"/>
      <c r="JE298" s="23"/>
      <c r="JF298" s="23"/>
      <c r="JG298" s="23"/>
      <c r="JH298" s="23"/>
      <c r="JI298" s="23"/>
      <c r="JJ298" s="23"/>
      <c r="JK298" s="23"/>
      <c r="JL298" s="23"/>
      <c r="JM298" s="23"/>
      <c r="JN298" s="23"/>
      <c r="JO298" s="23"/>
      <c r="JP298" s="23"/>
      <c r="JQ298" s="23"/>
      <c r="JR298" s="23"/>
      <c r="JS298" s="23"/>
      <c r="JT298" s="23"/>
      <c r="JU298" s="23"/>
      <c r="JV298" s="23"/>
      <c r="JW298" s="23"/>
      <c r="JX298" s="23"/>
      <c r="JY298" s="23"/>
      <c r="JZ298" s="23"/>
      <c r="KA298" s="23"/>
      <c r="KB298" s="23"/>
      <c r="KC298" s="23"/>
      <c r="KD298" s="23"/>
      <c r="KE298" s="23"/>
      <c r="KF298" s="23"/>
      <c r="KG298" s="23"/>
      <c r="KH298" s="23"/>
      <c r="KI298" s="23"/>
      <c r="KJ298" s="23"/>
      <c r="KK298" s="23"/>
      <c r="KL298" s="23"/>
      <c r="KM298" s="23"/>
      <c r="KN298" s="23"/>
      <c r="KO298" s="23"/>
      <c r="KP298" s="23"/>
      <c r="KQ298" s="23"/>
      <c r="KR298" s="23"/>
      <c r="KS298" s="23"/>
      <c r="KT298" s="23"/>
      <c r="KU298" s="23"/>
      <c r="KV298" s="23"/>
      <c r="KW298" s="23"/>
      <c r="KX298" s="23"/>
      <c r="KY298" s="23"/>
      <c r="KZ298" s="23"/>
      <c r="LA298" s="23"/>
      <c r="LB298" s="23"/>
      <c r="LC298" s="23"/>
      <c r="LD298" s="23"/>
      <c r="LE298" s="23"/>
      <c r="LF298" s="23"/>
      <c r="LG298" s="23"/>
      <c r="LH298" s="23"/>
      <c r="LI298" s="23"/>
      <c r="LJ298" s="23"/>
      <c r="LK298" s="23"/>
      <c r="LL298" s="23"/>
      <c r="LM298" s="23"/>
      <c r="LN298" s="23"/>
      <c r="LO298" s="23"/>
      <c r="LP298" s="23"/>
      <c r="LQ298" s="23"/>
      <c r="LR298" s="23"/>
      <c r="LS298" s="23"/>
      <c r="LT298" s="23"/>
      <c r="LU298" s="23"/>
      <c r="LV298" s="23"/>
      <c r="LW298" s="23"/>
      <c r="LX298" s="23"/>
      <c r="LY298" s="23"/>
      <c r="LZ298" s="23"/>
      <c r="MA298" s="23"/>
      <c r="MB298" s="23"/>
      <c r="MC298" s="23"/>
      <c r="MD298" s="23"/>
      <c r="ME298" s="23"/>
      <c r="MF298" s="23"/>
      <c r="MG298" s="23"/>
      <c r="MH298" s="23"/>
      <c r="MI298" s="23"/>
      <c r="MJ298" s="23"/>
      <c r="MK298" s="23"/>
      <c r="ML298" s="23"/>
      <c r="MM298" s="23"/>
      <c r="MN298" s="23"/>
      <c r="MO298" s="23"/>
      <c r="MP298" s="23"/>
      <c r="MQ298" s="23"/>
      <c r="MR298" s="23"/>
      <c r="MS298" s="23"/>
      <c r="MT298" s="23"/>
      <c r="MU298" s="23"/>
      <c r="MV298" s="23"/>
      <c r="MW298" s="23"/>
      <c r="MX298" s="23"/>
      <c r="MY298" s="23"/>
      <c r="MZ298" s="23"/>
      <c r="NA298" s="23"/>
      <c r="NB298" s="23"/>
      <c r="NC298" s="23"/>
      <c r="ND298" s="23"/>
      <c r="NE298" s="23"/>
      <c r="NF298" s="23"/>
      <c r="NG298" s="23"/>
      <c r="NH298" s="23"/>
      <c r="NI298" s="23"/>
      <c r="NJ298" s="23"/>
      <c r="NK298" s="23"/>
      <c r="NL298" s="23"/>
      <c r="NM298" s="23"/>
      <c r="NN298" s="23"/>
      <c r="NO298" s="23"/>
      <c r="NP298" s="23"/>
      <c r="NQ298" s="23"/>
      <c r="NR298" s="23"/>
      <c r="NS298" s="23"/>
      <c r="NT298" s="23"/>
      <c r="NU298" s="23"/>
      <c r="NV298" s="23"/>
      <c r="NW298" s="23"/>
      <c r="NX298" s="23"/>
      <c r="NY298" s="23"/>
      <c r="NZ298" s="23"/>
      <c r="OA298" s="23"/>
      <c r="OB298" s="23"/>
      <c r="OC298" s="23"/>
      <c r="OD298" s="23"/>
      <c r="OE298" s="23"/>
      <c r="OF298" s="23"/>
      <c r="OG298" s="23"/>
      <c r="OH298" s="23"/>
      <c r="OI298" s="23"/>
      <c r="OJ298" s="23"/>
      <c r="OK298" s="23"/>
      <c r="OL298" s="23"/>
      <c r="OM298" s="23"/>
      <c r="ON298" s="23"/>
      <c r="OO298" s="23"/>
      <c r="OP298" s="23"/>
      <c r="OQ298" s="23"/>
      <c r="OR298" s="23"/>
      <c r="OS298" s="23"/>
      <c r="OT298" s="23"/>
      <c r="OU298" s="23"/>
      <c r="OV298" s="23"/>
      <c r="OW298" s="23"/>
      <c r="OX298" s="23"/>
      <c r="OY298" s="23"/>
      <c r="OZ298" s="23"/>
      <c r="PA298" s="23"/>
      <c r="PB298" s="23"/>
      <c r="PC298" s="23"/>
      <c r="PD298" s="23"/>
      <c r="PE298" s="23"/>
      <c r="PF298" s="23"/>
      <c r="PG298" s="23"/>
      <c r="PH298" s="23"/>
      <c r="PI298" s="23"/>
      <c r="PJ298" s="23"/>
      <c r="PK298" s="23"/>
      <c r="PL298" s="23"/>
      <c r="PM298" s="23"/>
      <c r="PN298" s="23"/>
      <c r="PO298" s="23"/>
      <c r="PP298" s="23"/>
      <c r="PQ298" s="23"/>
      <c r="PR298" s="23"/>
      <c r="PS298" s="23"/>
      <c r="PT298" s="23"/>
      <c r="PU298" s="23"/>
      <c r="PV298" s="23"/>
      <c r="PW298" s="23"/>
      <c r="PX298" s="23"/>
      <c r="PY298" s="23"/>
      <c r="PZ298" s="23"/>
      <c r="QA298" s="23"/>
      <c r="QB298" s="23"/>
      <c r="QC298" s="23"/>
      <c r="QD298" s="23"/>
      <c r="QE298" s="23"/>
      <c r="QF298" s="23"/>
      <c r="QG298" s="23"/>
      <c r="QH298" s="23"/>
      <c r="QI298" s="23"/>
      <c r="QJ298" s="23"/>
      <c r="QK298" s="23"/>
      <c r="QL298" s="23"/>
      <c r="QM298" s="23"/>
      <c r="QN298" s="23"/>
      <c r="QO298" s="23"/>
      <c r="QP298" s="23"/>
      <c r="QQ298" s="23"/>
      <c r="QR298" s="23"/>
      <c r="QS298" s="23"/>
      <c r="QT298" s="23"/>
      <c r="QU298" s="23"/>
      <c r="QV298" s="23"/>
      <c r="QW298" s="23"/>
      <c r="QX298" s="23"/>
      <c r="QY298" s="23"/>
      <c r="QZ298" s="23"/>
      <c r="RA298" s="23"/>
      <c r="RB298" s="23"/>
      <c r="RC298" s="23"/>
      <c r="RD298" s="23"/>
      <c r="RE298" s="23"/>
      <c r="RF298" s="23"/>
      <c r="RG298" s="23"/>
      <c r="RH298" s="23"/>
      <c r="RI298" s="23"/>
      <c r="RJ298" s="23"/>
      <c r="RK298" s="23"/>
      <c r="RL298" s="23"/>
      <c r="RM298" s="23"/>
      <c r="RN298" s="23"/>
      <c r="RO298" s="23"/>
      <c r="RP298" s="23"/>
      <c r="RQ298" s="23"/>
      <c r="RR298" s="23"/>
      <c r="RS298" s="23"/>
      <c r="RT298" s="23"/>
      <c r="RU298" s="23"/>
      <c r="RV298" s="23"/>
      <c r="RW298" s="23"/>
      <c r="RX298" s="23"/>
      <c r="RY298" s="23"/>
      <c r="RZ298" s="23"/>
      <c r="SA298" s="23"/>
      <c r="SB298" s="23"/>
      <c r="SC298" s="23"/>
      <c r="SD298" s="23"/>
      <c r="SE298" s="23"/>
      <c r="SF298" s="23"/>
      <c r="SG298" s="23"/>
      <c r="SH298" s="23"/>
      <c r="SI298" s="23"/>
      <c r="SJ298" s="23"/>
      <c r="SK298" s="23"/>
      <c r="SL298" s="23"/>
      <c r="SM298" s="23"/>
      <c r="SN298" s="23"/>
      <c r="SO298" s="23"/>
      <c r="SP298" s="23"/>
      <c r="SQ298" s="23"/>
      <c r="SR298" s="23"/>
      <c r="SS298" s="23"/>
      <c r="ST298" s="23"/>
      <c r="SU298" s="23"/>
      <c r="SV298" s="23"/>
      <c r="SW298" s="23"/>
      <c r="SX298" s="23"/>
      <c r="SY298" s="23"/>
      <c r="SZ298" s="23"/>
      <c r="TA298" s="23"/>
      <c r="TB298" s="23"/>
      <c r="TC298" s="23"/>
      <c r="TD298" s="23"/>
      <c r="TE298" s="23"/>
      <c r="TF298" s="23"/>
      <c r="TG298" s="23"/>
    </row>
    <row r="299" spans="1:527" s="27" customFormat="1" ht="48" customHeight="1" x14ac:dyDescent="0.25">
      <c r="A299" s="109" t="s">
        <v>212</v>
      </c>
      <c r="B299" s="111"/>
      <c r="C299" s="111"/>
      <c r="D299" s="106" t="s">
        <v>42</v>
      </c>
      <c r="E299" s="94">
        <f>E300</f>
        <v>4340725</v>
      </c>
      <c r="F299" s="94">
        <f t="shared" ref="F299:J300" si="155">F300</f>
        <v>4340725</v>
      </c>
      <c r="G299" s="94">
        <f t="shared" si="155"/>
        <v>3301600</v>
      </c>
      <c r="H299" s="94">
        <f t="shared" si="155"/>
        <v>70725</v>
      </c>
      <c r="I299" s="94">
        <f t="shared" si="155"/>
        <v>0</v>
      </c>
      <c r="J299" s="94">
        <f t="shared" si="155"/>
        <v>0</v>
      </c>
      <c r="K299" s="94">
        <f t="shared" ref="K299:K300" si="156">K300</f>
        <v>0</v>
      </c>
      <c r="L299" s="94">
        <f t="shared" ref="L299:L300" si="157">L300</f>
        <v>0</v>
      </c>
      <c r="M299" s="94">
        <f t="shared" ref="M299:M300" si="158">M300</f>
        <v>0</v>
      </c>
      <c r="N299" s="94">
        <f t="shared" ref="N299:N300" si="159">N300</f>
        <v>0</v>
      </c>
      <c r="O299" s="94">
        <f t="shared" ref="O299:P300" si="160">O300</f>
        <v>0</v>
      </c>
      <c r="P299" s="94">
        <f t="shared" si="160"/>
        <v>4340725</v>
      </c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  <c r="GH299" s="32"/>
      <c r="GI299" s="32"/>
      <c r="GJ299" s="32"/>
      <c r="GK299" s="32"/>
      <c r="GL299" s="32"/>
      <c r="GM299" s="32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  <c r="IC299" s="32"/>
      <c r="ID299" s="32"/>
      <c r="IE299" s="32"/>
      <c r="IF299" s="32"/>
      <c r="IG299" s="32"/>
      <c r="IH299" s="32"/>
      <c r="II299" s="32"/>
      <c r="IJ299" s="32"/>
      <c r="IK299" s="32"/>
      <c r="IL299" s="32"/>
      <c r="IM299" s="32"/>
      <c r="IN299" s="32"/>
      <c r="IO299" s="32"/>
      <c r="IP299" s="32"/>
      <c r="IQ299" s="32"/>
      <c r="IR299" s="32"/>
      <c r="IS299" s="32"/>
      <c r="IT299" s="32"/>
      <c r="IU299" s="32"/>
      <c r="IV299" s="32"/>
      <c r="IW299" s="32"/>
      <c r="IX299" s="32"/>
      <c r="IY299" s="32"/>
      <c r="IZ299" s="32"/>
      <c r="JA299" s="32"/>
      <c r="JB299" s="32"/>
      <c r="JC299" s="32"/>
      <c r="JD299" s="32"/>
      <c r="JE299" s="32"/>
      <c r="JF299" s="32"/>
      <c r="JG299" s="32"/>
      <c r="JH299" s="32"/>
      <c r="JI299" s="32"/>
      <c r="JJ299" s="32"/>
      <c r="JK299" s="32"/>
      <c r="JL299" s="32"/>
      <c r="JM299" s="32"/>
      <c r="JN299" s="32"/>
      <c r="JO299" s="32"/>
      <c r="JP299" s="32"/>
      <c r="JQ299" s="32"/>
      <c r="JR299" s="32"/>
      <c r="JS299" s="32"/>
      <c r="JT299" s="32"/>
      <c r="JU299" s="32"/>
      <c r="JV299" s="32"/>
      <c r="JW299" s="32"/>
      <c r="JX299" s="32"/>
      <c r="JY299" s="32"/>
      <c r="JZ299" s="32"/>
      <c r="KA299" s="32"/>
      <c r="KB299" s="32"/>
      <c r="KC299" s="32"/>
      <c r="KD299" s="32"/>
      <c r="KE299" s="32"/>
      <c r="KF299" s="32"/>
      <c r="KG299" s="32"/>
      <c r="KH299" s="32"/>
      <c r="KI299" s="32"/>
      <c r="KJ299" s="32"/>
      <c r="KK299" s="32"/>
      <c r="KL299" s="32"/>
      <c r="KM299" s="32"/>
      <c r="KN299" s="32"/>
      <c r="KO299" s="32"/>
      <c r="KP299" s="32"/>
      <c r="KQ299" s="32"/>
      <c r="KR299" s="32"/>
      <c r="KS299" s="32"/>
      <c r="KT299" s="32"/>
      <c r="KU299" s="32"/>
      <c r="KV299" s="32"/>
      <c r="KW299" s="32"/>
      <c r="KX299" s="32"/>
      <c r="KY299" s="32"/>
      <c r="KZ299" s="32"/>
      <c r="LA299" s="32"/>
      <c r="LB299" s="32"/>
      <c r="LC299" s="32"/>
      <c r="LD299" s="32"/>
      <c r="LE299" s="32"/>
      <c r="LF299" s="32"/>
      <c r="LG299" s="32"/>
      <c r="LH299" s="32"/>
      <c r="LI299" s="32"/>
      <c r="LJ299" s="32"/>
      <c r="LK299" s="32"/>
      <c r="LL299" s="32"/>
      <c r="LM299" s="32"/>
      <c r="LN299" s="32"/>
      <c r="LO299" s="32"/>
      <c r="LP299" s="32"/>
      <c r="LQ299" s="32"/>
      <c r="LR299" s="32"/>
      <c r="LS299" s="32"/>
      <c r="LT299" s="32"/>
      <c r="LU299" s="32"/>
      <c r="LV299" s="32"/>
      <c r="LW299" s="32"/>
      <c r="LX299" s="32"/>
      <c r="LY299" s="32"/>
      <c r="LZ299" s="32"/>
      <c r="MA299" s="32"/>
      <c r="MB299" s="32"/>
      <c r="MC299" s="32"/>
      <c r="MD299" s="32"/>
      <c r="ME299" s="32"/>
      <c r="MF299" s="32"/>
      <c r="MG299" s="32"/>
      <c r="MH299" s="32"/>
      <c r="MI299" s="32"/>
      <c r="MJ299" s="32"/>
      <c r="MK299" s="32"/>
      <c r="ML299" s="32"/>
      <c r="MM299" s="32"/>
      <c r="MN299" s="32"/>
      <c r="MO299" s="32"/>
      <c r="MP299" s="32"/>
      <c r="MQ299" s="32"/>
      <c r="MR299" s="32"/>
      <c r="MS299" s="32"/>
      <c r="MT299" s="32"/>
      <c r="MU299" s="32"/>
      <c r="MV299" s="32"/>
      <c r="MW299" s="32"/>
      <c r="MX299" s="32"/>
      <c r="MY299" s="32"/>
      <c r="MZ299" s="32"/>
      <c r="NA299" s="32"/>
      <c r="NB299" s="32"/>
      <c r="NC299" s="32"/>
      <c r="ND299" s="32"/>
      <c r="NE299" s="32"/>
      <c r="NF299" s="32"/>
      <c r="NG299" s="32"/>
      <c r="NH299" s="32"/>
      <c r="NI299" s="32"/>
      <c r="NJ299" s="32"/>
      <c r="NK299" s="32"/>
      <c r="NL299" s="32"/>
      <c r="NM299" s="32"/>
      <c r="NN299" s="32"/>
      <c r="NO299" s="32"/>
      <c r="NP299" s="32"/>
      <c r="NQ299" s="32"/>
      <c r="NR299" s="32"/>
      <c r="NS299" s="32"/>
      <c r="NT299" s="32"/>
      <c r="NU299" s="32"/>
      <c r="NV299" s="32"/>
      <c r="NW299" s="32"/>
      <c r="NX299" s="32"/>
      <c r="NY299" s="32"/>
      <c r="NZ299" s="32"/>
      <c r="OA299" s="32"/>
      <c r="OB299" s="32"/>
      <c r="OC299" s="32"/>
      <c r="OD299" s="32"/>
      <c r="OE299" s="32"/>
      <c r="OF299" s="32"/>
      <c r="OG299" s="32"/>
      <c r="OH299" s="32"/>
      <c r="OI299" s="32"/>
      <c r="OJ299" s="32"/>
      <c r="OK299" s="32"/>
      <c r="OL299" s="32"/>
      <c r="OM299" s="32"/>
      <c r="ON299" s="32"/>
      <c r="OO299" s="32"/>
      <c r="OP299" s="32"/>
      <c r="OQ299" s="32"/>
      <c r="OR299" s="32"/>
      <c r="OS299" s="32"/>
      <c r="OT299" s="32"/>
      <c r="OU299" s="32"/>
      <c r="OV299" s="32"/>
      <c r="OW299" s="32"/>
      <c r="OX299" s="32"/>
      <c r="OY299" s="32"/>
      <c r="OZ299" s="32"/>
      <c r="PA299" s="32"/>
      <c r="PB299" s="32"/>
      <c r="PC299" s="32"/>
      <c r="PD299" s="32"/>
      <c r="PE299" s="32"/>
      <c r="PF299" s="32"/>
      <c r="PG299" s="32"/>
      <c r="PH299" s="32"/>
      <c r="PI299" s="32"/>
      <c r="PJ299" s="32"/>
      <c r="PK299" s="32"/>
      <c r="PL299" s="32"/>
      <c r="PM299" s="32"/>
      <c r="PN299" s="32"/>
      <c r="PO299" s="32"/>
      <c r="PP299" s="32"/>
      <c r="PQ299" s="32"/>
      <c r="PR299" s="32"/>
      <c r="PS299" s="32"/>
      <c r="PT299" s="32"/>
      <c r="PU299" s="32"/>
      <c r="PV299" s="32"/>
      <c r="PW299" s="32"/>
      <c r="PX299" s="32"/>
      <c r="PY299" s="32"/>
      <c r="PZ299" s="32"/>
      <c r="QA299" s="32"/>
      <c r="QB299" s="32"/>
      <c r="QC299" s="32"/>
      <c r="QD299" s="32"/>
      <c r="QE299" s="32"/>
      <c r="QF299" s="32"/>
      <c r="QG299" s="32"/>
      <c r="QH299" s="32"/>
      <c r="QI299" s="32"/>
      <c r="QJ299" s="32"/>
      <c r="QK299" s="32"/>
      <c r="QL299" s="32"/>
      <c r="QM299" s="32"/>
      <c r="QN299" s="32"/>
      <c r="QO299" s="32"/>
      <c r="QP299" s="32"/>
      <c r="QQ299" s="32"/>
      <c r="QR299" s="32"/>
      <c r="QS299" s="32"/>
      <c r="QT299" s="32"/>
      <c r="QU299" s="32"/>
      <c r="QV299" s="32"/>
      <c r="QW299" s="32"/>
      <c r="QX299" s="32"/>
      <c r="QY299" s="32"/>
      <c r="QZ299" s="32"/>
      <c r="RA299" s="32"/>
      <c r="RB299" s="32"/>
      <c r="RC299" s="32"/>
      <c r="RD299" s="32"/>
      <c r="RE299" s="32"/>
      <c r="RF299" s="32"/>
      <c r="RG299" s="32"/>
      <c r="RH299" s="32"/>
      <c r="RI299" s="32"/>
      <c r="RJ299" s="32"/>
      <c r="RK299" s="32"/>
      <c r="RL299" s="32"/>
      <c r="RM299" s="32"/>
      <c r="RN299" s="32"/>
      <c r="RO299" s="32"/>
      <c r="RP299" s="32"/>
      <c r="RQ299" s="32"/>
      <c r="RR299" s="32"/>
      <c r="RS299" s="32"/>
      <c r="RT299" s="32"/>
      <c r="RU299" s="32"/>
      <c r="RV299" s="32"/>
      <c r="RW299" s="32"/>
      <c r="RX299" s="32"/>
      <c r="RY299" s="32"/>
      <c r="RZ299" s="32"/>
      <c r="SA299" s="32"/>
      <c r="SB299" s="32"/>
      <c r="SC299" s="32"/>
      <c r="SD299" s="32"/>
      <c r="SE299" s="32"/>
      <c r="SF299" s="32"/>
      <c r="SG299" s="32"/>
      <c r="SH299" s="32"/>
      <c r="SI299" s="32"/>
      <c r="SJ299" s="32"/>
      <c r="SK299" s="32"/>
      <c r="SL299" s="32"/>
      <c r="SM299" s="32"/>
      <c r="SN299" s="32"/>
      <c r="SO299" s="32"/>
      <c r="SP299" s="32"/>
      <c r="SQ299" s="32"/>
      <c r="SR299" s="32"/>
      <c r="SS299" s="32"/>
      <c r="ST299" s="32"/>
      <c r="SU299" s="32"/>
      <c r="SV299" s="32"/>
      <c r="SW299" s="32"/>
      <c r="SX299" s="32"/>
      <c r="SY299" s="32"/>
      <c r="SZ299" s="32"/>
      <c r="TA299" s="32"/>
      <c r="TB299" s="32"/>
      <c r="TC299" s="32"/>
      <c r="TD299" s="32"/>
      <c r="TE299" s="32"/>
      <c r="TF299" s="32"/>
      <c r="TG299" s="32"/>
    </row>
    <row r="300" spans="1:527" s="34" customFormat="1" ht="35.25" customHeight="1" x14ac:dyDescent="0.25">
      <c r="A300" s="95" t="s">
        <v>210</v>
      </c>
      <c r="B300" s="108"/>
      <c r="C300" s="108"/>
      <c r="D300" s="76" t="s">
        <v>42</v>
      </c>
      <c r="E300" s="97">
        <f>E301</f>
        <v>4340725</v>
      </c>
      <c r="F300" s="97">
        <f t="shared" si="155"/>
        <v>4340725</v>
      </c>
      <c r="G300" s="97">
        <f t="shared" si="155"/>
        <v>3301600</v>
      </c>
      <c r="H300" s="97">
        <f t="shared" si="155"/>
        <v>70725</v>
      </c>
      <c r="I300" s="97">
        <f t="shared" si="155"/>
        <v>0</v>
      </c>
      <c r="J300" s="97">
        <f t="shared" si="155"/>
        <v>0</v>
      </c>
      <c r="K300" s="97">
        <f t="shared" si="156"/>
        <v>0</v>
      </c>
      <c r="L300" s="97">
        <f t="shared" si="157"/>
        <v>0</v>
      </c>
      <c r="M300" s="97">
        <f t="shared" si="158"/>
        <v>0</v>
      </c>
      <c r="N300" s="97">
        <f t="shared" si="159"/>
        <v>0</v>
      </c>
      <c r="O300" s="97">
        <f t="shared" si="160"/>
        <v>0</v>
      </c>
      <c r="P300" s="97">
        <f t="shared" si="160"/>
        <v>4340725</v>
      </c>
      <c r="Q300" s="33"/>
      <c r="R300" s="32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  <c r="FV300" s="33"/>
      <c r="FW300" s="33"/>
      <c r="FX300" s="33"/>
      <c r="FY300" s="33"/>
      <c r="FZ300" s="33"/>
      <c r="GA300" s="33"/>
      <c r="GB300" s="33"/>
      <c r="GC300" s="33"/>
      <c r="GD300" s="33"/>
      <c r="GE300" s="33"/>
      <c r="GF300" s="33"/>
      <c r="GG300" s="33"/>
      <c r="GH300" s="33"/>
      <c r="GI300" s="33"/>
      <c r="GJ300" s="33"/>
      <c r="GK300" s="33"/>
      <c r="GL300" s="33"/>
      <c r="GM300" s="33"/>
      <c r="GN300" s="33"/>
      <c r="GO300" s="33"/>
      <c r="GP300" s="33"/>
      <c r="GQ300" s="33"/>
      <c r="GR300" s="33"/>
      <c r="GS300" s="33"/>
      <c r="GT300" s="33"/>
      <c r="GU300" s="33"/>
      <c r="GV300" s="33"/>
      <c r="GW300" s="33"/>
      <c r="GX300" s="33"/>
      <c r="GY300" s="33"/>
      <c r="GZ300" s="33"/>
      <c r="HA300" s="33"/>
      <c r="HB300" s="33"/>
      <c r="HC300" s="33"/>
      <c r="HD300" s="33"/>
      <c r="HE300" s="33"/>
      <c r="HF300" s="33"/>
      <c r="HG300" s="33"/>
      <c r="HH300" s="33"/>
      <c r="HI300" s="33"/>
      <c r="HJ300" s="33"/>
      <c r="HK300" s="33"/>
      <c r="HL300" s="33"/>
      <c r="HM300" s="33"/>
      <c r="HN300" s="33"/>
      <c r="HO300" s="33"/>
      <c r="HP300" s="33"/>
      <c r="HQ300" s="33"/>
      <c r="HR300" s="33"/>
      <c r="HS300" s="33"/>
      <c r="HT300" s="33"/>
      <c r="HU300" s="33"/>
      <c r="HV300" s="33"/>
      <c r="HW300" s="33"/>
      <c r="HX300" s="33"/>
      <c r="HY300" s="33"/>
      <c r="HZ300" s="33"/>
      <c r="IA300" s="33"/>
      <c r="IB300" s="33"/>
      <c r="IC300" s="33"/>
      <c r="ID300" s="33"/>
      <c r="IE300" s="33"/>
      <c r="IF300" s="33"/>
      <c r="IG300" s="33"/>
      <c r="IH300" s="33"/>
      <c r="II300" s="33"/>
      <c r="IJ300" s="33"/>
      <c r="IK300" s="33"/>
      <c r="IL300" s="33"/>
      <c r="IM300" s="33"/>
      <c r="IN300" s="33"/>
      <c r="IO300" s="33"/>
      <c r="IP300" s="33"/>
      <c r="IQ300" s="33"/>
      <c r="IR300" s="33"/>
      <c r="IS300" s="33"/>
      <c r="IT300" s="33"/>
      <c r="IU300" s="33"/>
      <c r="IV300" s="33"/>
      <c r="IW300" s="33"/>
      <c r="IX300" s="33"/>
      <c r="IY300" s="33"/>
      <c r="IZ300" s="33"/>
      <c r="JA300" s="33"/>
      <c r="JB300" s="33"/>
      <c r="JC300" s="33"/>
      <c r="JD300" s="33"/>
      <c r="JE300" s="33"/>
      <c r="JF300" s="33"/>
      <c r="JG300" s="33"/>
      <c r="JH300" s="33"/>
      <c r="JI300" s="33"/>
      <c r="JJ300" s="33"/>
      <c r="JK300" s="33"/>
      <c r="JL300" s="33"/>
      <c r="JM300" s="33"/>
      <c r="JN300" s="33"/>
      <c r="JO300" s="33"/>
      <c r="JP300" s="33"/>
      <c r="JQ300" s="33"/>
      <c r="JR300" s="33"/>
      <c r="JS300" s="33"/>
      <c r="JT300" s="33"/>
      <c r="JU300" s="33"/>
      <c r="JV300" s="33"/>
      <c r="JW300" s="33"/>
      <c r="JX300" s="33"/>
      <c r="JY300" s="33"/>
      <c r="JZ300" s="33"/>
      <c r="KA300" s="33"/>
      <c r="KB300" s="33"/>
      <c r="KC300" s="33"/>
      <c r="KD300" s="33"/>
      <c r="KE300" s="33"/>
      <c r="KF300" s="33"/>
      <c r="KG300" s="33"/>
      <c r="KH300" s="33"/>
      <c r="KI300" s="33"/>
      <c r="KJ300" s="33"/>
      <c r="KK300" s="33"/>
      <c r="KL300" s="33"/>
      <c r="KM300" s="33"/>
      <c r="KN300" s="33"/>
      <c r="KO300" s="33"/>
      <c r="KP300" s="33"/>
      <c r="KQ300" s="33"/>
      <c r="KR300" s="33"/>
      <c r="KS300" s="33"/>
      <c r="KT300" s="33"/>
      <c r="KU300" s="33"/>
      <c r="KV300" s="33"/>
      <c r="KW300" s="33"/>
      <c r="KX300" s="33"/>
      <c r="KY300" s="33"/>
      <c r="KZ300" s="33"/>
      <c r="LA300" s="33"/>
      <c r="LB300" s="33"/>
      <c r="LC300" s="33"/>
      <c r="LD300" s="33"/>
      <c r="LE300" s="33"/>
      <c r="LF300" s="33"/>
      <c r="LG300" s="33"/>
      <c r="LH300" s="33"/>
      <c r="LI300" s="33"/>
      <c r="LJ300" s="33"/>
      <c r="LK300" s="33"/>
      <c r="LL300" s="33"/>
      <c r="LM300" s="33"/>
      <c r="LN300" s="33"/>
      <c r="LO300" s="33"/>
      <c r="LP300" s="33"/>
      <c r="LQ300" s="33"/>
      <c r="LR300" s="33"/>
      <c r="LS300" s="33"/>
      <c r="LT300" s="33"/>
      <c r="LU300" s="33"/>
      <c r="LV300" s="33"/>
      <c r="LW300" s="33"/>
      <c r="LX300" s="33"/>
      <c r="LY300" s="33"/>
      <c r="LZ300" s="33"/>
      <c r="MA300" s="33"/>
      <c r="MB300" s="33"/>
      <c r="MC300" s="33"/>
      <c r="MD300" s="33"/>
      <c r="ME300" s="33"/>
      <c r="MF300" s="33"/>
      <c r="MG300" s="33"/>
      <c r="MH300" s="33"/>
      <c r="MI300" s="33"/>
      <c r="MJ300" s="33"/>
      <c r="MK300" s="33"/>
      <c r="ML300" s="33"/>
      <c r="MM300" s="33"/>
      <c r="MN300" s="33"/>
      <c r="MO300" s="33"/>
      <c r="MP300" s="33"/>
      <c r="MQ300" s="33"/>
      <c r="MR300" s="33"/>
      <c r="MS300" s="33"/>
      <c r="MT300" s="33"/>
      <c r="MU300" s="33"/>
      <c r="MV300" s="33"/>
      <c r="MW300" s="33"/>
      <c r="MX300" s="33"/>
      <c r="MY300" s="33"/>
      <c r="MZ300" s="33"/>
      <c r="NA300" s="33"/>
      <c r="NB300" s="33"/>
      <c r="NC300" s="33"/>
      <c r="ND300" s="33"/>
      <c r="NE300" s="33"/>
      <c r="NF300" s="33"/>
      <c r="NG300" s="33"/>
      <c r="NH300" s="33"/>
      <c r="NI300" s="33"/>
      <c r="NJ300" s="33"/>
      <c r="NK300" s="33"/>
      <c r="NL300" s="33"/>
      <c r="NM300" s="33"/>
      <c r="NN300" s="33"/>
      <c r="NO300" s="33"/>
      <c r="NP300" s="33"/>
      <c r="NQ300" s="33"/>
      <c r="NR300" s="33"/>
      <c r="NS300" s="33"/>
      <c r="NT300" s="33"/>
      <c r="NU300" s="33"/>
      <c r="NV300" s="33"/>
      <c r="NW300" s="33"/>
      <c r="NX300" s="33"/>
      <c r="NY300" s="33"/>
      <c r="NZ300" s="33"/>
      <c r="OA300" s="33"/>
      <c r="OB300" s="33"/>
      <c r="OC300" s="33"/>
      <c r="OD300" s="33"/>
      <c r="OE300" s="33"/>
      <c r="OF300" s="33"/>
      <c r="OG300" s="33"/>
      <c r="OH300" s="33"/>
      <c r="OI300" s="33"/>
      <c r="OJ300" s="33"/>
      <c r="OK300" s="33"/>
      <c r="OL300" s="33"/>
      <c r="OM300" s="33"/>
      <c r="ON300" s="33"/>
      <c r="OO300" s="33"/>
      <c r="OP300" s="33"/>
      <c r="OQ300" s="33"/>
      <c r="OR300" s="33"/>
      <c r="OS300" s="33"/>
      <c r="OT300" s="33"/>
      <c r="OU300" s="33"/>
      <c r="OV300" s="33"/>
      <c r="OW300" s="33"/>
      <c r="OX300" s="33"/>
      <c r="OY300" s="33"/>
      <c r="OZ300" s="33"/>
      <c r="PA300" s="33"/>
      <c r="PB300" s="33"/>
      <c r="PC300" s="33"/>
      <c r="PD300" s="33"/>
      <c r="PE300" s="33"/>
      <c r="PF300" s="33"/>
      <c r="PG300" s="33"/>
      <c r="PH300" s="33"/>
      <c r="PI300" s="33"/>
      <c r="PJ300" s="33"/>
      <c r="PK300" s="33"/>
      <c r="PL300" s="33"/>
      <c r="PM300" s="33"/>
      <c r="PN300" s="33"/>
      <c r="PO300" s="33"/>
      <c r="PP300" s="33"/>
      <c r="PQ300" s="33"/>
      <c r="PR300" s="33"/>
      <c r="PS300" s="33"/>
      <c r="PT300" s="33"/>
      <c r="PU300" s="33"/>
      <c r="PV300" s="33"/>
      <c r="PW300" s="33"/>
      <c r="PX300" s="33"/>
      <c r="PY300" s="33"/>
      <c r="PZ300" s="33"/>
      <c r="QA300" s="33"/>
      <c r="QB300" s="33"/>
      <c r="QC300" s="33"/>
      <c r="QD300" s="33"/>
      <c r="QE300" s="33"/>
      <c r="QF300" s="33"/>
      <c r="QG300" s="33"/>
      <c r="QH300" s="33"/>
      <c r="QI300" s="33"/>
      <c r="QJ300" s="33"/>
      <c r="QK300" s="33"/>
      <c r="QL300" s="33"/>
      <c r="QM300" s="33"/>
      <c r="QN300" s="33"/>
      <c r="QO300" s="33"/>
      <c r="QP300" s="33"/>
      <c r="QQ300" s="33"/>
      <c r="QR300" s="33"/>
      <c r="QS300" s="33"/>
      <c r="QT300" s="33"/>
      <c r="QU300" s="33"/>
      <c r="QV300" s="33"/>
      <c r="QW300" s="33"/>
      <c r="QX300" s="33"/>
      <c r="QY300" s="33"/>
      <c r="QZ300" s="33"/>
      <c r="RA300" s="33"/>
      <c r="RB300" s="33"/>
      <c r="RC300" s="33"/>
      <c r="RD300" s="33"/>
      <c r="RE300" s="33"/>
      <c r="RF300" s="33"/>
      <c r="RG300" s="33"/>
      <c r="RH300" s="33"/>
      <c r="RI300" s="33"/>
      <c r="RJ300" s="33"/>
      <c r="RK300" s="33"/>
      <c r="RL300" s="33"/>
      <c r="RM300" s="33"/>
      <c r="RN300" s="33"/>
      <c r="RO300" s="33"/>
      <c r="RP300" s="33"/>
      <c r="RQ300" s="33"/>
      <c r="RR300" s="33"/>
      <c r="RS300" s="33"/>
      <c r="RT300" s="33"/>
      <c r="RU300" s="33"/>
      <c r="RV300" s="33"/>
      <c r="RW300" s="33"/>
      <c r="RX300" s="33"/>
      <c r="RY300" s="33"/>
      <c r="RZ300" s="33"/>
      <c r="SA300" s="33"/>
      <c r="SB300" s="33"/>
      <c r="SC300" s="33"/>
      <c r="SD300" s="33"/>
      <c r="SE300" s="33"/>
      <c r="SF300" s="33"/>
      <c r="SG300" s="33"/>
      <c r="SH300" s="33"/>
      <c r="SI300" s="33"/>
      <c r="SJ300" s="33"/>
      <c r="SK300" s="33"/>
      <c r="SL300" s="33"/>
      <c r="SM300" s="33"/>
      <c r="SN300" s="33"/>
      <c r="SO300" s="33"/>
      <c r="SP300" s="33"/>
      <c r="SQ300" s="33"/>
      <c r="SR300" s="33"/>
      <c r="SS300" s="33"/>
      <c r="ST300" s="33"/>
      <c r="SU300" s="33"/>
      <c r="SV300" s="33"/>
      <c r="SW300" s="33"/>
      <c r="SX300" s="33"/>
      <c r="SY300" s="33"/>
      <c r="SZ300" s="33"/>
      <c r="TA300" s="33"/>
      <c r="TB300" s="33"/>
      <c r="TC300" s="33"/>
      <c r="TD300" s="33"/>
      <c r="TE300" s="33"/>
      <c r="TF300" s="33"/>
      <c r="TG300" s="33"/>
    </row>
    <row r="301" spans="1:527" s="22" customFormat="1" ht="49.5" customHeight="1" x14ac:dyDescent="0.25">
      <c r="A301" s="59" t="s">
        <v>211</v>
      </c>
      <c r="B301" s="92" t="str">
        <f>'дод 7'!A19</f>
        <v>0160</v>
      </c>
      <c r="C301" s="92" t="str">
        <f>'дод 7'!B19</f>
        <v>0111</v>
      </c>
      <c r="D301" s="36" t="s">
        <v>493</v>
      </c>
      <c r="E301" s="98">
        <f>F301+I301</f>
        <v>4340725</v>
      </c>
      <c r="F301" s="98">
        <f>4301300+20000+19425</f>
        <v>4340725</v>
      </c>
      <c r="G301" s="98">
        <v>3301600</v>
      </c>
      <c r="H301" s="98">
        <f>46000+19425+5300</f>
        <v>70725</v>
      </c>
      <c r="I301" s="98"/>
      <c r="J301" s="98">
        <f>L301+O301</f>
        <v>0</v>
      </c>
      <c r="K301" s="98"/>
      <c r="L301" s="98"/>
      <c r="M301" s="98"/>
      <c r="N301" s="98"/>
      <c r="O301" s="98"/>
      <c r="P301" s="98">
        <f>E301+J301</f>
        <v>4340725</v>
      </c>
      <c r="Q301" s="23"/>
      <c r="R301" s="32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  <c r="IW301" s="23"/>
      <c r="IX301" s="23"/>
      <c r="IY301" s="23"/>
      <c r="IZ301" s="23"/>
      <c r="JA301" s="23"/>
      <c r="JB301" s="23"/>
      <c r="JC301" s="23"/>
      <c r="JD301" s="23"/>
      <c r="JE301" s="23"/>
      <c r="JF301" s="23"/>
      <c r="JG301" s="23"/>
      <c r="JH301" s="23"/>
      <c r="JI301" s="23"/>
      <c r="JJ301" s="23"/>
      <c r="JK301" s="23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  <c r="JZ301" s="23"/>
      <c r="KA301" s="23"/>
      <c r="KB301" s="23"/>
      <c r="KC301" s="23"/>
      <c r="KD301" s="23"/>
      <c r="KE301" s="23"/>
      <c r="KF301" s="23"/>
      <c r="KG301" s="23"/>
      <c r="KH301" s="23"/>
      <c r="KI301" s="23"/>
      <c r="KJ301" s="23"/>
      <c r="KK301" s="23"/>
      <c r="KL301" s="23"/>
      <c r="KM301" s="23"/>
      <c r="KN301" s="23"/>
      <c r="KO301" s="23"/>
      <c r="KP301" s="23"/>
      <c r="KQ301" s="23"/>
      <c r="KR301" s="23"/>
      <c r="KS301" s="23"/>
      <c r="KT301" s="23"/>
      <c r="KU301" s="23"/>
      <c r="KV301" s="23"/>
      <c r="KW301" s="23"/>
      <c r="KX301" s="23"/>
      <c r="KY301" s="23"/>
      <c r="KZ301" s="23"/>
      <c r="LA301" s="23"/>
      <c r="LB301" s="23"/>
      <c r="LC301" s="23"/>
      <c r="LD301" s="23"/>
      <c r="LE301" s="23"/>
      <c r="LF301" s="23"/>
      <c r="LG301" s="23"/>
      <c r="LH301" s="23"/>
      <c r="LI301" s="23"/>
      <c r="LJ301" s="23"/>
      <c r="LK301" s="23"/>
      <c r="LL301" s="23"/>
      <c r="LM301" s="23"/>
      <c r="LN301" s="23"/>
      <c r="LO301" s="23"/>
      <c r="LP301" s="23"/>
      <c r="LQ301" s="23"/>
      <c r="LR301" s="23"/>
      <c r="LS301" s="23"/>
      <c r="LT301" s="23"/>
      <c r="LU301" s="23"/>
      <c r="LV301" s="23"/>
      <c r="LW301" s="23"/>
      <c r="LX301" s="23"/>
      <c r="LY301" s="23"/>
      <c r="LZ301" s="23"/>
      <c r="MA301" s="23"/>
      <c r="MB301" s="23"/>
      <c r="MC301" s="23"/>
      <c r="MD301" s="23"/>
      <c r="ME301" s="23"/>
      <c r="MF301" s="23"/>
      <c r="MG301" s="23"/>
      <c r="MH301" s="23"/>
      <c r="MI301" s="23"/>
      <c r="MJ301" s="23"/>
      <c r="MK301" s="23"/>
      <c r="ML301" s="23"/>
      <c r="MM301" s="23"/>
      <c r="MN301" s="23"/>
      <c r="MO301" s="23"/>
      <c r="MP301" s="23"/>
      <c r="MQ301" s="23"/>
      <c r="MR301" s="23"/>
      <c r="MS301" s="23"/>
      <c r="MT301" s="23"/>
      <c r="MU301" s="23"/>
      <c r="MV301" s="23"/>
      <c r="MW301" s="23"/>
      <c r="MX301" s="23"/>
      <c r="MY301" s="23"/>
      <c r="MZ301" s="23"/>
      <c r="NA301" s="23"/>
      <c r="NB301" s="23"/>
      <c r="NC301" s="23"/>
      <c r="ND301" s="23"/>
      <c r="NE301" s="23"/>
      <c r="NF301" s="23"/>
      <c r="NG301" s="23"/>
      <c r="NH301" s="23"/>
      <c r="NI301" s="23"/>
      <c r="NJ301" s="23"/>
      <c r="NK301" s="23"/>
      <c r="NL301" s="23"/>
      <c r="NM301" s="23"/>
      <c r="NN301" s="23"/>
      <c r="NO301" s="23"/>
      <c r="NP301" s="23"/>
      <c r="NQ301" s="23"/>
      <c r="NR301" s="23"/>
      <c r="NS301" s="23"/>
      <c r="NT301" s="23"/>
      <c r="NU301" s="23"/>
      <c r="NV301" s="23"/>
      <c r="NW301" s="23"/>
      <c r="NX301" s="23"/>
      <c r="NY301" s="23"/>
      <c r="NZ301" s="23"/>
      <c r="OA301" s="23"/>
      <c r="OB301" s="23"/>
      <c r="OC301" s="23"/>
      <c r="OD301" s="23"/>
      <c r="OE301" s="23"/>
      <c r="OF301" s="23"/>
      <c r="OG301" s="23"/>
      <c r="OH301" s="23"/>
      <c r="OI301" s="23"/>
      <c r="OJ301" s="23"/>
      <c r="OK301" s="23"/>
      <c r="OL301" s="23"/>
      <c r="OM301" s="23"/>
      <c r="ON301" s="23"/>
      <c r="OO301" s="23"/>
      <c r="OP301" s="23"/>
      <c r="OQ301" s="23"/>
      <c r="OR301" s="23"/>
      <c r="OS301" s="23"/>
      <c r="OT301" s="23"/>
      <c r="OU301" s="23"/>
      <c r="OV301" s="23"/>
      <c r="OW301" s="23"/>
      <c r="OX301" s="23"/>
      <c r="OY301" s="23"/>
      <c r="OZ301" s="23"/>
      <c r="PA301" s="23"/>
      <c r="PB301" s="23"/>
      <c r="PC301" s="23"/>
      <c r="PD301" s="23"/>
      <c r="PE301" s="23"/>
      <c r="PF301" s="23"/>
      <c r="PG301" s="23"/>
      <c r="PH301" s="23"/>
      <c r="PI301" s="23"/>
      <c r="PJ301" s="23"/>
      <c r="PK301" s="23"/>
      <c r="PL301" s="23"/>
      <c r="PM301" s="23"/>
      <c r="PN301" s="23"/>
      <c r="PO301" s="23"/>
      <c r="PP301" s="23"/>
      <c r="PQ301" s="23"/>
      <c r="PR301" s="23"/>
      <c r="PS301" s="23"/>
      <c r="PT301" s="23"/>
      <c r="PU301" s="23"/>
      <c r="PV301" s="23"/>
      <c r="PW301" s="23"/>
      <c r="PX301" s="23"/>
      <c r="PY301" s="23"/>
      <c r="PZ301" s="23"/>
      <c r="QA301" s="23"/>
      <c r="QB301" s="23"/>
      <c r="QC301" s="23"/>
      <c r="QD301" s="23"/>
      <c r="QE301" s="23"/>
      <c r="QF301" s="23"/>
      <c r="QG301" s="23"/>
      <c r="QH301" s="23"/>
      <c r="QI301" s="23"/>
      <c r="QJ301" s="23"/>
      <c r="QK301" s="23"/>
      <c r="QL301" s="23"/>
      <c r="QM301" s="23"/>
      <c r="QN301" s="23"/>
      <c r="QO301" s="23"/>
      <c r="QP301" s="23"/>
      <c r="QQ301" s="23"/>
      <c r="QR301" s="23"/>
      <c r="QS301" s="23"/>
      <c r="QT301" s="23"/>
      <c r="QU301" s="23"/>
      <c r="QV301" s="23"/>
      <c r="QW301" s="23"/>
      <c r="QX301" s="23"/>
      <c r="QY301" s="23"/>
      <c r="QZ301" s="23"/>
      <c r="RA301" s="23"/>
      <c r="RB301" s="23"/>
      <c r="RC301" s="23"/>
      <c r="RD301" s="23"/>
      <c r="RE301" s="23"/>
      <c r="RF301" s="23"/>
      <c r="RG301" s="23"/>
      <c r="RH301" s="23"/>
      <c r="RI301" s="23"/>
      <c r="RJ301" s="23"/>
      <c r="RK301" s="23"/>
      <c r="RL301" s="23"/>
      <c r="RM301" s="23"/>
      <c r="RN301" s="23"/>
      <c r="RO301" s="23"/>
      <c r="RP301" s="23"/>
      <c r="RQ301" s="23"/>
      <c r="RR301" s="23"/>
      <c r="RS301" s="23"/>
      <c r="RT301" s="23"/>
      <c r="RU301" s="23"/>
      <c r="RV301" s="23"/>
      <c r="RW301" s="23"/>
      <c r="RX301" s="23"/>
      <c r="RY301" s="23"/>
      <c r="RZ301" s="23"/>
      <c r="SA301" s="23"/>
      <c r="SB301" s="23"/>
      <c r="SC301" s="23"/>
      <c r="SD301" s="23"/>
      <c r="SE301" s="23"/>
      <c r="SF301" s="23"/>
      <c r="SG301" s="23"/>
      <c r="SH301" s="23"/>
      <c r="SI301" s="23"/>
      <c r="SJ301" s="23"/>
      <c r="SK301" s="23"/>
      <c r="SL301" s="23"/>
      <c r="SM301" s="23"/>
      <c r="SN301" s="23"/>
      <c r="SO301" s="23"/>
      <c r="SP301" s="23"/>
      <c r="SQ301" s="23"/>
      <c r="SR301" s="23"/>
      <c r="SS301" s="23"/>
      <c r="ST301" s="23"/>
      <c r="SU301" s="23"/>
      <c r="SV301" s="23"/>
      <c r="SW301" s="23"/>
      <c r="SX301" s="23"/>
      <c r="SY301" s="23"/>
      <c r="SZ301" s="23"/>
      <c r="TA301" s="23"/>
      <c r="TB301" s="23"/>
      <c r="TC301" s="23"/>
      <c r="TD301" s="23"/>
      <c r="TE301" s="23"/>
      <c r="TF301" s="23"/>
      <c r="TG301" s="23"/>
    </row>
    <row r="302" spans="1:527" s="27" customFormat="1" ht="37.5" customHeight="1" x14ac:dyDescent="0.25">
      <c r="A302" s="109" t="s">
        <v>213</v>
      </c>
      <c r="B302" s="111"/>
      <c r="C302" s="111"/>
      <c r="D302" s="106" t="s">
        <v>39</v>
      </c>
      <c r="E302" s="94">
        <f>E303</f>
        <v>21083978</v>
      </c>
      <c r="F302" s="94">
        <f t="shared" ref="F302:J302" si="161">F303</f>
        <v>21083978</v>
      </c>
      <c r="G302" s="94">
        <f t="shared" si="161"/>
        <v>14932200</v>
      </c>
      <c r="H302" s="94">
        <f t="shared" si="161"/>
        <v>409278</v>
      </c>
      <c r="I302" s="94">
        <f t="shared" si="161"/>
        <v>0</v>
      </c>
      <c r="J302" s="94">
        <f t="shared" si="161"/>
        <v>665000</v>
      </c>
      <c r="K302" s="94">
        <f t="shared" ref="K302" si="162">K303</f>
        <v>665000</v>
      </c>
      <c r="L302" s="94">
        <f t="shared" ref="L302" si="163">L303</f>
        <v>0</v>
      </c>
      <c r="M302" s="94">
        <f t="shared" ref="M302" si="164">M303</f>
        <v>0</v>
      </c>
      <c r="N302" s="94">
        <f t="shared" ref="N302" si="165">N303</f>
        <v>0</v>
      </c>
      <c r="O302" s="94">
        <f t="shared" ref="O302" si="166">O303</f>
        <v>665000</v>
      </c>
      <c r="P302" s="94">
        <f>P303</f>
        <v>21748978</v>
      </c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  <c r="EH302" s="32"/>
      <c r="EI302" s="32"/>
      <c r="EJ302" s="32"/>
      <c r="EK302" s="32"/>
      <c r="EL302" s="32"/>
      <c r="EM302" s="32"/>
      <c r="EN302" s="32"/>
      <c r="EO302" s="32"/>
      <c r="EP302" s="32"/>
      <c r="EQ302" s="32"/>
      <c r="ER302" s="32"/>
      <c r="ES302" s="32"/>
      <c r="ET302" s="32"/>
      <c r="EU302" s="32"/>
      <c r="EV302" s="32"/>
      <c r="EW302" s="32"/>
      <c r="EX302" s="32"/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2"/>
      <c r="FK302" s="32"/>
      <c r="FL302" s="32"/>
      <c r="FM302" s="32"/>
      <c r="FN302" s="32"/>
      <c r="FO302" s="32"/>
      <c r="FP302" s="32"/>
      <c r="FQ302" s="32"/>
      <c r="FR302" s="32"/>
      <c r="FS302" s="32"/>
      <c r="FT302" s="32"/>
      <c r="FU302" s="32"/>
      <c r="FV302" s="32"/>
      <c r="FW302" s="32"/>
      <c r="FX302" s="32"/>
      <c r="FY302" s="32"/>
      <c r="FZ302" s="32"/>
      <c r="GA302" s="32"/>
      <c r="GB302" s="32"/>
      <c r="GC302" s="32"/>
      <c r="GD302" s="32"/>
      <c r="GE302" s="32"/>
      <c r="GF302" s="32"/>
      <c r="GG302" s="32"/>
      <c r="GH302" s="32"/>
      <c r="GI302" s="32"/>
      <c r="GJ302" s="32"/>
      <c r="GK302" s="32"/>
      <c r="GL302" s="32"/>
      <c r="GM302" s="32"/>
      <c r="GN302" s="32"/>
      <c r="GO302" s="32"/>
      <c r="GP302" s="32"/>
      <c r="GQ302" s="32"/>
      <c r="GR302" s="32"/>
      <c r="GS302" s="32"/>
      <c r="GT302" s="32"/>
      <c r="GU302" s="32"/>
      <c r="GV302" s="32"/>
      <c r="GW302" s="32"/>
      <c r="GX302" s="32"/>
      <c r="GY302" s="32"/>
      <c r="GZ302" s="32"/>
      <c r="HA302" s="32"/>
      <c r="HB302" s="32"/>
      <c r="HC302" s="32"/>
      <c r="HD302" s="32"/>
      <c r="HE302" s="32"/>
      <c r="HF302" s="32"/>
      <c r="HG302" s="32"/>
      <c r="HH302" s="32"/>
      <c r="HI302" s="32"/>
      <c r="HJ302" s="32"/>
      <c r="HK302" s="32"/>
      <c r="HL302" s="32"/>
      <c r="HM302" s="32"/>
      <c r="HN302" s="32"/>
      <c r="HO302" s="32"/>
      <c r="HP302" s="32"/>
      <c r="HQ302" s="32"/>
      <c r="HR302" s="32"/>
      <c r="HS302" s="32"/>
      <c r="HT302" s="32"/>
      <c r="HU302" s="32"/>
      <c r="HV302" s="32"/>
      <c r="HW302" s="32"/>
      <c r="HX302" s="32"/>
      <c r="HY302" s="32"/>
      <c r="HZ302" s="32"/>
      <c r="IA302" s="32"/>
      <c r="IB302" s="32"/>
      <c r="IC302" s="32"/>
      <c r="ID302" s="32"/>
      <c r="IE302" s="32"/>
      <c r="IF302" s="32"/>
      <c r="IG302" s="32"/>
      <c r="IH302" s="32"/>
      <c r="II302" s="32"/>
      <c r="IJ302" s="32"/>
      <c r="IK302" s="32"/>
      <c r="IL302" s="32"/>
      <c r="IM302" s="32"/>
      <c r="IN302" s="32"/>
      <c r="IO302" s="32"/>
      <c r="IP302" s="32"/>
      <c r="IQ302" s="32"/>
      <c r="IR302" s="32"/>
      <c r="IS302" s="32"/>
      <c r="IT302" s="32"/>
      <c r="IU302" s="32"/>
      <c r="IV302" s="32"/>
      <c r="IW302" s="32"/>
      <c r="IX302" s="32"/>
      <c r="IY302" s="32"/>
      <c r="IZ302" s="32"/>
      <c r="JA302" s="32"/>
      <c r="JB302" s="32"/>
      <c r="JC302" s="32"/>
      <c r="JD302" s="32"/>
      <c r="JE302" s="32"/>
      <c r="JF302" s="32"/>
      <c r="JG302" s="32"/>
      <c r="JH302" s="32"/>
      <c r="JI302" s="32"/>
      <c r="JJ302" s="32"/>
      <c r="JK302" s="32"/>
      <c r="JL302" s="32"/>
      <c r="JM302" s="32"/>
      <c r="JN302" s="32"/>
      <c r="JO302" s="32"/>
      <c r="JP302" s="32"/>
      <c r="JQ302" s="32"/>
      <c r="JR302" s="32"/>
      <c r="JS302" s="32"/>
      <c r="JT302" s="32"/>
      <c r="JU302" s="32"/>
      <c r="JV302" s="32"/>
      <c r="JW302" s="32"/>
      <c r="JX302" s="32"/>
      <c r="JY302" s="32"/>
      <c r="JZ302" s="32"/>
      <c r="KA302" s="32"/>
      <c r="KB302" s="32"/>
      <c r="KC302" s="32"/>
      <c r="KD302" s="32"/>
      <c r="KE302" s="32"/>
      <c r="KF302" s="32"/>
      <c r="KG302" s="32"/>
      <c r="KH302" s="32"/>
      <c r="KI302" s="32"/>
      <c r="KJ302" s="32"/>
      <c r="KK302" s="32"/>
      <c r="KL302" s="32"/>
      <c r="KM302" s="32"/>
      <c r="KN302" s="32"/>
      <c r="KO302" s="32"/>
      <c r="KP302" s="32"/>
      <c r="KQ302" s="32"/>
      <c r="KR302" s="32"/>
      <c r="KS302" s="32"/>
      <c r="KT302" s="32"/>
      <c r="KU302" s="32"/>
      <c r="KV302" s="32"/>
      <c r="KW302" s="32"/>
      <c r="KX302" s="32"/>
      <c r="KY302" s="32"/>
      <c r="KZ302" s="32"/>
      <c r="LA302" s="32"/>
      <c r="LB302" s="32"/>
      <c r="LC302" s="32"/>
      <c r="LD302" s="32"/>
      <c r="LE302" s="32"/>
      <c r="LF302" s="32"/>
      <c r="LG302" s="32"/>
      <c r="LH302" s="32"/>
      <c r="LI302" s="32"/>
      <c r="LJ302" s="32"/>
      <c r="LK302" s="32"/>
      <c r="LL302" s="32"/>
      <c r="LM302" s="32"/>
      <c r="LN302" s="32"/>
      <c r="LO302" s="32"/>
      <c r="LP302" s="32"/>
      <c r="LQ302" s="32"/>
      <c r="LR302" s="32"/>
      <c r="LS302" s="32"/>
      <c r="LT302" s="32"/>
      <c r="LU302" s="32"/>
      <c r="LV302" s="32"/>
      <c r="LW302" s="32"/>
      <c r="LX302" s="32"/>
      <c r="LY302" s="32"/>
      <c r="LZ302" s="32"/>
      <c r="MA302" s="32"/>
      <c r="MB302" s="32"/>
      <c r="MC302" s="32"/>
      <c r="MD302" s="32"/>
      <c r="ME302" s="32"/>
      <c r="MF302" s="32"/>
      <c r="MG302" s="32"/>
      <c r="MH302" s="32"/>
      <c r="MI302" s="32"/>
      <c r="MJ302" s="32"/>
      <c r="MK302" s="32"/>
      <c r="ML302" s="32"/>
      <c r="MM302" s="32"/>
      <c r="MN302" s="32"/>
      <c r="MO302" s="32"/>
      <c r="MP302" s="32"/>
      <c r="MQ302" s="32"/>
      <c r="MR302" s="32"/>
      <c r="MS302" s="32"/>
      <c r="MT302" s="32"/>
      <c r="MU302" s="32"/>
      <c r="MV302" s="32"/>
      <c r="MW302" s="32"/>
      <c r="MX302" s="32"/>
      <c r="MY302" s="32"/>
      <c r="MZ302" s="32"/>
      <c r="NA302" s="32"/>
      <c r="NB302" s="32"/>
      <c r="NC302" s="32"/>
      <c r="ND302" s="32"/>
      <c r="NE302" s="32"/>
      <c r="NF302" s="32"/>
      <c r="NG302" s="32"/>
      <c r="NH302" s="32"/>
      <c r="NI302" s="32"/>
      <c r="NJ302" s="32"/>
      <c r="NK302" s="32"/>
      <c r="NL302" s="32"/>
      <c r="NM302" s="32"/>
      <c r="NN302" s="32"/>
      <c r="NO302" s="32"/>
      <c r="NP302" s="32"/>
      <c r="NQ302" s="32"/>
      <c r="NR302" s="32"/>
      <c r="NS302" s="32"/>
      <c r="NT302" s="32"/>
      <c r="NU302" s="32"/>
      <c r="NV302" s="32"/>
      <c r="NW302" s="32"/>
      <c r="NX302" s="32"/>
      <c r="NY302" s="32"/>
      <c r="NZ302" s="32"/>
      <c r="OA302" s="32"/>
      <c r="OB302" s="32"/>
      <c r="OC302" s="32"/>
      <c r="OD302" s="32"/>
      <c r="OE302" s="32"/>
      <c r="OF302" s="32"/>
      <c r="OG302" s="32"/>
      <c r="OH302" s="32"/>
      <c r="OI302" s="32"/>
      <c r="OJ302" s="32"/>
      <c r="OK302" s="32"/>
      <c r="OL302" s="32"/>
      <c r="OM302" s="32"/>
      <c r="ON302" s="32"/>
      <c r="OO302" s="32"/>
      <c r="OP302" s="32"/>
      <c r="OQ302" s="32"/>
      <c r="OR302" s="32"/>
      <c r="OS302" s="32"/>
      <c r="OT302" s="32"/>
      <c r="OU302" s="32"/>
      <c r="OV302" s="32"/>
      <c r="OW302" s="32"/>
      <c r="OX302" s="32"/>
      <c r="OY302" s="32"/>
      <c r="OZ302" s="32"/>
      <c r="PA302" s="32"/>
      <c r="PB302" s="32"/>
      <c r="PC302" s="32"/>
      <c r="PD302" s="32"/>
      <c r="PE302" s="32"/>
      <c r="PF302" s="32"/>
      <c r="PG302" s="32"/>
      <c r="PH302" s="32"/>
      <c r="PI302" s="32"/>
      <c r="PJ302" s="32"/>
      <c r="PK302" s="32"/>
      <c r="PL302" s="32"/>
      <c r="PM302" s="32"/>
      <c r="PN302" s="32"/>
      <c r="PO302" s="32"/>
      <c r="PP302" s="32"/>
      <c r="PQ302" s="32"/>
      <c r="PR302" s="32"/>
      <c r="PS302" s="32"/>
      <c r="PT302" s="32"/>
      <c r="PU302" s="32"/>
      <c r="PV302" s="32"/>
      <c r="PW302" s="32"/>
      <c r="PX302" s="32"/>
      <c r="PY302" s="32"/>
      <c r="PZ302" s="32"/>
      <c r="QA302" s="32"/>
      <c r="QB302" s="32"/>
      <c r="QC302" s="32"/>
      <c r="QD302" s="32"/>
      <c r="QE302" s="32"/>
      <c r="QF302" s="32"/>
      <c r="QG302" s="32"/>
      <c r="QH302" s="32"/>
      <c r="QI302" s="32"/>
      <c r="QJ302" s="32"/>
      <c r="QK302" s="32"/>
      <c r="QL302" s="32"/>
      <c r="QM302" s="32"/>
      <c r="QN302" s="32"/>
      <c r="QO302" s="32"/>
      <c r="QP302" s="32"/>
      <c r="QQ302" s="32"/>
      <c r="QR302" s="32"/>
      <c r="QS302" s="32"/>
      <c r="QT302" s="32"/>
      <c r="QU302" s="32"/>
      <c r="QV302" s="32"/>
      <c r="QW302" s="32"/>
      <c r="QX302" s="32"/>
      <c r="QY302" s="32"/>
      <c r="QZ302" s="32"/>
      <c r="RA302" s="32"/>
      <c r="RB302" s="32"/>
      <c r="RC302" s="32"/>
      <c r="RD302" s="32"/>
      <c r="RE302" s="32"/>
      <c r="RF302" s="32"/>
      <c r="RG302" s="32"/>
      <c r="RH302" s="32"/>
      <c r="RI302" s="32"/>
      <c r="RJ302" s="32"/>
      <c r="RK302" s="32"/>
      <c r="RL302" s="32"/>
      <c r="RM302" s="32"/>
      <c r="RN302" s="32"/>
      <c r="RO302" s="32"/>
      <c r="RP302" s="32"/>
      <c r="RQ302" s="32"/>
      <c r="RR302" s="32"/>
      <c r="RS302" s="32"/>
      <c r="RT302" s="32"/>
      <c r="RU302" s="32"/>
      <c r="RV302" s="32"/>
      <c r="RW302" s="32"/>
      <c r="RX302" s="32"/>
      <c r="RY302" s="32"/>
      <c r="RZ302" s="32"/>
      <c r="SA302" s="32"/>
      <c r="SB302" s="32"/>
      <c r="SC302" s="32"/>
      <c r="SD302" s="32"/>
      <c r="SE302" s="32"/>
      <c r="SF302" s="32"/>
      <c r="SG302" s="32"/>
      <c r="SH302" s="32"/>
      <c r="SI302" s="32"/>
      <c r="SJ302" s="32"/>
      <c r="SK302" s="32"/>
      <c r="SL302" s="32"/>
      <c r="SM302" s="32"/>
      <c r="SN302" s="32"/>
      <c r="SO302" s="32"/>
      <c r="SP302" s="32"/>
      <c r="SQ302" s="32"/>
      <c r="SR302" s="32"/>
      <c r="SS302" s="32"/>
      <c r="ST302" s="32"/>
      <c r="SU302" s="32"/>
      <c r="SV302" s="32"/>
      <c r="SW302" s="32"/>
      <c r="SX302" s="32"/>
      <c r="SY302" s="32"/>
      <c r="SZ302" s="32"/>
      <c r="TA302" s="32"/>
      <c r="TB302" s="32"/>
      <c r="TC302" s="32"/>
      <c r="TD302" s="32"/>
      <c r="TE302" s="32"/>
      <c r="TF302" s="32"/>
      <c r="TG302" s="32"/>
    </row>
    <row r="303" spans="1:527" s="34" customFormat="1" ht="33.75" customHeight="1" x14ac:dyDescent="0.25">
      <c r="A303" s="95" t="s">
        <v>214</v>
      </c>
      <c r="B303" s="108"/>
      <c r="C303" s="108"/>
      <c r="D303" s="76" t="s">
        <v>39</v>
      </c>
      <c r="E303" s="97">
        <f>E304+E305++E306+E307+E308+E309</f>
        <v>21083978</v>
      </c>
      <c r="F303" s="97">
        <f t="shared" ref="F303:P303" si="167">F304+F305++F306+F307+F308+F309</f>
        <v>21083978</v>
      </c>
      <c r="G303" s="97">
        <f t="shared" si="167"/>
        <v>14932200</v>
      </c>
      <c r="H303" s="97">
        <f t="shared" si="167"/>
        <v>409278</v>
      </c>
      <c r="I303" s="97">
        <f t="shared" si="167"/>
        <v>0</v>
      </c>
      <c r="J303" s="97">
        <f t="shared" si="167"/>
        <v>665000</v>
      </c>
      <c r="K303" s="97">
        <f>K304+K305++K306+K307+K308+K309</f>
        <v>665000</v>
      </c>
      <c r="L303" s="97">
        <f t="shared" si="167"/>
        <v>0</v>
      </c>
      <c r="M303" s="97">
        <f t="shared" si="167"/>
        <v>0</v>
      </c>
      <c r="N303" s="97">
        <f t="shared" si="167"/>
        <v>0</v>
      </c>
      <c r="O303" s="97">
        <f t="shared" si="167"/>
        <v>665000</v>
      </c>
      <c r="P303" s="97">
        <f t="shared" si="167"/>
        <v>21748978</v>
      </c>
      <c r="Q303" s="33"/>
      <c r="R303" s="32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  <c r="IT303" s="33"/>
      <c r="IU303" s="33"/>
      <c r="IV303" s="33"/>
      <c r="IW303" s="33"/>
      <c r="IX303" s="33"/>
      <c r="IY303" s="33"/>
      <c r="IZ303" s="33"/>
      <c r="JA303" s="33"/>
      <c r="JB303" s="33"/>
      <c r="JC303" s="33"/>
      <c r="JD303" s="33"/>
      <c r="JE303" s="33"/>
      <c r="JF303" s="33"/>
      <c r="JG303" s="33"/>
      <c r="JH303" s="33"/>
      <c r="JI303" s="33"/>
      <c r="JJ303" s="33"/>
      <c r="JK303" s="33"/>
      <c r="JL303" s="33"/>
      <c r="JM303" s="33"/>
      <c r="JN303" s="33"/>
      <c r="JO303" s="33"/>
      <c r="JP303" s="33"/>
      <c r="JQ303" s="33"/>
      <c r="JR303" s="33"/>
      <c r="JS303" s="33"/>
      <c r="JT303" s="33"/>
      <c r="JU303" s="33"/>
      <c r="JV303" s="33"/>
      <c r="JW303" s="33"/>
      <c r="JX303" s="33"/>
      <c r="JY303" s="33"/>
      <c r="JZ303" s="33"/>
      <c r="KA303" s="33"/>
      <c r="KB303" s="33"/>
      <c r="KC303" s="33"/>
      <c r="KD303" s="33"/>
      <c r="KE303" s="33"/>
      <c r="KF303" s="33"/>
      <c r="KG303" s="33"/>
      <c r="KH303" s="33"/>
      <c r="KI303" s="33"/>
      <c r="KJ303" s="33"/>
      <c r="KK303" s="33"/>
      <c r="KL303" s="33"/>
      <c r="KM303" s="33"/>
      <c r="KN303" s="33"/>
      <c r="KO303" s="33"/>
      <c r="KP303" s="33"/>
      <c r="KQ303" s="33"/>
      <c r="KR303" s="33"/>
      <c r="KS303" s="33"/>
      <c r="KT303" s="33"/>
      <c r="KU303" s="33"/>
      <c r="KV303" s="33"/>
      <c r="KW303" s="33"/>
      <c r="KX303" s="33"/>
      <c r="KY303" s="33"/>
      <c r="KZ303" s="33"/>
      <c r="LA303" s="33"/>
      <c r="LB303" s="33"/>
      <c r="LC303" s="33"/>
      <c r="LD303" s="33"/>
      <c r="LE303" s="33"/>
      <c r="LF303" s="33"/>
      <c r="LG303" s="33"/>
      <c r="LH303" s="33"/>
      <c r="LI303" s="33"/>
      <c r="LJ303" s="33"/>
      <c r="LK303" s="33"/>
      <c r="LL303" s="33"/>
      <c r="LM303" s="33"/>
      <c r="LN303" s="33"/>
      <c r="LO303" s="33"/>
      <c r="LP303" s="33"/>
      <c r="LQ303" s="33"/>
      <c r="LR303" s="33"/>
      <c r="LS303" s="33"/>
      <c r="LT303" s="33"/>
      <c r="LU303" s="33"/>
      <c r="LV303" s="33"/>
      <c r="LW303" s="33"/>
      <c r="LX303" s="33"/>
      <c r="LY303" s="33"/>
      <c r="LZ303" s="33"/>
      <c r="MA303" s="33"/>
      <c r="MB303" s="33"/>
      <c r="MC303" s="33"/>
      <c r="MD303" s="33"/>
      <c r="ME303" s="33"/>
      <c r="MF303" s="33"/>
      <c r="MG303" s="33"/>
      <c r="MH303" s="33"/>
      <c r="MI303" s="33"/>
      <c r="MJ303" s="33"/>
      <c r="MK303" s="33"/>
      <c r="ML303" s="33"/>
      <c r="MM303" s="33"/>
      <c r="MN303" s="33"/>
      <c r="MO303" s="33"/>
      <c r="MP303" s="33"/>
      <c r="MQ303" s="33"/>
      <c r="MR303" s="33"/>
      <c r="MS303" s="33"/>
      <c r="MT303" s="33"/>
      <c r="MU303" s="33"/>
      <c r="MV303" s="33"/>
      <c r="MW303" s="33"/>
      <c r="MX303" s="33"/>
      <c r="MY303" s="33"/>
      <c r="MZ303" s="33"/>
      <c r="NA303" s="33"/>
      <c r="NB303" s="33"/>
      <c r="NC303" s="33"/>
      <c r="ND303" s="33"/>
      <c r="NE303" s="33"/>
      <c r="NF303" s="33"/>
      <c r="NG303" s="33"/>
      <c r="NH303" s="33"/>
      <c r="NI303" s="33"/>
      <c r="NJ303" s="33"/>
      <c r="NK303" s="33"/>
      <c r="NL303" s="33"/>
      <c r="NM303" s="33"/>
      <c r="NN303" s="33"/>
      <c r="NO303" s="33"/>
      <c r="NP303" s="33"/>
      <c r="NQ303" s="33"/>
      <c r="NR303" s="33"/>
      <c r="NS303" s="33"/>
      <c r="NT303" s="33"/>
      <c r="NU303" s="33"/>
      <c r="NV303" s="33"/>
      <c r="NW303" s="33"/>
      <c r="NX303" s="33"/>
      <c r="NY303" s="33"/>
      <c r="NZ303" s="33"/>
      <c r="OA303" s="33"/>
      <c r="OB303" s="33"/>
      <c r="OC303" s="33"/>
      <c r="OD303" s="33"/>
      <c r="OE303" s="33"/>
      <c r="OF303" s="33"/>
      <c r="OG303" s="33"/>
      <c r="OH303" s="33"/>
      <c r="OI303" s="33"/>
      <c r="OJ303" s="33"/>
      <c r="OK303" s="33"/>
      <c r="OL303" s="33"/>
      <c r="OM303" s="33"/>
      <c r="ON303" s="33"/>
      <c r="OO303" s="33"/>
      <c r="OP303" s="33"/>
      <c r="OQ303" s="33"/>
      <c r="OR303" s="33"/>
      <c r="OS303" s="33"/>
      <c r="OT303" s="33"/>
      <c r="OU303" s="33"/>
      <c r="OV303" s="33"/>
      <c r="OW303" s="33"/>
      <c r="OX303" s="33"/>
      <c r="OY303" s="33"/>
      <c r="OZ303" s="33"/>
      <c r="PA303" s="33"/>
      <c r="PB303" s="33"/>
      <c r="PC303" s="33"/>
      <c r="PD303" s="33"/>
      <c r="PE303" s="33"/>
      <c r="PF303" s="33"/>
      <c r="PG303" s="33"/>
      <c r="PH303" s="33"/>
      <c r="PI303" s="33"/>
      <c r="PJ303" s="33"/>
      <c r="PK303" s="33"/>
      <c r="PL303" s="33"/>
      <c r="PM303" s="33"/>
      <c r="PN303" s="33"/>
      <c r="PO303" s="33"/>
      <c r="PP303" s="33"/>
      <c r="PQ303" s="33"/>
      <c r="PR303" s="33"/>
      <c r="PS303" s="33"/>
      <c r="PT303" s="33"/>
      <c r="PU303" s="33"/>
      <c r="PV303" s="33"/>
      <c r="PW303" s="33"/>
      <c r="PX303" s="33"/>
      <c r="PY303" s="33"/>
      <c r="PZ303" s="33"/>
      <c r="QA303" s="33"/>
      <c r="QB303" s="33"/>
      <c r="QC303" s="33"/>
      <c r="QD303" s="33"/>
      <c r="QE303" s="33"/>
      <c r="QF303" s="33"/>
      <c r="QG303" s="33"/>
      <c r="QH303" s="33"/>
      <c r="QI303" s="33"/>
      <c r="QJ303" s="33"/>
      <c r="QK303" s="33"/>
      <c r="QL303" s="33"/>
      <c r="QM303" s="33"/>
      <c r="QN303" s="33"/>
      <c r="QO303" s="33"/>
      <c r="QP303" s="33"/>
      <c r="QQ303" s="33"/>
      <c r="QR303" s="33"/>
      <c r="QS303" s="33"/>
      <c r="QT303" s="33"/>
      <c r="QU303" s="33"/>
      <c r="QV303" s="33"/>
      <c r="QW303" s="33"/>
      <c r="QX303" s="33"/>
      <c r="QY303" s="33"/>
      <c r="QZ303" s="33"/>
      <c r="RA303" s="33"/>
      <c r="RB303" s="33"/>
      <c r="RC303" s="33"/>
      <c r="RD303" s="33"/>
      <c r="RE303" s="33"/>
      <c r="RF303" s="33"/>
      <c r="RG303" s="33"/>
      <c r="RH303" s="33"/>
      <c r="RI303" s="33"/>
      <c r="RJ303" s="33"/>
      <c r="RK303" s="33"/>
      <c r="RL303" s="33"/>
      <c r="RM303" s="33"/>
      <c r="RN303" s="33"/>
      <c r="RO303" s="33"/>
      <c r="RP303" s="33"/>
      <c r="RQ303" s="33"/>
      <c r="RR303" s="33"/>
      <c r="RS303" s="33"/>
      <c r="RT303" s="33"/>
      <c r="RU303" s="33"/>
      <c r="RV303" s="33"/>
      <c r="RW303" s="33"/>
      <c r="RX303" s="33"/>
      <c r="RY303" s="33"/>
      <c r="RZ303" s="33"/>
      <c r="SA303" s="33"/>
      <c r="SB303" s="33"/>
      <c r="SC303" s="33"/>
      <c r="SD303" s="33"/>
      <c r="SE303" s="33"/>
      <c r="SF303" s="33"/>
      <c r="SG303" s="33"/>
      <c r="SH303" s="33"/>
      <c r="SI303" s="33"/>
      <c r="SJ303" s="33"/>
      <c r="SK303" s="33"/>
      <c r="SL303" s="33"/>
      <c r="SM303" s="33"/>
      <c r="SN303" s="33"/>
      <c r="SO303" s="33"/>
      <c r="SP303" s="33"/>
      <c r="SQ303" s="33"/>
      <c r="SR303" s="33"/>
      <c r="SS303" s="33"/>
      <c r="ST303" s="33"/>
      <c r="SU303" s="33"/>
      <c r="SV303" s="33"/>
      <c r="SW303" s="33"/>
      <c r="SX303" s="33"/>
      <c r="SY303" s="33"/>
      <c r="SZ303" s="33"/>
      <c r="TA303" s="33"/>
      <c r="TB303" s="33"/>
      <c r="TC303" s="33"/>
      <c r="TD303" s="33"/>
      <c r="TE303" s="33"/>
      <c r="TF303" s="33"/>
      <c r="TG303" s="33"/>
    </row>
    <row r="304" spans="1:527" s="22" customFormat="1" ht="47.25" x14ac:dyDescent="0.25">
      <c r="A304" s="59" t="s">
        <v>215</v>
      </c>
      <c r="B304" s="92" t="str">
        <f>'дод 7'!A19</f>
        <v>0160</v>
      </c>
      <c r="C304" s="92" t="str">
        <f>'дод 7'!B19</f>
        <v>0111</v>
      </c>
      <c r="D304" s="36" t="s">
        <v>493</v>
      </c>
      <c r="E304" s="98">
        <f t="shared" ref="E304:E309" si="168">F304+I304</f>
        <v>19430978</v>
      </c>
      <c r="F304" s="98">
        <f>19290300+18000+22178+100500</f>
        <v>19430978</v>
      </c>
      <c r="G304" s="98">
        <f>14962200-30000</f>
        <v>14932200</v>
      </c>
      <c r="H304" s="98">
        <f>286600+22178+100500</f>
        <v>409278</v>
      </c>
      <c r="I304" s="98"/>
      <c r="J304" s="98">
        <f>L304+O304</f>
        <v>600000</v>
      </c>
      <c r="K304" s="98">
        <f>18000-18000+600000</f>
        <v>600000</v>
      </c>
      <c r="L304" s="98"/>
      <c r="M304" s="98"/>
      <c r="N304" s="98"/>
      <c r="O304" s="98">
        <f>18000-18000+600000</f>
        <v>600000</v>
      </c>
      <c r="P304" s="98">
        <f t="shared" ref="P304:P309" si="169">E304+J304</f>
        <v>20030978</v>
      </c>
      <c r="Q304" s="23"/>
      <c r="R304" s="32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  <c r="IV304" s="23"/>
      <c r="IW304" s="23"/>
      <c r="IX304" s="23"/>
      <c r="IY304" s="23"/>
      <c r="IZ304" s="23"/>
      <c r="JA304" s="23"/>
      <c r="JB304" s="23"/>
      <c r="JC304" s="23"/>
      <c r="JD304" s="23"/>
      <c r="JE304" s="23"/>
      <c r="JF304" s="23"/>
      <c r="JG304" s="23"/>
      <c r="JH304" s="23"/>
      <c r="JI304" s="23"/>
      <c r="JJ304" s="23"/>
      <c r="JK304" s="23"/>
      <c r="JL304" s="23"/>
      <c r="JM304" s="23"/>
      <c r="JN304" s="23"/>
      <c r="JO304" s="23"/>
      <c r="JP304" s="23"/>
      <c r="JQ304" s="23"/>
      <c r="JR304" s="23"/>
      <c r="JS304" s="23"/>
      <c r="JT304" s="23"/>
      <c r="JU304" s="23"/>
      <c r="JV304" s="23"/>
      <c r="JW304" s="23"/>
      <c r="JX304" s="23"/>
      <c r="JY304" s="23"/>
      <c r="JZ304" s="23"/>
      <c r="KA304" s="23"/>
      <c r="KB304" s="23"/>
      <c r="KC304" s="23"/>
      <c r="KD304" s="23"/>
      <c r="KE304" s="23"/>
      <c r="KF304" s="23"/>
      <c r="KG304" s="23"/>
      <c r="KH304" s="23"/>
      <c r="KI304" s="23"/>
      <c r="KJ304" s="23"/>
      <c r="KK304" s="23"/>
      <c r="KL304" s="23"/>
      <c r="KM304" s="23"/>
      <c r="KN304" s="23"/>
      <c r="KO304" s="23"/>
      <c r="KP304" s="23"/>
      <c r="KQ304" s="23"/>
      <c r="KR304" s="23"/>
      <c r="KS304" s="23"/>
      <c r="KT304" s="23"/>
      <c r="KU304" s="23"/>
      <c r="KV304" s="23"/>
      <c r="KW304" s="23"/>
      <c r="KX304" s="23"/>
      <c r="KY304" s="23"/>
      <c r="KZ304" s="23"/>
      <c r="LA304" s="23"/>
      <c r="LB304" s="23"/>
      <c r="LC304" s="23"/>
      <c r="LD304" s="23"/>
      <c r="LE304" s="23"/>
      <c r="LF304" s="23"/>
      <c r="LG304" s="23"/>
      <c r="LH304" s="23"/>
      <c r="LI304" s="23"/>
      <c r="LJ304" s="23"/>
      <c r="LK304" s="23"/>
      <c r="LL304" s="23"/>
      <c r="LM304" s="23"/>
      <c r="LN304" s="23"/>
      <c r="LO304" s="23"/>
      <c r="LP304" s="23"/>
      <c r="LQ304" s="23"/>
      <c r="LR304" s="23"/>
      <c r="LS304" s="23"/>
      <c r="LT304" s="23"/>
      <c r="LU304" s="23"/>
      <c r="LV304" s="23"/>
      <c r="LW304" s="23"/>
      <c r="LX304" s="23"/>
      <c r="LY304" s="23"/>
      <c r="LZ304" s="23"/>
      <c r="MA304" s="23"/>
      <c r="MB304" s="23"/>
      <c r="MC304" s="23"/>
      <c r="MD304" s="23"/>
      <c r="ME304" s="23"/>
      <c r="MF304" s="23"/>
      <c r="MG304" s="23"/>
      <c r="MH304" s="23"/>
      <c r="MI304" s="23"/>
      <c r="MJ304" s="23"/>
      <c r="MK304" s="23"/>
      <c r="ML304" s="23"/>
      <c r="MM304" s="23"/>
      <c r="MN304" s="23"/>
      <c r="MO304" s="23"/>
      <c r="MP304" s="23"/>
      <c r="MQ304" s="23"/>
      <c r="MR304" s="23"/>
      <c r="MS304" s="23"/>
      <c r="MT304" s="23"/>
      <c r="MU304" s="23"/>
      <c r="MV304" s="23"/>
      <c r="MW304" s="23"/>
      <c r="MX304" s="23"/>
      <c r="MY304" s="23"/>
      <c r="MZ304" s="23"/>
      <c r="NA304" s="23"/>
      <c r="NB304" s="23"/>
      <c r="NC304" s="23"/>
      <c r="ND304" s="23"/>
      <c r="NE304" s="23"/>
      <c r="NF304" s="23"/>
      <c r="NG304" s="23"/>
      <c r="NH304" s="23"/>
      <c r="NI304" s="23"/>
      <c r="NJ304" s="23"/>
      <c r="NK304" s="23"/>
      <c r="NL304" s="23"/>
      <c r="NM304" s="23"/>
      <c r="NN304" s="23"/>
      <c r="NO304" s="23"/>
      <c r="NP304" s="23"/>
      <c r="NQ304" s="23"/>
      <c r="NR304" s="23"/>
      <c r="NS304" s="23"/>
      <c r="NT304" s="23"/>
      <c r="NU304" s="23"/>
      <c r="NV304" s="23"/>
      <c r="NW304" s="23"/>
      <c r="NX304" s="23"/>
      <c r="NY304" s="23"/>
      <c r="NZ304" s="23"/>
      <c r="OA304" s="23"/>
      <c r="OB304" s="23"/>
      <c r="OC304" s="23"/>
      <c r="OD304" s="23"/>
      <c r="OE304" s="23"/>
      <c r="OF304" s="23"/>
      <c r="OG304" s="23"/>
      <c r="OH304" s="23"/>
      <c r="OI304" s="23"/>
      <c r="OJ304" s="23"/>
      <c r="OK304" s="23"/>
      <c r="OL304" s="23"/>
      <c r="OM304" s="23"/>
      <c r="ON304" s="23"/>
      <c r="OO304" s="23"/>
      <c r="OP304" s="23"/>
      <c r="OQ304" s="23"/>
      <c r="OR304" s="23"/>
      <c r="OS304" s="23"/>
      <c r="OT304" s="23"/>
      <c r="OU304" s="23"/>
      <c r="OV304" s="23"/>
      <c r="OW304" s="23"/>
      <c r="OX304" s="23"/>
      <c r="OY304" s="23"/>
      <c r="OZ304" s="23"/>
      <c r="PA304" s="23"/>
      <c r="PB304" s="23"/>
      <c r="PC304" s="23"/>
      <c r="PD304" s="23"/>
      <c r="PE304" s="23"/>
      <c r="PF304" s="23"/>
      <c r="PG304" s="23"/>
      <c r="PH304" s="23"/>
      <c r="PI304" s="23"/>
      <c r="PJ304" s="23"/>
      <c r="PK304" s="23"/>
      <c r="PL304" s="23"/>
      <c r="PM304" s="23"/>
      <c r="PN304" s="23"/>
      <c r="PO304" s="23"/>
      <c r="PP304" s="23"/>
      <c r="PQ304" s="23"/>
      <c r="PR304" s="23"/>
      <c r="PS304" s="23"/>
      <c r="PT304" s="23"/>
      <c r="PU304" s="23"/>
      <c r="PV304" s="23"/>
      <c r="PW304" s="23"/>
      <c r="PX304" s="23"/>
      <c r="PY304" s="23"/>
      <c r="PZ304" s="23"/>
      <c r="QA304" s="23"/>
      <c r="QB304" s="23"/>
      <c r="QC304" s="23"/>
      <c r="QD304" s="23"/>
      <c r="QE304" s="23"/>
      <c r="QF304" s="23"/>
      <c r="QG304" s="23"/>
      <c r="QH304" s="23"/>
      <c r="QI304" s="23"/>
      <c r="QJ304" s="23"/>
      <c r="QK304" s="23"/>
      <c r="QL304" s="23"/>
      <c r="QM304" s="23"/>
      <c r="QN304" s="23"/>
      <c r="QO304" s="23"/>
      <c r="QP304" s="23"/>
      <c r="QQ304" s="23"/>
      <c r="QR304" s="23"/>
      <c r="QS304" s="23"/>
      <c r="QT304" s="23"/>
      <c r="QU304" s="23"/>
      <c r="QV304" s="23"/>
      <c r="QW304" s="23"/>
      <c r="QX304" s="23"/>
      <c r="QY304" s="23"/>
      <c r="QZ304" s="23"/>
      <c r="RA304" s="23"/>
      <c r="RB304" s="23"/>
      <c r="RC304" s="23"/>
      <c r="RD304" s="23"/>
      <c r="RE304" s="23"/>
      <c r="RF304" s="23"/>
      <c r="RG304" s="23"/>
      <c r="RH304" s="23"/>
      <c r="RI304" s="23"/>
      <c r="RJ304" s="23"/>
      <c r="RK304" s="23"/>
      <c r="RL304" s="23"/>
      <c r="RM304" s="23"/>
      <c r="RN304" s="23"/>
      <c r="RO304" s="23"/>
      <c r="RP304" s="23"/>
      <c r="RQ304" s="23"/>
      <c r="RR304" s="23"/>
      <c r="RS304" s="23"/>
      <c r="RT304" s="23"/>
      <c r="RU304" s="23"/>
      <c r="RV304" s="23"/>
      <c r="RW304" s="23"/>
      <c r="RX304" s="23"/>
      <c r="RY304" s="23"/>
      <c r="RZ304" s="23"/>
      <c r="SA304" s="23"/>
      <c r="SB304" s="23"/>
      <c r="SC304" s="23"/>
      <c r="SD304" s="23"/>
      <c r="SE304" s="23"/>
      <c r="SF304" s="23"/>
      <c r="SG304" s="23"/>
      <c r="SH304" s="23"/>
      <c r="SI304" s="23"/>
      <c r="SJ304" s="23"/>
      <c r="SK304" s="23"/>
      <c r="SL304" s="23"/>
      <c r="SM304" s="23"/>
      <c r="SN304" s="23"/>
      <c r="SO304" s="23"/>
      <c r="SP304" s="23"/>
      <c r="SQ304" s="23"/>
      <c r="SR304" s="23"/>
      <c r="SS304" s="23"/>
      <c r="ST304" s="23"/>
      <c r="SU304" s="23"/>
      <c r="SV304" s="23"/>
      <c r="SW304" s="23"/>
      <c r="SX304" s="23"/>
      <c r="SY304" s="23"/>
      <c r="SZ304" s="23"/>
      <c r="TA304" s="23"/>
      <c r="TB304" s="23"/>
      <c r="TC304" s="23"/>
      <c r="TD304" s="23"/>
      <c r="TE304" s="23"/>
      <c r="TF304" s="23"/>
      <c r="TG304" s="23"/>
    </row>
    <row r="305" spans="1:527" s="25" customFormat="1" ht="25.5" customHeight="1" x14ac:dyDescent="0.25">
      <c r="A305" s="59" t="s">
        <v>216</v>
      </c>
      <c r="B305" s="92" t="str">
        <f>'дод 7'!A174</f>
        <v>7130</v>
      </c>
      <c r="C305" s="92" t="str">
        <f>'дод 7'!B174</f>
        <v>0421</v>
      </c>
      <c r="D305" s="60" t="str">
        <f>'дод 7'!C174</f>
        <v>Здійснення заходів із землеустрою</v>
      </c>
      <c r="E305" s="98">
        <f t="shared" si="168"/>
        <v>450000</v>
      </c>
      <c r="F305" s="98">
        <f>150000+300000</f>
        <v>450000</v>
      </c>
      <c r="G305" s="98"/>
      <c r="H305" s="98"/>
      <c r="I305" s="98"/>
      <c r="J305" s="98">
        <f t="shared" ref="J305:J309" si="170">L305+O305</f>
        <v>0</v>
      </c>
      <c r="K305" s="98"/>
      <c r="L305" s="98"/>
      <c r="M305" s="98"/>
      <c r="N305" s="98"/>
      <c r="O305" s="98"/>
      <c r="P305" s="98">
        <f t="shared" si="169"/>
        <v>450000</v>
      </c>
      <c r="Q305" s="31"/>
      <c r="R305" s="32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  <c r="IP305" s="31"/>
      <c r="IQ305" s="31"/>
      <c r="IR305" s="31"/>
      <c r="IS305" s="31"/>
      <c r="IT305" s="31"/>
      <c r="IU305" s="31"/>
      <c r="IV305" s="31"/>
      <c r="IW305" s="31"/>
      <c r="IX305" s="31"/>
      <c r="IY305" s="31"/>
      <c r="IZ305" s="31"/>
      <c r="JA305" s="31"/>
      <c r="JB305" s="31"/>
      <c r="JC305" s="31"/>
      <c r="JD305" s="31"/>
      <c r="JE305" s="31"/>
      <c r="JF305" s="31"/>
      <c r="JG305" s="31"/>
      <c r="JH305" s="31"/>
      <c r="JI305" s="31"/>
      <c r="JJ305" s="31"/>
      <c r="JK305" s="31"/>
      <c r="JL305" s="31"/>
      <c r="JM305" s="31"/>
      <c r="JN305" s="31"/>
      <c r="JO305" s="31"/>
      <c r="JP305" s="31"/>
      <c r="JQ305" s="31"/>
      <c r="JR305" s="31"/>
      <c r="JS305" s="31"/>
      <c r="JT305" s="31"/>
      <c r="JU305" s="31"/>
      <c r="JV305" s="31"/>
      <c r="JW305" s="31"/>
      <c r="JX305" s="31"/>
      <c r="JY305" s="31"/>
      <c r="JZ305" s="31"/>
      <c r="KA305" s="31"/>
      <c r="KB305" s="31"/>
      <c r="KC305" s="31"/>
      <c r="KD305" s="31"/>
      <c r="KE305" s="31"/>
      <c r="KF305" s="31"/>
      <c r="KG305" s="31"/>
      <c r="KH305" s="31"/>
      <c r="KI305" s="31"/>
      <c r="KJ305" s="31"/>
      <c r="KK305" s="31"/>
      <c r="KL305" s="31"/>
      <c r="KM305" s="31"/>
      <c r="KN305" s="31"/>
      <c r="KO305" s="31"/>
      <c r="KP305" s="31"/>
      <c r="KQ305" s="31"/>
      <c r="KR305" s="31"/>
      <c r="KS305" s="31"/>
      <c r="KT305" s="31"/>
      <c r="KU305" s="31"/>
      <c r="KV305" s="31"/>
      <c r="KW305" s="31"/>
      <c r="KX305" s="31"/>
      <c r="KY305" s="31"/>
      <c r="KZ305" s="31"/>
      <c r="LA305" s="31"/>
      <c r="LB305" s="31"/>
      <c r="LC305" s="31"/>
      <c r="LD305" s="31"/>
      <c r="LE305" s="31"/>
      <c r="LF305" s="31"/>
      <c r="LG305" s="31"/>
      <c r="LH305" s="31"/>
      <c r="LI305" s="31"/>
      <c r="LJ305" s="31"/>
      <c r="LK305" s="31"/>
      <c r="LL305" s="31"/>
      <c r="LM305" s="31"/>
      <c r="LN305" s="31"/>
      <c r="LO305" s="31"/>
      <c r="LP305" s="31"/>
      <c r="LQ305" s="31"/>
      <c r="LR305" s="31"/>
      <c r="LS305" s="31"/>
      <c r="LT305" s="31"/>
      <c r="LU305" s="31"/>
      <c r="LV305" s="31"/>
      <c r="LW305" s="31"/>
      <c r="LX305" s="31"/>
      <c r="LY305" s="31"/>
      <c r="LZ305" s="31"/>
      <c r="MA305" s="31"/>
      <c r="MB305" s="31"/>
      <c r="MC305" s="31"/>
      <c r="MD305" s="31"/>
      <c r="ME305" s="31"/>
      <c r="MF305" s="31"/>
      <c r="MG305" s="31"/>
      <c r="MH305" s="31"/>
      <c r="MI305" s="31"/>
      <c r="MJ305" s="31"/>
      <c r="MK305" s="31"/>
      <c r="ML305" s="31"/>
      <c r="MM305" s="31"/>
      <c r="MN305" s="31"/>
      <c r="MO305" s="31"/>
      <c r="MP305" s="31"/>
      <c r="MQ305" s="31"/>
      <c r="MR305" s="31"/>
      <c r="MS305" s="31"/>
      <c r="MT305" s="31"/>
      <c r="MU305" s="31"/>
      <c r="MV305" s="31"/>
      <c r="MW305" s="31"/>
      <c r="MX305" s="31"/>
      <c r="MY305" s="31"/>
      <c r="MZ305" s="31"/>
      <c r="NA305" s="31"/>
      <c r="NB305" s="31"/>
      <c r="NC305" s="31"/>
      <c r="ND305" s="31"/>
      <c r="NE305" s="31"/>
      <c r="NF305" s="31"/>
      <c r="NG305" s="31"/>
      <c r="NH305" s="31"/>
      <c r="NI305" s="31"/>
      <c r="NJ305" s="31"/>
      <c r="NK305" s="31"/>
      <c r="NL305" s="31"/>
      <c r="NM305" s="31"/>
      <c r="NN305" s="31"/>
      <c r="NO305" s="31"/>
      <c r="NP305" s="31"/>
      <c r="NQ305" s="31"/>
      <c r="NR305" s="31"/>
      <c r="NS305" s="31"/>
      <c r="NT305" s="31"/>
      <c r="NU305" s="31"/>
      <c r="NV305" s="31"/>
      <c r="NW305" s="31"/>
      <c r="NX305" s="31"/>
      <c r="NY305" s="31"/>
      <c r="NZ305" s="31"/>
      <c r="OA305" s="31"/>
      <c r="OB305" s="31"/>
      <c r="OC305" s="31"/>
      <c r="OD305" s="31"/>
      <c r="OE305" s="31"/>
      <c r="OF305" s="31"/>
      <c r="OG305" s="31"/>
      <c r="OH305" s="31"/>
      <c r="OI305" s="31"/>
      <c r="OJ305" s="31"/>
      <c r="OK305" s="31"/>
      <c r="OL305" s="31"/>
      <c r="OM305" s="31"/>
      <c r="ON305" s="31"/>
      <c r="OO305" s="31"/>
      <c r="OP305" s="31"/>
      <c r="OQ305" s="31"/>
      <c r="OR305" s="31"/>
      <c r="OS305" s="31"/>
      <c r="OT305" s="31"/>
      <c r="OU305" s="31"/>
      <c r="OV305" s="31"/>
      <c r="OW305" s="31"/>
      <c r="OX305" s="31"/>
      <c r="OY305" s="31"/>
      <c r="OZ305" s="31"/>
      <c r="PA305" s="31"/>
      <c r="PB305" s="31"/>
      <c r="PC305" s="31"/>
      <c r="PD305" s="31"/>
      <c r="PE305" s="31"/>
      <c r="PF305" s="31"/>
      <c r="PG305" s="31"/>
      <c r="PH305" s="31"/>
      <c r="PI305" s="31"/>
      <c r="PJ305" s="31"/>
      <c r="PK305" s="31"/>
      <c r="PL305" s="31"/>
      <c r="PM305" s="31"/>
      <c r="PN305" s="31"/>
      <c r="PO305" s="31"/>
      <c r="PP305" s="31"/>
      <c r="PQ305" s="31"/>
      <c r="PR305" s="31"/>
      <c r="PS305" s="31"/>
      <c r="PT305" s="31"/>
      <c r="PU305" s="31"/>
      <c r="PV305" s="31"/>
      <c r="PW305" s="31"/>
      <c r="PX305" s="31"/>
      <c r="PY305" s="31"/>
      <c r="PZ305" s="31"/>
      <c r="QA305" s="31"/>
      <c r="QB305" s="31"/>
      <c r="QC305" s="31"/>
      <c r="QD305" s="31"/>
      <c r="QE305" s="31"/>
      <c r="QF305" s="31"/>
      <c r="QG305" s="31"/>
      <c r="QH305" s="31"/>
      <c r="QI305" s="31"/>
      <c r="QJ305" s="31"/>
      <c r="QK305" s="31"/>
      <c r="QL305" s="31"/>
      <c r="QM305" s="31"/>
      <c r="QN305" s="31"/>
      <c r="QO305" s="31"/>
      <c r="QP305" s="31"/>
      <c r="QQ305" s="31"/>
      <c r="QR305" s="31"/>
      <c r="QS305" s="31"/>
      <c r="QT305" s="31"/>
      <c r="QU305" s="31"/>
      <c r="QV305" s="31"/>
      <c r="QW305" s="31"/>
      <c r="QX305" s="31"/>
      <c r="QY305" s="31"/>
      <c r="QZ305" s="31"/>
      <c r="RA305" s="31"/>
      <c r="RB305" s="31"/>
      <c r="RC305" s="31"/>
      <c r="RD305" s="31"/>
      <c r="RE305" s="31"/>
      <c r="RF305" s="31"/>
      <c r="RG305" s="31"/>
      <c r="RH305" s="31"/>
      <c r="RI305" s="31"/>
      <c r="RJ305" s="31"/>
      <c r="RK305" s="31"/>
      <c r="RL305" s="31"/>
      <c r="RM305" s="31"/>
      <c r="RN305" s="31"/>
      <c r="RO305" s="31"/>
      <c r="RP305" s="31"/>
      <c r="RQ305" s="31"/>
      <c r="RR305" s="31"/>
      <c r="RS305" s="31"/>
      <c r="RT305" s="31"/>
      <c r="RU305" s="31"/>
      <c r="RV305" s="31"/>
      <c r="RW305" s="31"/>
      <c r="RX305" s="31"/>
      <c r="RY305" s="31"/>
      <c r="RZ305" s="31"/>
      <c r="SA305" s="31"/>
      <c r="SB305" s="31"/>
      <c r="SC305" s="31"/>
      <c r="SD305" s="31"/>
      <c r="SE305" s="31"/>
      <c r="SF305" s="31"/>
      <c r="SG305" s="31"/>
      <c r="SH305" s="31"/>
      <c r="SI305" s="31"/>
      <c r="SJ305" s="31"/>
      <c r="SK305" s="31"/>
      <c r="SL305" s="31"/>
      <c r="SM305" s="31"/>
      <c r="SN305" s="31"/>
      <c r="SO305" s="31"/>
      <c r="SP305" s="31"/>
      <c r="SQ305" s="31"/>
      <c r="SR305" s="31"/>
      <c r="SS305" s="31"/>
      <c r="ST305" s="31"/>
      <c r="SU305" s="31"/>
      <c r="SV305" s="31"/>
      <c r="SW305" s="31"/>
      <c r="SX305" s="31"/>
      <c r="SY305" s="31"/>
      <c r="SZ305" s="31"/>
      <c r="TA305" s="31"/>
      <c r="TB305" s="31"/>
      <c r="TC305" s="31"/>
      <c r="TD305" s="31"/>
      <c r="TE305" s="31"/>
      <c r="TF305" s="31"/>
      <c r="TG305" s="31"/>
    </row>
    <row r="306" spans="1:527" s="22" customFormat="1" ht="29.25" customHeight="1" x14ac:dyDescent="0.25">
      <c r="A306" s="102" t="s">
        <v>217</v>
      </c>
      <c r="B306" s="42" t="str">
        <f>'дод 7'!A217</f>
        <v>7610</v>
      </c>
      <c r="C306" s="42" t="str">
        <f>'дод 7'!B217</f>
        <v>0411</v>
      </c>
      <c r="D306" s="36" t="str">
        <f>'дод 7'!C217</f>
        <v>Сприяння розвитку малого та середнього підприємництва</v>
      </c>
      <c r="E306" s="98">
        <f t="shared" si="168"/>
        <v>312000</v>
      </c>
      <c r="F306" s="98">
        <f>415000-103000</f>
        <v>312000</v>
      </c>
      <c r="G306" s="98"/>
      <c r="H306" s="98"/>
      <c r="I306" s="98">
        <f>500000-500000</f>
        <v>0</v>
      </c>
      <c r="J306" s="98">
        <f t="shared" si="170"/>
        <v>0</v>
      </c>
      <c r="K306" s="98"/>
      <c r="L306" s="98"/>
      <c r="M306" s="98"/>
      <c r="N306" s="98"/>
      <c r="O306" s="98"/>
      <c r="P306" s="98">
        <f t="shared" si="169"/>
        <v>312000</v>
      </c>
      <c r="Q306" s="23"/>
      <c r="R306" s="32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  <c r="IW306" s="23"/>
      <c r="IX306" s="23"/>
      <c r="IY306" s="23"/>
      <c r="IZ306" s="23"/>
      <c r="JA306" s="23"/>
      <c r="JB306" s="23"/>
      <c r="JC306" s="23"/>
      <c r="JD306" s="23"/>
      <c r="JE306" s="23"/>
      <c r="JF306" s="23"/>
      <c r="JG306" s="23"/>
      <c r="JH306" s="23"/>
      <c r="JI306" s="23"/>
      <c r="JJ306" s="23"/>
      <c r="JK306" s="23"/>
      <c r="JL306" s="23"/>
      <c r="JM306" s="23"/>
      <c r="JN306" s="23"/>
      <c r="JO306" s="23"/>
      <c r="JP306" s="23"/>
      <c r="JQ306" s="23"/>
      <c r="JR306" s="23"/>
      <c r="JS306" s="23"/>
      <c r="JT306" s="23"/>
      <c r="JU306" s="23"/>
      <c r="JV306" s="23"/>
      <c r="JW306" s="23"/>
      <c r="JX306" s="23"/>
      <c r="JY306" s="23"/>
      <c r="JZ306" s="23"/>
      <c r="KA306" s="23"/>
      <c r="KB306" s="23"/>
      <c r="KC306" s="23"/>
      <c r="KD306" s="23"/>
      <c r="KE306" s="23"/>
      <c r="KF306" s="23"/>
      <c r="KG306" s="23"/>
      <c r="KH306" s="23"/>
      <c r="KI306" s="23"/>
      <c r="KJ306" s="23"/>
      <c r="KK306" s="23"/>
      <c r="KL306" s="23"/>
      <c r="KM306" s="23"/>
      <c r="KN306" s="23"/>
      <c r="KO306" s="23"/>
      <c r="KP306" s="23"/>
      <c r="KQ306" s="23"/>
      <c r="KR306" s="23"/>
      <c r="KS306" s="23"/>
      <c r="KT306" s="23"/>
      <c r="KU306" s="23"/>
      <c r="KV306" s="23"/>
      <c r="KW306" s="23"/>
      <c r="KX306" s="23"/>
      <c r="KY306" s="23"/>
      <c r="KZ306" s="23"/>
      <c r="LA306" s="23"/>
      <c r="LB306" s="23"/>
      <c r="LC306" s="23"/>
      <c r="LD306" s="23"/>
      <c r="LE306" s="23"/>
      <c r="LF306" s="23"/>
      <c r="LG306" s="23"/>
      <c r="LH306" s="23"/>
      <c r="LI306" s="23"/>
      <c r="LJ306" s="23"/>
      <c r="LK306" s="23"/>
      <c r="LL306" s="23"/>
      <c r="LM306" s="23"/>
      <c r="LN306" s="23"/>
      <c r="LO306" s="23"/>
      <c r="LP306" s="23"/>
      <c r="LQ306" s="23"/>
      <c r="LR306" s="23"/>
      <c r="LS306" s="23"/>
      <c r="LT306" s="23"/>
      <c r="LU306" s="23"/>
      <c r="LV306" s="23"/>
      <c r="LW306" s="23"/>
      <c r="LX306" s="23"/>
      <c r="LY306" s="23"/>
      <c r="LZ306" s="23"/>
      <c r="MA306" s="23"/>
      <c r="MB306" s="23"/>
      <c r="MC306" s="23"/>
      <c r="MD306" s="23"/>
      <c r="ME306" s="23"/>
      <c r="MF306" s="23"/>
      <c r="MG306" s="23"/>
      <c r="MH306" s="23"/>
      <c r="MI306" s="23"/>
      <c r="MJ306" s="23"/>
      <c r="MK306" s="23"/>
      <c r="ML306" s="23"/>
      <c r="MM306" s="23"/>
      <c r="MN306" s="23"/>
      <c r="MO306" s="23"/>
      <c r="MP306" s="23"/>
      <c r="MQ306" s="23"/>
      <c r="MR306" s="23"/>
      <c r="MS306" s="23"/>
      <c r="MT306" s="23"/>
      <c r="MU306" s="23"/>
      <c r="MV306" s="23"/>
      <c r="MW306" s="23"/>
      <c r="MX306" s="23"/>
      <c r="MY306" s="23"/>
      <c r="MZ306" s="23"/>
      <c r="NA306" s="23"/>
      <c r="NB306" s="23"/>
      <c r="NC306" s="23"/>
      <c r="ND306" s="23"/>
      <c r="NE306" s="23"/>
      <c r="NF306" s="23"/>
      <c r="NG306" s="23"/>
      <c r="NH306" s="23"/>
      <c r="NI306" s="23"/>
      <c r="NJ306" s="23"/>
      <c r="NK306" s="23"/>
      <c r="NL306" s="23"/>
      <c r="NM306" s="23"/>
      <c r="NN306" s="23"/>
      <c r="NO306" s="23"/>
      <c r="NP306" s="23"/>
      <c r="NQ306" s="23"/>
      <c r="NR306" s="23"/>
      <c r="NS306" s="23"/>
      <c r="NT306" s="23"/>
      <c r="NU306" s="23"/>
      <c r="NV306" s="23"/>
      <c r="NW306" s="23"/>
      <c r="NX306" s="23"/>
      <c r="NY306" s="23"/>
      <c r="NZ306" s="23"/>
      <c r="OA306" s="23"/>
      <c r="OB306" s="23"/>
      <c r="OC306" s="23"/>
      <c r="OD306" s="23"/>
      <c r="OE306" s="23"/>
      <c r="OF306" s="23"/>
      <c r="OG306" s="23"/>
      <c r="OH306" s="23"/>
      <c r="OI306" s="23"/>
      <c r="OJ306" s="23"/>
      <c r="OK306" s="23"/>
      <c r="OL306" s="23"/>
      <c r="OM306" s="23"/>
      <c r="ON306" s="23"/>
      <c r="OO306" s="23"/>
      <c r="OP306" s="23"/>
      <c r="OQ306" s="23"/>
      <c r="OR306" s="23"/>
      <c r="OS306" s="23"/>
      <c r="OT306" s="23"/>
      <c r="OU306" s="23"/>
      <c r="OV306" s="23"/>
      <c r="OW306" s="23"/>
      <c r="OX306" s="23"/>
      <c r="OY306" s="23"/>
      <c r="OZ306" s="23"/>
      <c r="PA306" s="23"/>
      <c r="PB306" s="23"/>
      <c r="PC306" s="23"/>
      <c r="PD306" s="23"/>
      <c r="PE306" s="23"/>
      <c r="PF306" s="23"/>
      <c r="PG306" s="23"/>
      <c r="PH306" s="23"/>
      <c r="PI306" s="23"/>
      <c r="PJ306" s="23"/>
      <c r="PK306" s="23"/>
      <c r="PL306" s="23"/>
      <c r="PM306" s="23"/>
      <c r="PN306" s="23"/>
      <c r="PO306" s="23"/>
      <c r="PP306" s="23"/>
      <c r="PQ306" s="23"/>
      <c r="PR306" s="23"/>
      <c r="PS306" s="23"/>
      <c r="PT306" s="23"/>
      <c r="PU306" s="23"/>
      <c r="PV306" s="23"/>
      <c r="PW306" s="23"/>
      <c r="PX306" s="23"/>
      <c r="PY306" s="23"/>
      <c r="PZ306" s="23"/>
      <c r="QA306" s="23"/>
      <c r="QB306" s="23"/>
      <c r="QC306" s="23"/>
      <c r="QD306" s="23"/>
      <c r="QE306" s="23"/>
      <c r="QF306" s="23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  <c r="TF306" s="23"/>
      <c r="TG306" s="23"/>
    </row>
    <row r="307" spans="1:527" s="22" customFormat="1" ht="32.25" customHeight="1" x14ac:dyDescent="0.25">
      <c r="A307" s="102" t="s">
        <v>266</v>
      </c>
      <c r="B307" s="42" t="str">
        <f>'дод 7'!A220</f>
        <v>7650</v>
      </c>
      <c r="C307" s="42" t="str">
        <f>'дод 7'!B220</f>
        <v>0490</v>
      </c>
      <c r="D307" s="36" t="str">
        <f>'дод 7'!C220</f>
        <v>Проведення експертної грошової оцінки земельної ділянки чи права на неї</v>
      </c>
      <c r="E307" s="98">
        <f t="shared" si="168"/>
        <v>0</v>
      </c>
      <c r="F307" s="98"/>
      <c r="G307" s="98"/>
      <c r="H307" s="98"/>
      <c r="I307" s="98"/>
      <c r="J307" s="98">
        <f t="shared" si="170"/>
        <v>20000</v>
      </c>
      <c r="K307" s="98">
        <v>20000</v>
      </c>
      <c r="L307" s="98"/>
      <c r="M307" s="98"/>
      <c r="N307" s="98"/>
      <c r="O307" s="98">
        <v>20000</v>
      </c>
      <c r="P307" s="98">
        <f t="shared" si="169"/>
        <v>20000</v>
      </c>
      <c r="Q307" s="23"/>
      <c r="R307" s="32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  <c r="IT307" s="23"/>
      <c r="IU307" s="23"/>
      <c r="IV307" s="23"/>
      <c r="IW307" s="23"/>
      <c r="IX307" s="23"/>
      <c r="IY307" s="23"/>
      <c r="IZ307" s="23"/>
      <c r="JA307" s="23"/>
      <c r="JB307" s="23"/>
      <c r="JC307" s="23"/>
      <c r="JD307" s="23"/>
      <c r="JE307" s="23"/>
      <c r="JF307" s="23"/>
      <c r="JG307" s="23"/>
      <c r="JH307" s="23"/>
      <c r="JI307" s="23"/>
      <c r="JJ307" s="23"/>
      <c r="JK307" s="23"/>
      <c r="JL307" s="23"/>
      <c r="JM307" s="23"/>
      <c r="JN307" s="23"/>
      <c r="JO307" s="23"/>
      <c r="JP307" s="23"/>
      <c r="JQ307" s="23"/>
      <c r="JR307" s="23"/>
      <c r="JS307" s="23"/>
      <c r="JT307" s="23"/>
      <c r="JU307" s="23"/>
      <c r="JV307" s="23"/>
      <c r="JW307" s="23"/>
      <c r="JX307" s="23"/>
      <c r="JY307" s="23"/>
      <c r="JZ307" s="23"/>
      <c r="KA307" s="23"/>
      <c r="KB307" s="23"/>
      <c r="KC307" s="23"/>
      <c r="KD307" s="23"/>
      <c r="KE307" s="23"/>
      <c r="KF307" s="23"/>
      <c r="KG307" s="23"/>
      <c r="KH307" s="23"/>
      <c r="KI307" s="23"/>
      <c r="KJ307" s="23"/>
      <c r="KK307" s="23"/>
      <c r="KL307" s="23"/>
      <c r="KM307" s="23"/>
      <c r="KN307" s="23"/>
      <c r="KO307" s="23"/>
      <c r="KP307" s="23"/>
      <c r="KQ307" s="23"/>
      <c r="KR307" s="23"/>
      <c r="KS307" s="23"/>
      <c r="KT307" s="23"/>
      <c r="KU307" s="23"/>
      <c r="KV307" s="23"/>
      <c r="KW307" s="23"/>
      <c r="KX307" s="23"/>
      <c r="KY307" s="23"/>
      <c r="KZ307" s="23"/>
      <c r="LA307" s="23"/>
      <c r="LB307" s="23"/>
      <c r="LC307" s="23"/>
      <c r="LD307" s="23"/>
      <c r="LE307" s="23"/>
      <c r="LF307" s="23"/>
      <c r="LG307" s="23"/>
      <c r="LH307" s="23"/>
      <c r="LI307" s="23"/>
      <c r="LJ307" s="23"/>
      <c r="LK307" s="23"/>
      <c r="LL307" s="23"/>
      <c r="LM307" s="23"/>
      <c r="LN307" s="23"/>
      <c r="LO307" s="23"/>
      <c r="LP307" s="23"/>
      <c r="LQ307" s="23"/>
      <c r="LR307" s="23"/>
      <c r="LS307" s="23"/>
      <c r="LT307" s="23"/>
      <c r="LU307" s="23"/>
      <c r="LV307" s="23"/>
      <c r="LW307" s="23"/>
      <c r="LX307" s="23"/>
      <c r="LY307" s="23"/>
      <c r="LZ307" s="23"/>
      <c r="MA307" s="23"/>
      <c r="MB307" s="23"/>
      <c r="MC307" s="23"/>
      <c r="MD307" s="23"/>
      <c r="ME307" s="23"/>
      <c r="MF307" s="23"/>
      <c r="MG307" s="23"/>
      <c r="MH307" s="23"/>
      <c r="MI307" s="23"/>
      <c r="MJ307" s="23"/>
      <c r="MK307" s="23"/>
      <c r="ML307" s="23"/>
      <c r="MM307" s="23"/>
      <c r="MN307" s="23"/>
      <c r="MO307" s="23"/>
      <c r="MP307" s="23"/>
      <c r="MQ307" s="23"/>
      <c r="MR307" s="23"/>
      <c r="MS307" s="23"/>
      <c r="MT307" s="23"/>
      <c r="MU307" s="23"/>
      <c r="MV307" s="23"/>
      <c r="MW307" s="23"/>
      <c r="MX307" s="23"/>
      <c r="MY307" s="23"/>
      <c r="MZ307" s="23"/>
      <c r="NA307" s="23"/>
      <c r="NB307" s="23"/>
      <c r="NC307" s="23"/>
      <c r="ND307" s="23"/>
      <c r="NE307" s="23"/>
      <c r="NF307" s="23"/>
      <c r="NG307" s="23"/>
      <c r="NH307" s="23"/>
      <c r="NI307" s="23"/>
      <c r="NJ307" s="23"/>
      <c r="NK307" s="23"/>
      <c r="NL307" s="23"/>
      <c r="NM307" s="23"/>
      <c r="NN307" s="23"/>
      <c r="NO307" s="23"/>
      <c r="NP307" s="23"/>
      <c r="NQ307" s="23"/>
      <c r="NR307" s="23"/>
      <c r="NS307" s="23"/>
      <c r="NT307" s="23"/>
      <c r="NU307" s="23"/>
      <c r="NV307" s="23"/>
      <c r="NW307" s="23"/>
      <c r="NX307" s="23"/>
      <c r="NY307" s="23"/>
      <c r="NZ307" s="23"/>
      <c r="OA307" s="23"/>
      <c r="OB307" s="23"/>
      <c r="OC307" s="23"/>
      <c r="OD307" s="23"/>
      <c r="OE307" s="23"/>
      <c r="OF307" s="23"/>
      <c r="OG307" s="23"/>
      <c r="OH307" s="23"/>
      <c r="OI307" s="23"/>
      <c r="OJ307" s="23"/>
      <c r="OK307" s="23"/>
      <c r="OL307" s="23"/>
      <c r="OM307" s="23"/>
      <c r="ON307" s="23"/>
      <c r="OO307" s="23"/>
      <c r="OP307" s="23"/>
      <c r="OQ307" s="23"/>
      <c r="OR307" s="23"/>
      <c r="OS307" s="23"/>
      <c r="OT307" s="23"/>
      <c r="OU307" s="23"/>
      <c r="OV307" s="23"/>
      <c r="OW307" s="23"/>
      <c r="OX307" s="23"/>
      <c r="OY307" s="23"/>
      <c r="OZ307" s="23"/>
      <c r="PA307" s="23"/>
      <c r="PB307" s="23"/>
      <c r="PC307" s="23"/>
      <c r="PD307" s="23"/>
      <c r="PE307" s="23"/>
      <c r="PF307" s="23"/>
      <c r="PG307" s="23"/>
      <c r="PH307" s="23"/>
      <c r="PI307" s="23"/>
      <c r="PJ307" s="23"/>
      <c r="PK307" s="23"/>
      <c r="PL307" s="23"/>
      <c r="PM307" s="23"/>
      <c r="PN307" s="23"/>
      <c r="PO307" s="23"/>
      <c r="PP307" s="23"/>
      <c r="PQ307" s="23"/>
      <c r="PR307" s="23"/>
      <c r="PS307" s="23"/>
      <c r="PT307" s="23"/>
      <c r="PU307" s="23"/>
      <c r="PV307" s="23"/>
      <c r="PW307" s="23"/>
      <c r="PX307" s="23"/>
      <c r="PY307" s="23"/>
      <c r="PZ307" s="23"/>
      <c r="QA307" s="23"/>
      <c r="QB307" s="23"/>
      <c r="QC307" s="23"/>
      <c r="QD307" s="23"/>
      <c r="QE307" s="23"/>
      <c r="QF307" s="23"/>
      <c r="QG307" s="23"/>
      <c r="QH307" s="23"/>
      <c r="QI307" s="23"/>
      <c r="QJ307" s="23"/>
      <c r="QK307" s="23"/>
      <c r="QL307" s="23"/>
      <c r="QM307" s="23"/>
      <c r="QN307" s="23"/>
      <c r="QO307" s="23"/>
      <c r="QP307" s="23"/>
      <c r="QQ307" s="23"/>
      <c r="QR307" s="23"/>
      <c r="QS307" s="23"/>
      <c r="QT307" s="23"/>
      <c r="QU307" s="23"/>
      <c r="QV307" s="23"/>
      <c r="QW307" s="23"/>
      <c r="QX307" s="23"/>
      <c r="QY307" s="23"/>
      <c r="QZ307" s="23"/>
      <c r="RA307" s="23"/>
      <c r="RB307" s="23"/>
      <c r="RC307" s="23"/>
      <c r="RD307" s="23"/>
      <c r="RE307" s="23"/>
      <c r="RF307" s="23"/>
      <c r="RG307" s="23"/>
      <c r="RH307" s="23"/>
      <c r="RI307" s="23"/>
      <c r="RJ307" s="23"/>
      <c r="RK307" s="23"/>
      <c r="RL307" s="23"/>
      <c r="RM307" s="23"/>
      <c r="RN307" s="23"/>
      <c r="RO307" s="23"/>
      <c r="RP307" s="23"/>
      <c r="RQ307" s="23"/>
      <c r="RR307" s="23"/>
      <c r="RS307" s="23"/>
      <c r="RT307" s="23"/>
      <c r="RU307" s="23"/>
      <c r="RV307" s="23"/>
      <c r="RW307" s="23"/>
      <c r="RX307" s="23"/>
      <c r="RY307" s="23"/>
      <c r="RZ307" s="23"/>
      <c r="SA307" s="23"/>
      <c r="SB307" s="23"/>
      <c r="SC307" s="23"/>
      <c r="SD307" s="23"/>
      <c r="SE307" s="23"/>
      <c r="SF307" s="23"/>
      <c r="SG307" s="23"/>
      <c r="SH307" s="23"/>
      <c r="SI307" s="23"/>
      <c r="SJ307" s="23"/>
      <c r="SK307" s="23"/>
      <c r="SL307" s="23"/>
      <c r="SM307" s="23"/>
      <c r="SN307" s="23"/>
      <c r="SO307" s="23"/>
      <c r="SP307" s="23"/>
      <c r="SQ307" s="23"/>
      <c r="SR307" s="23"/>
      <c r="SS307" s="23"/>
      <c r="ST307" s="23"/>
      <c r="SU307" s="23"/>
      <c r="SV307" s="23"/>
      <c r="SW307" s="23"/>
      <c r="SX307" s="23"/>
      <c r="SY307" s="23"/>
      <c r="SZ307" s="23"/>
      <c r="TA307" s="23"/>
      <c r="TB307" s="23"/>
      <c r="TC307" s="23"/>
      <c r="TD307" s="23"/>
      <c r="TE307" s="23"/>
      <c r="TF307" s="23"/>
      <c r="TG307" s="23"/>
    </row>
    <row r="308" spans="1:527" s="22" customFormat="1" ht="67.5" customHeight="1" x14ac:dyDescent="0.25">
      <c r="A308" s="102" t="s">
        <v>268</v>
      </c>
      <c r="B308" s="42" t="str">
        <f>'дод 7'!A221</f>
        <v>7660</v>
      </c>
      <c r="C308" s="42" t="str">
        <f>'дод 7'!B221</f>
        <v>0490</v>
      </c>
      <c r="D308" s="36" t="str">
        <f>'дод 7'!C221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08" s="98">
        <f t="shared" si="168"/>
        <v>0</v>
      </c>
      <c r="F308" s="98"/>
      <c r="G308" s="98"/>
      <c r="H308" s="98"/>
      <c r="I308" s="98"/>
      <c r="J308" s="98">
        <f t="shared" si="170"/>
        <v>45000</v>
      </c>
      <c r="K308" s="98">
        <v>45000</v>
      </c>
      <c r="L308" s="98"/>
      <c r="M308" s="98"/>
      <c r="N308" s="98"/>
      <c r="O308" s="98">
        <v>45000</v>
      </c>
      <c r="P308" s="98">
        <f t="shared" si="169"/>
        <v>45000</v>
      </c>
      <c r="Q308" s="23"/>
      <c r="R308" s="32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  <c r="IW308" s="23"/>
      <c r="IX308" s="23"/>
      <c r="IY308" s="23"/>
      <c r="IZ308" s="23"/>
      <c r="JA308" s="23"/>
      <c r="JB308" s="23"/>
      <c r="JC308" s="23"/>
      <c r="JD308" s="23"/>
      <c r="JE308" s="23"/>
      <c r="JF308" s="23"/>
      <c r="JG308" s="23"/>
      <c r="JH308" s="23"/>
      <c r="JI308" s="23"/>
      <c r="JJ308" s="23"/>
      <c r="JK308" s="23"/>
      <c r="JL308" s="23"/>
      <c r="JM308" s="23"/>
      <c r="JN308" s="23"/>
      <c r="JO308" s="23"/>
      <c r="JP308" s="23"/>
      <c r="JQ308" s="23"/>
      <c r="JR308" s="23"/>
      <c r="JS308" s="23"/>
      <c r="JT308" s="23"/>
      <c r="JU308" s="23"/>
      <c r="JV308" s="23"/>
      <c r="JW308" s="23"/>
      <c r="JX308" s="23"/>
      <c r="JY308" s="23"/>
      <c r="JZ308" s="23"/>
      <c r="KA308" s="23"/>
      <c r="KB308" s="23"/>
      <c r="KC308" s="23"/>
      <c r="KD308" s="23"/>
      <c r="KE308" s="23"/>
      <c r="KF308" s="23"/>
      <c r="KG308" s="23"/>
      <c r="KH308" s="23"/>
      <c r="KI308" s="23"/>
      <c r="KJ308" s="23"/>
      <c r="KK308" s="23"/>
      <c r="KL308" s="23"/>
      <c r="KM308" s="23"/>
      <c r="KN308" s="23"/>
      <c r="KO308" s="23"/>
      <c r="KP308" s="23"/>
      <c r="KQ308" s="23"/>
      <c r="KR308" s="23"/>
      <c r="KS308" s="23"/>
      <c r="KT308" s="23"/>
      <c r="KU308" s="23"/>
      <c r="KV308" s="23"/>
      <c r="KW308" s="23"/>
      <c r="KX308" s="23"/>
      <c r="KY308" s="23"/>
      <c r="KZ308" s="23"/>
      <c r="LA308" s="23"/>
      <c r="LB308" s="23"/>
      <c r="LC308" s="23"/>
      <c r="LD308" s="23"/>
      <c r="LE308" s="23"/>
      <c r="LF308" s="23"/>
      <c r="LG308" s="23"/>
      <c r="LH308" s="23"/>
      <c r="LI308" s="23"/>
      <c r="LJ308" s="23"/>
      <c r="LK308" s="23"/>
      <c r="LL308" s="23"/>
      <c r="LM308" s="23"/>
      <c r="LN308" s="23"/>
      <c r="LO308" s="23"/>
      <c r="LP308" s="23"/>
      <c r="LQ308" s="23"/>
      <c r="LR308" s="23"/>
      <c r="LS308" s="23"/>
      <c r="LT308" s="23"/>
      <c r="LU308" s="23"/>
      <c r="LV308" s="23"/>
      <c r="LW308" s="23"/>
      <c r="LX308" s="23"/>
      <c r="LY308" s="23"/>
      <c r="LZ308" s="23"/>
      <c r="MA308" s="23"/>
      <c r="MB308" s="23"/>
      <c r="MC308" s="23"/>
      <c r="MD308" s="23"/>
      <c r="ME308" s="23"/>
      <c r="MF308" s="23"/>
      <c r="MG308" s="23"/>
      <c r="MH308" s="23"/>
      <c r="MI308" s="23"/>
      <c r="MJ308" s="23"/>
      <c r="MK308" s="23"/>
      <c r="ML308" s="23"/>
      <c r="MM308" s="23"/>
      <c r="MN308" s="23"/>
      <c r="MO308" s="23"/>
      <c r="MP308" s="23"/>
      <c r="MQ308" s="23"/>
      <c r="MR308" s="23"/>
      <c r="MS308" s="23"/>
      <c r="MT308" s="23"/>
      <c r="MU308" s="23"/>
      <c r="MV308" s="23"/>
      <c r="MW308" s="23"/>
      <c r="MX308" s="23"/>
      <c r="MY308" s="23"/>
      <c r="MZ308" s="23"/>
      <c r="NA308" s="23"/>
      <c r="NB308" s="23"/>
      <c r="NC308" s="23"/>
      <c r="ND308" s="23"/>
      <c r="NE308" s="23"/>
      <c r="NF308" s="23"/>
      <c r="NG308" s="23"/>
      <c r="NH308" s="23"/>
      <c r="NI308" s="23"/>
      <c r="NJ308" s="23"/>
      <c r="NK308" s="23"/>
      <c r="NL308" s="23"/>
      <c r="NM308" s="23"/>
      <c r="NN308" s="23"/>
      <c r="NO308" s="23"/>
      <c r="NP308" s="23"/>
      <c r="NQ308" s="23"/>
      <c r="NR308" s="23"/>
      <c r="NS308" s="23"/>
      <c r="NT308" s="23"/>
      <c r="NU308" s="23"/>
      <c r="NV308" s="23"/>
      <c r="NW308" s="23"/>
      <c r="NX308" s="23"/>
      <c r="NY308" s="23"/>
      <c r="NZ308" s="23"/>
      <c r="OA308" s="23"/>
      <c r="OB308" s="23"/>
      <c r="OC308" s="23"/>
      <c r="OD308" s="23"/>
      <c r="OE308" s="23"/>
      <c r="OF308" s="23"/>
      <c r="OG308" s="23"/>
      <c r="OH308" s="23"/>
      <c r="OI308" s="23"/>
      <c r="OJ308" s="23"/>
      <c r="OK308" s="23"/>
      <c r="OL308" s="23"/>
      <c r="OM308" s="23"/>
      <c r="ON308" s="23"/>
      <c r="OO308" s="23"/>
      <c r="OP308" s="23"/>
      <c r="OQ308" s="23"/>
      <c r="OR308" s="23"/>
      <c r="OS308" s="23"/>
      <c r="OT308" s="23"/>
      <c r="OU308" s="23"/>
      <c r="OV308" s="23"/>
      <c r="OW308" s="23"/>
      <c r="OX308" s="23"/>
      <c r="OY308" s="23"/>
      <c r="OZ308" s="23"/>
      <c r="PA308" s="23"/>
      <c r="PB308" s="23"/>
      <c r="PC308" s="23"/>
      <c r="PD308" s="23"/>
      <c r="PE308" s="23"/>
      <c r="PF308" s="23"/>
      <c r="PG308" s="23"/>
      <c r="PH308" s="23"/>
      <c r="PI308" s="23"/>
      <c r="PJ308" s="23"/>
      <c r="PK308" s="23"/>
      <c r="PL308" s="23"/>
      <c r="PM308" s="23"/>
      <c r="PN308" s="23"/>
      <c r="PO308" s="23"/>
      <c r="PP308" s="23"/>
      <c r="PQ308" s="23"/>
      <c r="PR308" s="23"/>
      <c r="PS308" s="23"/>
      <c r="PT308" s="23"/>
      <c r="PU308" s="23"/>
      <c r="PV308" s="23"/>
      <c r="PW308" s="23"/>
      <c r="PX308" s="23"/>
      <c r="PY308" s="23"/>
      <c r="PZ308" s="23"/>
      <c r="QA308" s="23"/>
      <c r="QB308" s="23"/>
      <c r="QC308" s="23"/>
      <c r="QD308" s="23"/>
      <c r="QE308" s="23"/>
      <c r="QF308" s="23"/>
      <c r="QG308" s="23"/>
      <c r="QH308" s="23"/>
      <c r="QI308" s="23"/>
      <c r="QJ308" s="23"/>
      <c r="QK308" s="23"/>
      <c r="QL308" s="23"/>
      <c r="QM308" s="23"/>
      <c r="QN308" s="23"/>
      <c r="QO308" s="23"/>
      <c r="QP308" s="23"/>
      <c r="QQ308" s="23"/>
      <c r="QR308" s="23"/>
      <c r="QS308" s="23"/>
      <c r="QT308" s="23"/>
      <c r="QU308" s="23"/>
      <c r="QV308" s="23"/>
      <c r="QW308" s="23"/>
      <c r="QX308" s="23"/>
      <c r="QY308" s="23"/>
      <c r="QZ308" s="23"/>
      <c r="RA308" s="23"/>
      <c r="RB308" s="23"/>
      <c r="RC308" s="23"/>
      <c r="RD308" s="23"/>
      <c r="RE308" s="23"/>
      <c r="RF308" s="23"/>
      <c r="RG308" s="23"/>
      <c r="RH308" s="23"/>
      <c r="RI308" s="23"/>
      <c r="RJ308" s="23"/>
      <c r="RK308" s="23"/>
      <c r="RL308" s="23"/>
      <c r="RM308" s="23"/>
      <c r="RN308" s="23"/>
      <c r="RO308" s="23"/>
      <c r="RP308" s="23"/>
      <c r="RQ308" s="23"/>
      <c r="RR308" s="23"/>
      <c r="RS308" s="23"/>
      <c r="RT308" s="23"/>
      <c r="RU308" s="23"/>
      <c r="RV308" s="23"/>
      <c r="RW308" s="23"/>
      <c r="RX308" s="23"/>
      <c r="RY308" s="23"/>
      <c r="RZ308" s="23"/>
      <c r="SA308" s="23"/>
      <c r="SB308" s="23"/>
      <c r="SC308" s="23"/>
      <c r="SD308" s="23"/>
      <c r="SE308" s="23"/>
      <c r="SF308" s="23"/>
      <c r="SG308" s="23"/>
      <c r="SH308" s="23"/>
      <c r="SI308" s="23"/>
      <c r="SJ308" s="23"/>
      <c r="SK308" s="23"/>
      <c r="SL308" s="23"/>
      <c r="SM308" s="23"/>
      <c r="SN308" s="23"/>
      <c r="SO308" s="23"/>
      <c r="SP308" s="23"/>
      <c r="SQ308" s="23"/>
      <c r="SR308" s="23"/>
      <c r="SS308" s="23"/>
      <c r="ST308" s="23"/>
      <c r="SU308" s="23"/>
      <c r="SV308" s="23"/>
      <c r="SW308" s="23"/>
      <c r="SX308" s="23"/>
      <c r="SY308" s="23"/>
      <c r="SZ308" s="23"/>
      <c r="TA308" s="23"/>
      <c r="TB308" s="23"/>
      <c r="TC308" s="23"/>
      <c r="TD308" s="23"/>
      <c r="TE308" s="23"/>
      <c r="TF308" s="23"/>
      <c r="TG308" s="23"/>
    </row>
    <row r="309" spans="1:527" s="22" customFormat="1" ht="23.25" customHeight="1" x14ac:dyDescent="0.25">
      <c r="A309" s="102" t="s">
        <v>264</v>
      </c>
      <c r="B309" s="42" t="str">
        <f>'дод 7'!A226</f>
        <v>7693</v>
      </c>
      <c r="C309" s="42" t="str">
        <f>'дод 7'!B226</f>
        <v>0490</v>
      </c>
      <c r="D309" s="36" t="str">
        <f>'дод 7'!C226</f>
        <v>Інші заходи, пов'язані з економічною діяльністю</v>
      </c>
      <c r="E309" s="98">
        <f t="shared" si="168"/>
        <v>891000</v>
      </c>
      <c r="F309" s="98">
        <f>788000+103000</f>
        <v>891000</v>
      </c>
      <c r="G309" s="98"/>
      <c r="H309" s="98"/>
      <c r="I309" s="98"/>
      <c r="J309" s="98">
        <f t="shared" si="170"/>
        <v>0</v>
      </c>
      <c r="K309" s="98"/>
      <c r="L309" s="98"/>
      <c r="M309" s="98"/>
      <c r="N309" s="98"/>
      <c r="O309" s="98"/>
      <c r="P309" s="98">
        <f t="shared" si="169"/>
        <v>891000</v>
      </c>
      <c r="Q309" s="23"/>
      <c r="R309" s="32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  <c r="IW309" s="23"/>
      <c r="IX309" s="23"/>
      <c r="IY309" s="23"/>
      <c r="IZ309" s="23"/>
      <c r="JA309" s="23"/>
      <c r="JB309" s="23"/>
      <c r="JC309" s="23"/>
      <c r="JD309" s="23"/>
      <c r="JE309" s="23"/>
      <c r="JF309" s="23"/>
      <c r="JG309" s="23"/>
      <c r="JH309" s="23"/>
      <c r="JI309" s="23"/>
      <c r="JJ309" s="23"/>
      <c r="JK309" s="23"/>
      <c r="JL309" s="23"/>
      <c r="JM309" s="23"/>
      <c r="JN309" s="23"/>
      <c r="JO309" s="23"/>
      <c r="JP309" s="23"/>
      <c r="JQ309" s="23"/>
      <c r="JR309" s="23"/>
      <c r="JS309" s="23"/>
      <c r="JT309" s="23"/>
      <c r="JU309" s="23"/>
      <c r="JV309" s="23"/>
      <c r="JW309" s="23"/>
      <c r="JX309" s="23"/>
      <c r="JY309" s="23"/>
      <c r="JZ309" s="23"/>
      <c r="KA309" s="23"/>
      <c r="KB309" s="23"/>
      <c r="KC309" s="23"/>
      <c r="KD309" s="23"/>
      <c r="KE309" s="23"/>
      <c r="KF309" s="23"/>
      <c r="KG309" s="23"/>
      <c r="KH309" s="23"/>
      <c r="KI309" s="23"/>
      <c r="KJ309" s="23"/>
      <c r="KK309" s="23"/>
      <c r="KL309" s="23"/>
      <c r="KM309" s="23"/>
      <c r="KN309" s="23"/>
      <c r="KO309" s="23"/>
      <c r="KP309" s="23"/>
      <c r="KQ309" s="23"/>
      <c r="KR309" s="23"/>
      <c r="KS309" s="23"/>
      <c r="KT309" s="23"/>
      <c r="KU309" s="23"/>
      <c r="KV309" s="23"/>
      <c r="KW309" s="23"/>
      <c r="KX309" s="23"/>
      <c r="KY309" s="23"/>
      <c r="KZ309" s="23"/>
      <c r="LA309" s="23"/>
      <c r="LB309" s="23"/>
      <c r="LC309" s="23"/>
      <c r="LD309" s="23"/>
      <c r="LE309" s="23"/>
      <c r="LF309" s="23"/>
      <c r="LG309" s="23"/>
      <c r="LH309" s="23"/>
      <c r="LI309" s="23"/>
      <c r="LJ309" s="23"/>
      <c r="LK309" s="23"/>
      <c r="LL309" s="23"/>
      <c r="LM309" s="23"/>
      <c r="LN309" s="23"/>
      <c r="LO309" s="23"/>
      <c r="LP309" s="23"/>
      <c r="LQ309" s="23"/>
      <c r="LR309" s="23"/>
      <c r="LS309" s="23"/>
      <c r="LT309" s="23"/>
      <c r="LU309" s="23"/>
      <c r="LV309" s="23"/>
      <c r="LW309" s="23"/>
      <c r="LX309" s="23"/>
      <c r="LY309" s="23"/>
      <c r="LZ309" s="23"/>
      <c r="MA309" s="23"/>
      <c r="MB309" s="23"/>
      <c r="MC309" s="23"/>
      <c r="MD309" s="23"/>
      <c r="ME309" s="23"/>
      <c r="MF309" s="23"/>
      <c r="MG309" s="23"/>
      <c r="MH309" s="23"/>
      <c r="MI309" s="23"/>
      <c r="MJ309" s="23"/>
      <c r="MK309" s="23"/>
      <c r="ML309" s="23"/>
      <c r="MM309" s="23"/>
      <c r="MN309" s="23"/>
      <c r="MO309" s="23"/>
      <c r="MP309" s="23"/>
      <c r="MQ309" s="23"/>
      <c r="MR309" s="23"/>
      <c r="MS309" s="23"/>
      <c r="MT309" s="23"/>
      <c r="MU309" s="23"/>
      <c r="MV309" s="23"/>
      <c r="MW309" s="23"/>
      <c r="MX309" s="23"/>
      <c r="MY309" s="23"/>
      <c r="MZ309" s="23"/>
      <c r="NA309" s="23"/>
      <c r="NB309" s="23"/>
      <c r="NC309" s="23"/>
      <c r="ND309" s="23"/>
      <c r="NE309" s="23"/>
      <c r="NF309" s="23"/>
      <c r="NG309" s="23"/>
      <c r="NH309" s="23"/>
      <c r="NI309" s="23"/>
      <c r="NJ309" s="23"/>
      <c r="NK309" s="23"/>
      <c r="NL309" s="23"/>
      <c r="NM309" s="23"/>
      <c r="NN309" s="23"/>
      <c r="NO309" s="23"/>
      <c r="NP309" s="23"/>
      <c r="NQ309" s="23"/>
      <c r="NR309" s="23"/>
      <c r="NS309" s="23"/>
      <c r="NT309" s="23"/>
      <c r="NU309" s="23"/>
      <c r="NV309" s="23"/>
      <c r="NW309" s="23"/>
      <c r="NX309" s="23"/>
      <c r="NY309" s="23"/>
      <c r="NZ309" s="23"/>
      <c r="OA309" s="23"/>
      <c r="OB309" s="23"/>
      <c r="OC309" s="23"/>
      <c r="OD309" s="23"/>
      <c r="OE309" s="23"/>
      <c r="OF309" s="23"/>
      <c r="OG309" s="23"/>
      <c r="OH309" s="23"/>
      <c r="OI309" s="23"/>
      <c r="OJ309" s="23"/>
      <c r="OK309" s="23"/>
      <c r="OL309" s="23"/>
      <c r="OM309" s="23"/>
      <c r="ON309" s="23"/>
      <c r="OO309" s="23"/>
      <c r="OP309" s="23"/>
      <c r="OQ309" s="23"/>
      <c r="OR309" s="23"/>
      <c r="OS309" s="23"/>
      <c r="OT309" s="23"/>
      <c r="OU309" s="23"/>
      <c r="OV309" s="23"/>
      <c r="OW309" s="23"/>
      <c r="OX309" s="23"/>
      <c r="OY309" s="23"/>
      <c r="OZ309" s="23"/>
      <c r="PA309" s="23"/>
      <c r="PB309" s="23"/>
      <c r="PC309" s="23"/>
      <c r="PD309" s="23"/>
      <c r="PE309" s="23"/>
      <c r="PF309" s="23"/>
      <c r="PG309" s="23"/>
      <c r="PH309" s="23"/>
      <c r="PI309" s="23"/>
      <c r="PJ309" s="23"/>
      <c r="PK309" s="23"/>
      <c r="PL309" s="23"/>
      <c r="PM309" s="23"/>
      <c r="PN309" s="23"/>
      <c r="PO309" s="23"/>
      <c r="PP309" s="23"/>
      <c r="PQ309" s="23"/>
      <c r="PR309" s="23"/>
      <c r="PS309" s="23"/>
      <c r="PT309" s="23"/>
      <c r="PU309" s="23"/>
      <c r="PV309" s="23"/>
      <c r="PW309" s="23"/>
      <c r="PX309" s="23"/>
      <c r="PY309" s="23"/>
      <c r="PZ309" s="23"/>
      <c r="QA309" s="23"/>
      <c r="QB309" s="23"/>
      <c r="QC309" s="23"/>
      <c r="QD309" s="23"/>
      <c r="QE309" s="23"/>
      <c r="QF309" s="23"/>
      <c r="QG309" s="23"/>
      <c r="QH309" s="23"/>
      <c r="QI309" s="23"/>
      <c r="QJ309" s="23"/>
      <c r="QK309" s="23"/>
      <c r="QL309" s="23"/>
      <c r="QM309" s="23"/>
      <c r="QN309" s="23"/>
      <c r="QO309" s="23"/>
      <c r="QP309" s="23"/>
      <c r="QQ309" s="23"/>
      <c r="QR309" s="23"/>
      <c r="QS309" s="23"/>
      <c r="QT309" s="23"/>
      <c r="QU309" s="23"/>
      <c r="QV309" s="23"/>
      <c r="QW309" s="23"/>
      <c r="QX309" s="23"/>
      <c r="QY309" s="23"/>
      <c r="QZ309" s="23"/>
      <c r="RA309" s="23"/>
      <c r="RB309" s="23"/>
      <c r="RC309" s="23"/>
      <c r="RD309" s="23"/>
      <c r="RE309" s="23"/>
      <c r="RF309" s="23"/>
      <c r="RG309" s="23"/>
      <c r="RH309" s="23"/>
      <c r="RI309" s="23"/>
      <c r="RJ309" s="23"/>
      <c r="RK309" s="23"/>
      <c r="RL309" s="23"/>
      <c r="RM309" s="23"/>
      <c r="RN309" s="23"/>
      <c r="RO309" s="23"/>
      <c r="RP309" s="23"/>
      <c r="RQ309" s="23"/>
      <c r="RR309" s="23"/>
      <c r="RS309" s="23"/>
      <c r="RT309" s="23"/>
      <c r="RU309" s="23"/>
      <c r="RV309" s="23"/>
      <c r="RW309" s="23"/>
      <c r="RX309" s="23"/>
      <c r="RY309" s="23"/>
      <c r="RZ309" s="23"/>
      <c r="SA309" s="23"/>
      <c r="SB309" s="23"/>
      <c r="SC309" s="23"/>
      <c r="SD309" s="23"/>
      <c r="SE309" s="23"/>
      <c r="SF309" s="23"/>
      <c r="SG309" s="23"/>
      <c r="SH309" s="23"/>
      <c r="SI309" s="23"/>
      <c r="SJ309" s="23"/>
      <c r="SK309" s="23"/>
      <c r="SL309" s="23"/>
      <c r="SM309" s="23"/>
      <c r="SN309" s="23"/>
      <c r="SO309" s="23"/>
      <c r="SP309" s="23"/>
      <c r="SQ309" s="23"/>
      <c r="SR309" s="23"/>
      <c r="SS309" s="23"/>
      <c r="ST309" s="23"/>
      <c r="SU309" s="23"/>
      <c r="SV309" s="23"/>
      <c r="SW309" s="23"/>
      <c r="SX309" s="23"/>
      <c r="SY309" s="23"/>
      <c r="SZ309" s="23"/>
      <c r="TA309" s="23"/>
      <c r="TB309" s="23"/>
      <c r="TC309" s="23"/>
      <c r="TD309" s="23"/>
      <c r="TE309" s="23"/>
      <c r="TF309" s="23"/>
      <c r="TG309" s="23"/>
    </row>
    <row r="310" spans="1:527" s="22" customFormat="1" ht="35.25" customHeight="1" x14ac:dyDescent="0.25">
      <c r="A310" s="105" t="s">
        <v>426</v>
      </c>
      <c r="B310" s="39"/>
      <c r="C310" s="39"/>
      <c r="D310" s="106" t="s">
        <v>427</v>
      </c>
      <c r="E310" s="94">
        <f>E311</f>
        <v>20000</v>
      </c>
      <c r="F310" s="94">
        <f t="shared" ref="F310:P310" si="171">F311</f>
        <v>20000</v>
      </c>
      <c r="G310" s="94">
        <f t="shared" si="171"/>
        <v>0</v>
      </c>
      <c r="H310" s="94">
        <f t="shared" si="171"/>
        <v>0</v>
      </c>
      <c r="I310" s="94">
        <f t="shared" si="171"/>
        <v>0</v>
      </c>
      <c r="J310" s="94">
        <f t="shared" si="171"/>
        <v>0</v>
      </c>
      <c r="K310" s="94">
        <f t="shared" si="171"/>
        <v>0</v>
      </c>
      <c r="L310" s="94">
        <f t="shared" si="171"/>
        <v>0</v>
      </c>
      <c r="M310" s="94">
        <f t="shared" si="171"/>
        <v>0</v>
      </c>
      <c r="N310" s="94">
        <f t="shared" si="171"/>
        <v>0</v>
      </c>
      <c r="O310" s="94">
        <f t="shared" si="171"/>
        <v>0</v>
      </c>
      <c r="P310" s="94">
        <f t="shared" si="171"/>
        <v>20000</v>
      </c>
      <c r="Q310" s="23"/>
      <c r="R310" s="32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  <c r="IW310" s="23"/>
      <c r="IX310" s="23"/>
      <c r="IY310" s="23"/>
      <c r="IZ310" s="23"/>
      <c r="JA310" s="23"/>
      <c r="JB310" s="23"/>
      <c r="JC310" s="23"/>
      <c r="JD310" s="23"/>
      <c r="JE310" s="23"/>
      <c r="JF310" s="23"/>
      <c r="JG310" s="23"/>
      <c r="JH310" s="23"/>
      <c r="JI310" s="23"/>
      <c r="JJ310" s="23"/>
      <c r="JK310" s="23"/>
      <c r="JL310" s="23"/>
      <c r="JM310" s="23"/>
      <c r="JN310" s="23"/>
      <c r="JO310" s="23"/>
      <c r="JP310" s="23"/>
      <c r="JQ310" s="23"/>
      <c r="JR310" s="23"/>
      <c r="JS310" s="23"/>
      <c r="JT310" s="23"/>
      <c r="JU310" s="23"/>
      <c r="JV310" s="23"/>
      <c r="JW310" s="23"/>
      <c r="JX310" s="23"/>
      <c r="JY310" s="23"/>
      <c r="JZ310" s="23"/>
      <c r="KA310" s="23"/>
      <c r="KB310" s="23"/>
      <c r="KC310" s="23"/>
      <c r="KD310" s="23"/>
      <c r="KE310" s="23"/>
      <c r="KF310" s="23"/>
      <c r="KG310" s="23"/>
      <c r="KH310" s="23"/>
      <c r="KI310" s="23"/>
      <c r="KJ310" s="23"/>
      <c r="KK310" s="23"/>
      <c r="KL310" s="23"/>
      <c r="KM310" s="23"/>
      <c r="KN310" s="23"/>
      <c r="KO310" s="23"/>
      <c r="KP310" s="23"/>
      <c r="KQ310" s="23"/>
      <c r="KR310" s="23"/>
      <c r="KS310" s="23"/>
      <c r="KT310" s="23"/>
      <c r="KU310" s="23"/>
      <c r="KV310" s="23"/>
      <c r="KW310" s="23"/>
      <c r="KX310" s="23"/>
      <c r="KY310" s="23"/>
      <c r="KZ310" s="23"/>
      <c r="LA310" s="23"/>
      <c r="LB310" s="23"/>
      <c r="LC310" s="23"/>
      <c r="LD310" s="23"/>
      <c r="LE310" s="23"/>
      <c r="LF310" s="23"/>
      <c r="LG310" s="23"/>
      <c r="LH310" s="23"/>
      <c r="LI310" s="23"/>
      <c r="LJ310" s="23"/>
      <c r="LK310" s="23"/>
      <c r="LL310" s="23"/>
      <c r="LM310" s="23"/>
      <c r="LN310" s="23"/>
      <c r="LO310" s="23"/>
      <c r="LP310" s="23"/>
      <c r="LQ310" s="23"/>
      <c r="LR310" s="23"/>
      <c r="LS310" s="23"/>
      <c r="LT310" s="23"/>
      <c r="LU310" s="23"/>
      <c r="LV310" s="23"/>
      <c r="LW310" s="23"/>
      <c r="LX310" s="23"/>
      <c r="LY310" s="23"/>
      <c r="LZ310" s="23"/>
      <c r="MA310" s="23"/>
      <c r="MB310" s="23"/>
      <c r="MC310" s="23"/>
      <c r="MD310" s="23"/>
      <c r="ME310" s="23"/>
      <c r="MF310" s="23"/>
      <c r="MG310" s="23"/>
      <c r="MH310" s="23"/>
      <c r="MI310" s="23"/>
      <c r="MJ310" s="23"/>
      <c r="MK310" s="23"/>
      <c r="ML310" s="23"/>
      <c r="MM310" s="23"/>
      <c r="MN310" s="23"/>
      <c r="MO310" s="23"/>
      <c r="MP310" s="23"/>
      <c r="MQ310" s="23"/>
      <c r="MR310" s="23"/>
      <c r="MS310" s="23"/>
      <c r="MT310" s="23"/>
      <c r="MU310" s="23"/>
      <c r="MV310" s="23"/>
      <c r="MW310" s="23"/>
      <c r="MX310" s="23"/>
      <c r="MY310" s="23"/>
      <c r="MZ310" s="23"/>
      <c r="NA310" s="23"/>
      <c r="NB310" s="23"/>
      <c r="NC310" s="23"/>
      <c r="ND310" s="23"/>
      <c r="NE310" s="23"/>
      <c r="NF310" s="23"/>
      <c r="NG310" s="23"/>
      <c r="NH310" s="23"/>
      <c r="NI310" s="23"/>
      <c r="NJ310" s="23"/>
      <c r="NK310" s="23"/>
      <c r="NL310" s="23"/>
      <c r="NM310" s="23"/>
      <c r="NN310" s="23"/>
      <c r="NO310" s="23"/>
      <c r="NP310" s="23"/>
      <c r="NQ310" s="23"/>
      <c r="NR310" s="23"/>
      <c r="NS310" s="23"/>
      <c r="NT310" s="23"/>
      <c r="NU310" s="23"/>
      <c r="NV310" s="23"/>
      <c r="NW310" s="23"/>
      <c r="NX310" s="23"/>
      <c r="NY310" s="23"/>
      <c r="NZ310" s="23"/>
      <c r="OA310" s="23"/>
      <c r="OB310" s="23"/>
      <c r="OC310" s="23"/>
      <c r="OD310" s="23"/>
      <c r="OE310" s="23"/>
      <c r="OF310" s="23"/>
      <c r="OG310" s="23"/>
      <c r="OH310" s="23"/>
      <c r="OI310" s="23"/>
      <c r="OJ310" s="23"/>
      <c r="OK310" s="23"/>
      <c r="OL310" s="23"/>
      <c r="OM310" s="23"/>
      <c r="ON310" s="23"/>
      <c r="OO310" s="23"/>
      <c r="OP310" s="23"/>
      <c r="OQ310" s="23"/>
      <c r="OR310" s="23"/>
      <c r="OS310" s="23"/>
      <c r="OT310" s="23"/>
      <c r="OU310" s="23"/>
      <c r="OV310" s="23"/>
      <c r="OW310" s="23"/>
      <c r="OX310" s="23"/>
      <c r="OY310" s="23"/>
      <c r="OZ310" s="23"/>
      <c r="PA310" s="23"/>
      <c r="PB310" s="23"/>
      <c r="PC310" s="23"/>
      <c r="PD310" s="23"/>
      <c r="PE310" s="23"/>
      <c r="PF310" s="23"/>
      <c r="PG310" s="23"/>
      <c r="PH310" s="23"/>
      <c r="PI310" s="23"/>
      <c r="PJ310" s="23"/>
      <c r="PK310" s="23"/>
      <c r="PL310" s="23"/>
      <c r="PM310" s="23"/>
      <c r="PN310" s="23"/>
      <c r="PO310" s="23"/>
      <c r="PP310" s="23"/>
      <c r="PQ310" s="23"/>
      <c r="PR310" s="23"/>
      <c r="PS310" s="23"/>
      <c r="PT310" s="23"/>
      <c r="PU310" s="23"/>
      <c r="PV310" s="23"/>
      <c r="PW310" s="23"/>
      <c r="PX310" s="23"/>
      <c r="PY310" s="23"/>
      <c r="PZ310" s="23"/>
      <c r="QA310" s="23"/>
      <c r="QB310" s="23"/>
      <c r="QC310" s="23"/>
      <c r="QD310" s="23"/>
      <c r="QE310" s="23"/>
      <c r="QF310" s="23"/>
      <c r="QG310" s="23"/>
      <c r="QH310" s="23"/>
      <c r="QI310" s="23"/>
      <c r="QJ310" s="23"/>
      <c r="QK310" s="23"/>
      <c r="QL310" s="23"/>
      <c r="QM310" s="23"/>
      <c r="QN310" s="23"/>
      <c r="QO310" s="23"/>
      <c r="QP310" s="23"/>
      <c r="QQ310" s="23"/>
      <c r="QR310" s="23"/>
      <c r="QS310" s="23"/>
      <c r="QT310" s="23"/>
      <c r="QU310" s="23"/>
      <c r="QV310" s="23"/>
      <c r="QW310" s="23"/>
      <c r="QX310" s="23"/>
      <c r="QY310" s="23"/>
      <c r="QZ310" s="23"/>
      <c r="RA310" s="23"/>
      <c r="RB310" s="23"/>
      <c r="RC310" s="23"/>
      <c r="RD310" s="23"/>
      <c r="RE310" s="23"/>
      <c r="RF310" s="23"/>
      <c r="RG310" s="23"/>
      <c r="RH310" s="23"/>
      <c r="RI310" s="23"/>
      <c r="RJ310" s="23"/>
      <c r="RK310" s="23"/>
      <c r="RL310" s="23"/>
      <c r="RM310" s="23"/>
      <c r="RN310" s="23"/>
      <c r="RO310" s="23"/>
      <c r="RP310" s="23"/>
      <c r="RQ310" s="23"/>
      <c r="RR310" s="23"/>
      <c r="RS310" s="23"/>
      <c r="RT310" s="23"/>
      <c r="RU310" s="23"/>
      <c r="RV310" s="23"/>
      <c r="RW310" s="23"/>
      <c r="RX310" s="23"/>
      <c r="RY310" s="23"/>
      <c r="RZ310" s="23"/>
      <c r="SA310" s="23"/>
      <c r="SB310" s="23"/>
      <c r="SC310" s="23"/>
      <c r="SD310" s="23"/>
      <c r="SE310" s="23"/>
      <c r="SF310" s="23"/>
      <c r="SG310" s="23"/>
      <c r="SH310" s="23"/>
      <c r="SI310" s="23"/>
      <c r="SJ310" s="23"/>
      <c r="SK310" s="23"/>
      <c r="SL310" s="23"/>
      <c r="SM310" s="23"/>
      <c r="SN310" s="23"/>
      <c r="SO310" s="23"/>
      <c r="SP310" s="23"/>
      <c r="SQ310" s="23"/>
      <c r="SR310" s="23"/>
      <c r="SS310" s="23"/>
      <c r="ST310" s="23"/>
      <c r="SU310" s="23"/>
      <c r="SV310" s="23"/>
      <c r="SW310" s="23"/>
      <c r="SX310" s="23"/>
      <c r="SY310" s="23"/>
      <c r="SZ310" s="23"/>
      <c r="TA310" s="23"/>
      <c r="TB310" s="23"/>
      <c r="TC310" s="23"/>
      <c r="TD310" s="23"/>
      <c r="TE310" s="23"/>
      <c r="TF310" s="23"/>
      <c r="TG310" s="23"/>
    </row>
    <row r="311" spans="1:527" s="34" customFormat="1" ht="34.5" customHeight="1" x14ac:dyDescent="0.25">
      <c r="A311" s="107" t="s">
        <v>425</v>
      </c>
      <c r="B311" s="73"/>
      <c r="C311" s="73"/>
      <c r="D311" s="76" t="s">
        <v>427</v>
      </c>
      <c r="E311" s="97">
        <f>E312</f>
        <v>20000</v>
      </c>
      <c r="F311" s="97">
        <f t="shared" ref="F311:P311" si="172">F312</f>
        <v>20000</v>
      </c>
      <c r="G311" s="97">
        <f t="shared" si="172"/>
        <v>0</v>
      </c>
      <c r="H311" s="97">
        <f t="shared" si="172"/>
        <v>0</v>
      </c>
      <c r="I311" s="97">
        <f t="shared" si="172"/>
        <v>0</v>
      </c>
      <c r="J311" s="97">
        <f t="shared" si="172"/>
        <v>0</v>
      </c>
      <c r="K311" s="97">
        <f t="shared" si="172"/>
        <v>0</v>
      </c>
      <c r="L311" s="97">
        <f t="shared" si="172"/>
        <v>0</v>
      </c>
      <c r="M311" s="97">
        <f t="shared" si="172"/>
        <v>0</v>
      </c>
      <c r="N311" s="97">
        <f t="shared" si="172"/>
        <v>0</v>
      </c>
      <c r="O311" s="97">
        <f t="shared" si="172"/>
        <v>0</v>
      </c>
      <c r="P311" s="97">
        <f t="shared" si="172"/>
        <v>20000</v>
      </c>
      <c r="Q311" s="33"/>
      <c r="R311" s="32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  <c r="HP311" s="33"/>
      <c r="HQ311" s="33"/>
      <c r="HR311" s="33"/>
      <c r="HS311" s="33"/>
      <c r="HT311" s="33"/>
      <c r="HU311" s="33"/>
      <c r="HV311" s="33"/>
      <c r="HW311" s="33"/>
      <c r="HX311" s="33"/>
      <c r="HY311" s="33"/>
      <c r="HZ311" s="33"/>
      <c r="IA311" s="33"/>
      <c r="IB311" s="33"/>
      <c r="IC311" s="33"/>
      <c r="ID311" s="33"/>
      <c r="IE311" s="33"/>
      <c r="IF311" s="33"/>
      <c r="IG311" s="33"/>
      <c r="IH311" s="33"/>
      <c r="II311" s="33"/>
      <c r="IJ311" s="33"/>
      <c r="IK311" s="33"/>
      <c r="IL311" s="33"/>
      <c r="IM311" s="33"/>
      <c r="IN311" s="33"/>
      <c r="IO311" s="33"/>
      <c r="IP311" s="33"/>
      <c r="IQ311" s="33"/>
      <c r="IR311" s="33"/>
      <c r="IS311" s="33"/>
      <c r="IT311" s="33"/>
      <c r="IU311" s="33"/>
      <c r="IV311" s="33"/>
      <c r="IW311" s="33"/>
      <c r="IX311" s="33"/>
      <c r="IY311" s="33"/>
      <c r="IZ311" s="33"/>
      <c r="JA311" s="33"/>
      <c r="JB311" s="33"/>
      <c r="JC311" s="33"/>
      <c r="JD311" s="33"/>
      <c r="JE311" s="33"/>
      <c r="JF311" s="33"/>
      <c r="JG311" s="33"/>
      <c r="JH311" s="33"/>
      <c r="JI311" s="33"/>
      <c r="JJ311" s="33"/>
      <c r="JK311" s="33"/>
      <c r="JL311" s="33"/>
      <c r="JM311" s="33"/>
      <c r="JN311" s="33"/>
      <c r="JO311" s="33"/>
      <c r="JP311" s="33"/>
      <c r="JQ311" s="33"/>
      <c r="JR311" s="33"/>
      <c r="JS311" s="33"/>
      <c r="JT311" s="33"/>
      <c r="JU311" s="33"/>
      <c r="JV311" s="33"/>
      <c r="JW311" s="33"/>
      <c r="JX311" s="33"/>
      <c r="JY311" s="33"/>
      <c r="JZ311" s="33"/>
      <c r="KA311" s="33"/>
      <c r="KB311" s="33"/>
      <c r="KC311" s="33"/>
      <c r="KD311" s="33"/>
      <c r="KE311" s="33"/>
      <c r="KF311" s="33"/>
      <c r="KG311" s="33"/>
      <c r="KH311" s="33"/>
      <c r="KI311" s="33"/>
      <c r="KJ311" s="33"/>
      <c r="KK311" s="33"/>
      <c r="KL311" s="33"/>
      <c r="KM311" s="33"/>
      <c r="KN311" s="33"/>
      <c r="KO311" s="33"/>
      <c r="KP311" s="33"/>
      <c r="KQ311" s="33"/>
      <c r="KR311" s="33"/>
      <c r="KS311" s="33"/>
      <c r="KT311" s="33"/>
      <c r="KU311" s="33"/>
      <c r="KV311" s="33"/>
      <c r="KW311" s="33"/>
      <c r="KX311" s="33"/>
      <c r="KY311" s="33"/>
      <c r="KZ311" s="33"/>
      <c r="LA311" s="33"/>
      <c r="LB311" s="33"/>
      <c r="LC311" s="33"/>
      <c r="LD311" s="33"/>
      <c r="LE311" s="33"/>
      <c r="LF311" s="33"/>
      <c r="LG311" s="33"/>
      <c r="LH311" s="33"/>
      <c r="LI311" s="33"/>
      <c r="LJ311" s="33"/>
      <c r="LK311" s="33"/>
      <c r="LL311" s="33"/>
      <c r="LM311" s="33"/>
      <c r="LN311" s="33"/>
      <c r="LO311" s="33"/>
      <c r="LP311" s="33"/>
      <c r="LQ311" s="33"/>
      <c r="LR311" s="33"/>
      <c r="LS311" s="33"/>
      <c r="LT311" s="33"/>
      <c r="LU311" s="33"/>
      <c r="LV311" s="33"/>
      <c r="LW311" s="33"/>
      <c r="LX311" s="33"/>
      <c r="LY311" s="33"/>
      <c r="LZ311" s="33"/>
      <c r="MA311" s="33"/>
      <c r="MB311" s="33"/>
      <c r="MC311" s="33"/>
      <c r="MD311" s="33"/>
      <c r="ME311" s="33"/>
      <c r="MF311" s="33"/>
      <c r="MG311" s="33"/>
      <c r="MH311" s="33"/>
      <c r="MI311" s="33"/>
      <c r="MJ311" s="33"/>
      <c r="MK311" s="33"/>
      <c r="ML311" s="33"/>
      <c r="MM311" s="33"/>
      <c r="MN311" s="33"/>
      <c r="MO311" s="33"/>
      <c r="MP311" s="33"/>
      <c r="MQ311" s="33"/>
      <c r="MR311" s="33"/>
      <c r="MS311" s="33"/>
      <c r="MT311" s="33"/>
      <c r="MU311" s="33"/>
      <c r="MV311" s="33"/>
      <c r="MW311" s="33"/>
      <c r="MX311" s="33"/>
      <c r="MY311" s="33"/>
      <c r="MZ311" s="33"/>
      <c r="NA311" s="33"/>
      <c r="NB311" s="33"/>
      <c r="NC311" s="33"/>
      <c r="ND311" s="33"/>
      <c r="NE311" s="33"/>
      <c r="NF311" s="33"/>
      <c r="NG311" s="33"/>
      <c r="NH311" s="33"/>
      <c r="NI311" s="33"/>
      <c r="NJ311" s="33"/>
      <c r="NK311" s="33"/>
      <c r="NL311" s="33"/>
      <c r="NM311" s="33"/>
      <c r="NN311" s="33"/>
      <c r="NO311" s="33"/>
      <c r="NP311" s="33"/>
      <c r="NQ311" s="33"/>
      <c r="NR311" s="33"/>
      <c r="NS311" s="33"/>
      <c r="NT311" s="33"/>
      <c r="NU311" s="33"/>
      <c r="NV311" s="33"/>
      <c r="NW311" s="33"/>
      <c r="NX311" s="33"/>
      <c r="NY311" s="33"/>
      <c r="NZ311" s="33"/>
      <c r="OA311" s="33"/>
      <c r="OB311" s="33"/>
      <c r="OC311" s="33"/>
      <c r="OD311" s="33"/>
      <c r="OE311" s="33"/>
      <c r="OF311" s="33"/>
      <c r="OG311" s="33"/>
      <c r="OH311" s="33"/>
      <c r="OI311" s="33"/>
      <c r="OJ311" s="33"/>
      <c r="OK311" s="33"/>
      <c r="OL311" s="33"/>
      <c r="OM311" s="33"/>
      <c r="ON311" s="33"/>
      <c r="OO311" s="33"/>
      <c r="OP311" s="33"/>
      <c r="OQ311" s="33"/>
      <c r="OR311" s="33"/>
      <c r="OS311" s="33"/>
      <c r="OT311" s="33"/>
      <c r="OU311" s="33"/>
      <c r="OV311" s="33"/>
      <c r="OW311" s="33"/>
      <c r="OX311" s="33"/>
      <c r="OY311" s="33"/>
      <c r="OZ311" s="33"/>
      <c r="PA311" s="33"/>
      <c r="PB311" s="33"/>
      <c r="PC311" s="33"/>
      <c r="PD311" s="33"/>
      <c r="PE311" s="33"/>
      <c r="PF311" s="33"/>
      <c r="PG311" s="33"/>
      <c r="PH311" s="33"/>
      <c r="PI311" s="33"/>
      <c r="PJ311" s="33"/>
      <c r="PK311" s="33"/>
      <c r="PL311" s="33"/>
      <c r="PM311" s="33"/>
      <c r="PN311" s="33"/>
      <c r="PO311" s="33"/>
      <c r="PP311" s="33"/>
      <c r="PQ311" s="33"/>
      <c r="PR311" s="33"/>
      <c r="PS311" s="33"/>
      <c r="PT311" s="33"/>
      <c r="PU311" s="33"/>
      <c r="PV311" s="33"/>
      <c r="PW311" s="33"/>
      <c r="PX311" s="33"/>
      <c r="PY311" s="33"/>
      <c r="PZ311" s="33"/>
      <c r="QA311" s="33"/>
      <c r="QB311" s="33"/>
      <c r="QC311" s="33"/>
      <c r="QD311" s="33"/>
      <c r="QE311" s="33"/>
      <c r="QF311" s="33"/>
      <c r="QG311" s="33"/>
      <c r="QH311" s="33"/>
      <c r="QI311" s="33"/>
      <c r="QJ311" s="33"/>
      <c r="QK311" s="33"/>
      <c r="QL311" s="33"/>
      <c r="QM311" s="33"/>
      <c r="QN311" s="33"/>
      <c r="QO311" s="33"/>
      <c r="QP311" s="33"/>
      <c r="QQ311" s="33"/>
      <c r="QR311" s="33"/>
      <c r="QS311" s="33"/>
      <c r="QT311" s="33"/>
      <c r="QU311" s="33"/>
      <c r="QV311" s="33"/>
      <c r="QW311" s="33"/>
      <c r="QX311" s="33"/>
      <c r="QY311" s="33"/>
      <c r="QZ311" s="33"/>
      <c r="RA311" s="33"/>
      <c r="RB311" s="33"/>
      <c r="RC311" s="33"/>
      <c r="RD311" s="33"/>
      <c r="RE311" s="33"/>
      <c r="RF311" s="33"/>
      <c r="RG311" s="33"/>
      <c r="RH311" s="33"/>
      <c r="RI311" s="33"/>
      <c r="RJ311" s="33"/>
      <c r="RK311" s="33"/>
      <c r="RL311" s="33"/>
      <c r="RM311" s="33"/>
      <c r="RN311" s="33"/>
      <c r="RO311" s="33"/>
      <c r="RP311" s="33"/>
      <c r="RQ311" s="33"/>
      <c r="RR311" s="33"/>
      <c r="RS311" s="33"/>
      <c r="RT311" s="33"/>
      <c r="RU311" s="33"/>
      <c r="RV311" s="33"/>
      <c r="RW311" s="33"/>
      <c r="RX311" s="33"/>
      <c r="RY311" s="33"/>
      <c r="RZ311" s="33"/>
      <c r="SA311" s="33"/>
      <c r="SB311" s="33"/>
      <c r="SC311" s="33"/>
      <c r="SD311" s="33"/>
      <c r="SE311" s="33"/>
      <c r="SF311" s="33"/>
      <c r="SG311" s="33"/>
      <c r="SH311" s="33"/>
      <c r="SI311" s="33"/>
      <c r="SJ311" s="33"/>
      <c r="SK311" s="33"/>
      <c r="SL311" s="33"/>
      <c r="SM311" s="33"/>
      <c r="SN311" s="33"/>
      <c r="SO311" s="33"/>
      <c r="SP311" s="33"/>
      <c r="SQ311" s="33"/>
      <c r="SR311" s="33"/>
      <c r="SS311" s="33"/>
      <c r="ST311" s="33"/>
      <c r="SU311" s="33"/>
      <c r="SV311" s="33"/>
      <c r="SW311" s="33"/>
      <c r="SX311" s="33"/>
      <c r="SY311" s="33"/>
      <c r="SZ311" s="33"/>
      <c r="TA311" s="33"/>
      <c r="TB311" s="33"/>
      <c r="TC311" s="33"/>
      <c r="TD311" s="33"/>
      <c r="TE311" s="33"/>
      <c r="TF311" s="33"/>
      <c r="TG311" s="33"/>
    </row>
    <row r="312" spans="1:527" s="22" customFormat="1" ht="45.75" customHeight="1" x14ac:dyDescent="0.25">
      <c r="A312" s="102" t="s">
        <v>424</v>
      </c>
      <c r="B312" s="102" t="s">
        <v>119</v>
      </c>
      <c r="C312" s="102" t="s">
        <v>46</v>
      </c>
      <c r="D312" s="36" t="s">
        <v>493</v>
      </c>
      <c r="E312" s="98">
        <f t="shared" ref="E312" si="173">F312+I312</f>
        <v>20000</v>
      </c>
      <c r="F312" s="98">
        <v>20000</v>
      </c>
      <c r="G312" s="98"/>
      <c r="H312" s="98"/>
      <c r="I312" s="98"/>
      <c r="J312" s="98">
        <f>L312+O312</f>
        <v>0</v>
      </c>
      <c r="K312" s="98"/>
      <c r="L312" s="98"/>
      <c r="M312" s="98"/>
      <c r="N312" s="98"/>
      <c r="O312" s="98"/>
      <c r="P312" s="98">
        <f t="shared" ref="P312" si="174">E312+J312</f>
        <v>20000</v>
      </c>
      <c r="Q312" s="23"/>
      <c r="R312" s="32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  <c r="SQ312" s="23"/>
      <c r="SR312" s="23"/>
      <c r="SS312" s="23"/>
      <c r="ST312" s="23"/>
      <c r="SU312" s="23"/>
      <c r="SV312" s="23"/>
      <c r="SW312" s="23"/>
      <c r="SX312" s="23"/>
      <c r="SY312" s="23"/>
      <c r="SZ312" s="23"/>
      <c r="TA312" s="23"/>
      <c r="TB312" s="23"/>
      <c r="TC312" s="23"/>
      <c r="TD312" s="23"/>
      <c r="TE312" s="23"/>
      <c r="TF312" s="23"/>
      <c r="TG312" s="23"/>
    </row>
    <row r="313" spans="1:527" s="27" customFormat="1" ht="38.25" customHeight="1" x14ac:dyDescent="0.25">
      <c r="A313" s="109" t="s">
        <v>218</v>
      </c>
      <c r="B313" s="111"/>
      <c r="C313" s="111"/>
      <c r="D313" s="106" t="s">
        <v>41</v>
      </c>
      <c r="E313" s="94">
        <f>E314</f>
        <v>140550753.34</v>
      </c>
      <c r="F313" s="94">
        <f t="shared" ref="F313:J313" si="175">F314</f>
        <v>122793932</v>
      </c>
      <c r="G313" s="94">
        <f t="shared" si="175"/>
        <v>15760200</v>
      </c>
      <c r="H313" s="94">
        <f t="shared" si="175"/>
        <v>376173</v>
      </c>
      <c r="I313" s="94">
        <f t="shared" si="175"/>
        <v>0</v>
      </c>
      <c r="J313" s="94">
        <f t="shared" si="175"/>
        <v>502000</v>
      </c>
      <c r="K313" s="94">
        <f t="shared" ref="K313" si="176">K314</f>
        <v>0</v>
      </c>
      <c r="L313" s="94">
        <f t="shared" ref="L313" si="177">L314</f>
        <v>502000</v>
      </c>
      <c r="M313" s="94">
        <f t="shared" ref="M313" si="178">M314</f>
        <v>0</v>
      </c>
      <c r="N313" s="94">
        <f t="shared" ref="N313" si="179">N314</f>
        <v>0</v>
      </c>
      <c r="O313" s="94">
        <f t="shared" ref="O313:P313" si="180">O314</f>
        <v>0</v>
      </c>
      <c r="P313" s="94">
        <f t="shared" si="180"/>
        <v>141052753.34</v>
      </c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  <c r="FP313" s="32"/>
      <c r="FQ313" s="32"/>
      <c r="FR313" s="32"/>
      <c r="FS313" s="32"/>
      <c r="FT313" s="32"/>
      <c r="FU313" s="32"/>
      <c r="FV313" s="32"/>
      <c r="FW313" s="32"/>
      <c r="FX313" s="32"/>
      <c r="FY313" s="32"/>
      <c r="FZ313" s="32"/>
      <c r="GA313" s="32"/>
      <c r="GB313" s="32"/>
      <c r="GC313" s="32"/>
      <c r="GD313" s="32"/>
      <c r="GE313" s="32"/>
      <c r="GF313" s="32"/>
      <c r="GG313" s="32"/>
      <c r="GH313" s="32"/>
      <c r="GI313" s="32"/>
      <c r="GJ313" s="32"/>
      <c r="GK313" s="32"/>
      <c r="GL313" s="32"/>
      <c r="GM313" s="32"/>
      <c r="GN313" s="32"/>
      <c r="GO313" s="32"/>
      <c r="GP313" s="32"/>
      <c r="GQ313" s="32"/>
      <c r="GR313" s="32"/>
      <c r="GS313" s="32"/>
      <c r="GT313" s="32"/>
      <c r="GU313" s="32"/>
      <c r="GV313" s="32"/>
      <c r="GW313" s="32"/>
      <c r="GX313" s="32"/>
      <c r="GY313" s="32"/>
      <c r="GZ313" s="32"/>
      <c r="HA313" s="32"/>
      <c r="HB313" s="32"/>
      <c r="HC313" s="32"/>
      <c r="HD313" s="32"/>
      <c r="HE313" s="32"/>
      <c r="HF313" s="32"/>
      <c r="HG313" s="32"/>
      <c r="HH313" s="32"/>
      <c r="HI313" s="32"/>
      <c r="HJ313" s="32"/>
      <c r="HK313" s="32"/>
      <c r="HL313" s="32"/>
      <c r="HM313" s="32"/>
      <c r="HN313" s="32"/>
      <c r="HO313" s="32"/>
      <c r="HP313" s="32"/>
      <c r="HQ313" s="32"/>
      <c r="HR313" s="32"/>
      <c r="HS313" s="32"/>
      <c r="HT313" s="32"/>
      <c r="HU313" s="32"/>
      <c r="HV313" s="32"/>
      <c r="HW313" s="32"/>
      <c r="HX313" s="32"/>
      <c r="HY313" s="32"/>
      <c r="HZ313" s="32"/>
      <c r="IA313" s="32"/>
      <c r="IB313" s="32"/>
      <c r="IC313" s="32"/>
      <c r="ID313" s="32"/>
      <c r="IE313" s="32"/>
      <c r="IF313" s="32"/>
      <c r="IG313" s="32"/>
      <c r="IH313" s="32"/>
      <c r="II313" s="32"/>
      <c r="IJ313" s="32"/>
      <c r="IK313" s="32"/>
      <c r="IL313" s="32"/>
      <c r="IM313" s="32"/>
      <c r="IN313" s="32"/>
      <c r="IO313" s="32"/>
      <c r="IP313" s="32"/>
      <c r="IQ313" s="32"/>
      <c r="IR313" s="32"/>
      <c r="IS313" s="32"/>
      <c r="IT313" s="32"/>
      <c r="IU313" s="32"/>
      <c r="IV313" s="32"/>
      <c r="IW313" s="32"/>
      <c r="IX313" s="32"/>
      <c r="IY313" s="32"/>
      <c r="IZ313" s="32"/>
      <c r="JA313" s="32"/>
      <c r="JB313" s="32"/>
      <c r="JC313" s="32"/>
      <c r="JD313" s="32"/>
      <c r="JE313" s="32"/>
      <c r="JF313" s="32"/>
      <c r="JG313" s="32"/>
      <c r="JH313" s="32"/>
      <c r="JI313" s="32"/>
      <c r="JJ313" s="32"/>
      <c r="JK313" s="32"/>
      <c r="JL313" s="32"/>
      <c r="JM313" s="32"/>
      <c r="JN313" s="32"/>
      <c r="JO313" s="32"/>
      <c r="JP313" s="32"/>
      <c r="JQ313" s="32"/>
      <c r="JR313" s="32"/>
      <c r="JS313" s="32"/>
      <c r="JT313" s="32"/>
      <c r="JU313" s="32"/>
      <c r="JV313" s="32"/>
      <c r="JW313" s="32"/>
      <c r="JX313" s="32"/>
      <c r="JY313" s="32"/>
      <c r="JZ313" s="32"/>
      <c r="KA313" s="32"/>
      <c r="KB313" s="32"/>
      <c r="KC313" s="32"/>
      <c r="KD313" s="32"/>
      <c r="KE313" s="32"/>
      <c r="KF313" s="32"/>
      <c r="KG313" s="32"/>
      <c r="KH313" s="32"/>
      <c r="KI313" s="32"/>
      <c r="KJ313" s="32"/>
      <c r="KK313" s="32"/>
      <c r="KL313" s="32"/>
      <c r="KM313" s="32"/>
      <c r="KN313" s="32"/>
      <c r="KO313" s="32"/>
      <c r="KP313" s="32"/>
      <c r="KQ313" s="32"/>
      <c r="KR313" s="32"/>
      <c r="KS313" s="32"/>
      <c r="KT313" s="32"/>
      <c r="KU313" s="32"/>
      <c r="KV313" s="32"/>
      <c r="KW313" s="32"/>
      <c r="KX313" s="32"/>
      <c r="KY313" s="32"/>
      <c r="KZ313" s="32"/>
      <c r="LA313" s="32"/>
      <c r="LB313" s="32"/>
      <c r="LC313" s="32"/>
      <c r="LD313" s="32"/>
      <c r="LE313" s="32"/>
      <c r="LF313" s="32"/>
      <c r="LG313" s="32"/>
      <c r="LH313" s="32"/>
      <c r="LI313" s="32"/>
      <c r="LJ313" s="32"/>
      <c r="LK313" s="32"/>
      <c r="LL313" s="32"/>
      <c r="LM313" s="32"/>
      <c r="LN313" s="32"/>
      <c r="LO313" s="32"/>
      <c r="LP313" s="32"/>
      <c r="LQ313" s="32"/>
      <c r="LR313" s="32"/>
      <c r="LS313" s="32"/>
      <c r="LT313" s="32"/>
      <c r="LU313" s="32"/>
      <c r="LV313" s="32"/>
      <c r="LW313" s="32"/>
      <c r="LX313" s="32"/>
      <c r="LY313" s="32"/>
      <c r="LZ313" s="32"/>
      <c r="MA313" s="32"/>
      <c r="MB313" s="32"/>
      <c r="MC313" s="32"/>
      <c r="MD313" s="32"/>
      <c r="ME313" s="32"/>
      <c r="MF313" s="32"/>
      <c r="MG313" s="32"/>
      <c r="MH313" s="32"/>
      <c r="MI313" s="32"/>
      <c r="MJ313" s="32"/>
      <c r="MK313" s="32"/>
      <c r="ML313" s="32"/>
      <c r="MM313" s="32"/>
      <c r="MN313" s="32"/>
      <c r="MO313" s="32"/>
      <c r="MP313" s="32"/>
      <c r="MQ313" s="32"/>
      <c r="MR313" s="32"/>
      <c r="MS313" s="32"/>
      <c r="MT313" s="32"/>
      <c r="MU313" s="32"/>
      <c r="MV313" s="32"/>
      <c r="MW313" s="32"/>
      <c r="MX313" s="32"/>
      <c r="MY313" s="32"/>
      <c r="MZ313" s="32"/>
      <c r="NA313" s="32"/>
      <c r="NB313" s="32"/>
      <c r="NC313" s="32"/>
      <c r="ND313" s="32"/>
      <c r="NE313" s="32"/>
      <c r="NF313" s="32"/>
      <c r="NG313" s="32"/>
      <c r="NH313" s="32"/>
      <c r="NI313" s="32"/>
      <c r="NJ313" s="32"/>
      <c r="NK313" s="32"/>
      <c r="NL313" s="32"/>
      <c r="NM313" s="32"/>
      <c r="NN313" s="32"/>
      <c r="NO313" s="32"/>
      <c r="NP313" s="32"/>
      <c r="NQ313" s="32"/>
      <c r="NR313" s="32"/>
      <c r="NS313" s="32"/>
      <c r="NT313" s="32"/>
      <c r="NU313" s="32"/>
      <c r="NV313" s="32"/>
      <c r="NW313" s="32"/>
      <c r="NX313" s="32"/>
      <c r="NY313" s="32"/>
      <c r="NZ313" s="32"/>
      <c r="OA313" s="32"/>
      <c r="OB313" s="32"/>
      <c r="OC313" s="32"/>
      <c r="OD313" s="32"/>
      <c r="OE313" s="32"/>
      <c r="OF313" s="32"/>
      <c r="OG313" s="32"/>
      <c r="OH313" s="32"/>
      <c r="OI313" s="32"/>
      <c r="OJ313" s="32"/>
      <c r="OK313" s="32"/>
      <c r="OL313" s="32"/>
      <c r="OM313" s="32"/>
      <c r="ON313" s="32"/>
      <c r="OO313" s="32"/>
      <c r="OP313" s="32"/>
      <c r="OQ313" s="32"/>
      <c r="OR313" s="32"/>
      <c r="OS313" s="32"/>
      <c r="OT313" s="32"/>
      <c r="OU313" s="32"/>
      <c r="OV313" s="32"/>
      <c r="OW313" s="32"/>
      <c r="OX313" s="32"/>
      <c r="OY313" s="32"/>
      <c r="OZ313" s="32"/>
      <c r="PA313" s="32"/>
      <c r="PB313" s="32"/>
      <c r="PC313" s="32"/>
      <c r="PD313" s="32"/>
      <c r="PE313" s="32"/>
      <c r="PF313" s="32"/>
      <c r="PG313" s="32"/>
      <c r="PH313" s="32"/>
      <c r="PI313" s="32"/>
      <c r="PJ313" s="32"/>
      <c r="PK313" s="32"/>
      <c r="PL313" s="32"/>
      <c r="PM313" s="32"/>
      <c r="PN313" s="32"/>
      <c r="PO313" s="32"/>
      <c r="PP313" s="32"/>
      <c r="PQ313" s="32"/>
      <c r="PR313" s="32"/>
      <c r="PS313" s="32"/>
      <c r="PT313" s="32"/>
      <c r="PU313" s="32"/>
      <c r="PV313" s="32"/>
      <c r="PW313" s="32"/>
      <c r="PX313" s="32"/>
      <c r="PY313" s="32"/>
      <c r="PZ313" s="32"/>
      <c r="QA313" s="32"/>
      <c r="QB313" s="32"/>
      <c r="QC313" s="32"/>
      <c r="QD313" s="32"/>
      <c r="QE313" s="32"/>
      <c r="QF313" s="32"/>
      <c r="QG313" s="32"/>
      <c r="QH313" s="32"/>
      <c r="QI313" s="32"/>
      <c r="QJ313" s="32"/>
      <c r="QK313" s="32"/>
      <c r="QL313" s="32"/>
      <c r="QM313" s="32"/>
      <c r="QN313" s="32"/>
      <c r="QO313" s="32"/>
      <c r="QP313" s="32"/>
      <c r="QQ313" s="32"/>
      <c r="QR313" s="32"/>
      <c r="QS313" s="32"/>
      <c r="QT313" s="32"/>
      <c r="QU313" s="32"/>
      <c r="QV313" s="32"/>
      <c r="QW313" s="32"/>
      <c r="QX313" s="32"/>
      <c r="QY313" s="32"/>
      <c r="QZ313" s="32"/>
      <c r="RA313" s="32"/>
      <c r="RB313" s="32"/>
      <c r="RC313" s="32"/>
      <c r="RD313" s="32"/>
      <c r="RE313" s="32"/>
      <c r="RF313" s="32"/>
      <c r="RG313" s="32"/>
      <c r="RH313" s="32"/>
      <c r="RI313" s="32"/>
      <c r="RJ313" s="32"/>
      <c r="RK313" s="32"/>
      <c r="RL313" s="32"/>
      <c r="RM313" s="32"/>
      <c r="RN313" s="32"/>
      <c r="RO313" s="32"/>
      <c r="RP313" s="32"/>
      <c r="RQ313" s="32"/>
      <c r="RR313" s="32"/>
      <c r="RS313" s="32"/>
      <c r="RT313" s="32"/>
      <c r="RU313" s="32"/>
      <c r="RV313" s="32"/>
      <c r="RW313" s="32"/>
      <c r="RX313" s="32"/>
      <c r="RY313" s="32"/>
      <c r="RZ313" s="32"/>
      <c r="SA313" s="32"/>
      <c r="SB313" s="32"/>
      <c r="SC313" s="32"/>
      <c r="SD313" s="32"/>
      <c r="SE313" s="32"/>
      <c r="SF313" s="32"/>
      <c r="SG313" s="32"/>
      <c r="SH313" s="32"/>
      <c r="SI313" s="32"/>
      <c r="SJ313" s="32"/>
      <c r="SK313" s="32"/>
      <c r="SL313" s="32"/>
      <c r="SM313" s="32"/>
      <c r="SN313" s="32"/>
      <c r="SO313" s="32"/>
      <c r="SP313" s="32"/>
      <c r="SQ313" s="32"/>
      <c r="SR313" s="32"/>
      <c r="SS313" s="32"/>
      <c r="ST313" s="32"/>
      <c r="SU313" s="32"/>
      <c r="SV313" s="32"/>
      <c r="SW313" s="32"/>
      <c r="SX313" s="32"/>
      <c r="SY313" s="32"/>
      <c r="SZ313" s="32"/>
      <c r="TA313" s="32"/>
      <c r="TB313" s="32"/>
      <c r="TC313" s="32"/>
      <c r="TD313" s="32"/>
      <c r="TE313" s="32"/>
      <c r="TF313" s="32"/>
      <c r="TG313" s="32"/>
    </row>
    <row r="314" spans="1:527" s="34" customFormat="1" ht="34.5" customHeight="1" x14ac:dyDescent="0.25">
      <c r="A314" s="95" t="s">
        <v>219</v>
      </c>
      <c r="B314" s="108"/>
      <c r="C314" s="108"/>
      <c r="D314" s="76" t="s">
        <v>41</v>
      </c>
      <c r="E314" s="97">
        <f>SUM(E315+E316+E317+E319+E320+E321+E322+E318)</f>
        <v>140550753.34</v>
      </c>
      <c r="F314" s="97">
        <f t="shared" ref="F314:P314" si="181">SUM(F315+F316+F317+F319+F320+F321+F322+F318)</f>
        <v>122793932</v>
      </c>
      <c r="G314" s="97">
        <f t="shared" si="181"/>
        <v>15760200</v>
      </c>
      <c r="H314" s="97">
        <f t="shared" si="181"/>
        <v>376173</v>
      </c>
      <c r="I314" s="97">
        <f t="shared" si="181"/>
        <v>0</v>
      </c>
      <c r="J314" s="97">
        <f t="shared" si="181"/>
        <v>502000</v>
      </c>
      <c r="K314" s="97">
        <f t="shared" si="181"/>
        <v>0</v>
      </c>
      <c r="L314" s="97">
        <f t="shared" si="181"/>
        <v>502000</v>
      </c>
      <c r="M314" s="97">
        <f t="shared" si="181"/>
        <v>0</v>
      </c>
      <c r="N314" s="97">
        <f t="shared" si="181"/>
        <v>0</v>
      </c>
      <c r="O314" s="97">
        <f t="shared" si="181"/>
        <v>0</v>
      </c>
      <c r="P314" s="97">
        <f t="shared" si="181"/>
        <v>141052753.34</v>
      </c>
      <c r="Q314" s="33"/>
      <c r="R314" s="32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  <c r="HP314" s="33"/>
      <c r="HQ314" s="33"/>
      <c r="HR314" s="33"/>
      <c r="HS314" s="33"/>
      <c r="HT314" s="33"/>
      <c r="HU314" s="33"/>
      <c r="HV314" s="33"/>
      <c r="HW314" s="33"/>
      <c r="HX314" s="33"/>
      <c r="HY314" s="33"/>
      <c r="HZ314" s="33"/>
      <c r="IA314" s="33"/>
      <c r="IB314" s="33"/>
      <c r="IC314" s="33"/>
      <c r="ID314" s="33"/>
      <c r="IE314" s="33"/>
      <c r="IF314" s="33"/>
      <c r="IG314" s="33"/>
      <c r="IH314" s="33"/>
      <c r="II314" s="33"/>
      <c r="IJ314" s="33"/>
      <c r="IK314" s="33"/>
      <c r="IL314" s="33"/>
      <c r="IM314" s="33"/>
      <c r="IN314" s="33"/>
      <c r="IO314" s="33"/>
      <c r="IP314" s="33"/>
      <c r="IQ314" s="33"/>
      <c r="IR314" s="33"/>
      <c r="IS314" s="33"/>
      <c r="IT314" s="33"/>
      <c r="IU314" s="33"/>
      <c r="IV314" s="33"/>
      <c r="IW314" s="33"/>
      <c r="IX314" s="33"/>
      <c r="IY314" s="33"/>
      <c r="IZ314" s="33"/>
      <c r="JA314" s="33"/>
      <c r="JB314" s="33"/>
      <c r="JC314" s="33"/>
      <c r="JD314" s="33"/>
      <c r="JE314" s="33"/>
      <c r="JF314" s="33"/>
      <c r="JG314" s="33"/>
      <c r="JH314" s="33"/>
      <c r="JI314" s="33"/>
      <c r="JJ314" s="33"/>
      <c r="JK314" s="33"/>
      <c r="JL314" s="33"/>
      <c r="JM314" s="33"/>
      <c r="JN314" s="33"/>
      <c r="JO314" s="33"/>
      <c r="JP314" s="33"/>
      <c r="JQ314" s="33"/>
      <c r="JR314" s="33"/>
      <c r="JS314" s="33"/>
      <c r="JT314" s="33"/>
      <c r="JU314" s="33"/>
      <c r="JV314" s="33"/>
      <c r="JW314" s="33"/>
      <c r="JX314" s="33"/>
      <c r="JY314" s="33"/>
      <c r="JZ314" s="33"/>
      <c r="KA314" s="33"/>
      <c r="KB314" s="33"/>
      <c r="KC314" s="33"/>
      <c r="KD314" s="33"/>
      <c r="KE314" s="33"/>
      <c r="KF314" s="33"/>
      <c r="KG314" s="33"/>
      <c r="KH314" s="33"/>
      <c r="KI314" s="33"/>
      <c r="KJ314" s="33"/>
      <c r="KK314" s="33"/>
      <c r="KL314" s="33"/>
      <c r="KM314" s="33"/>
      <c r="KN314" s="33"/>
      <c r="KO314" s="33"/>
      <c r="KP314" s="33"/>
      <c r="KQ314" s="33"/>
      <c r="KR314" s="33"/>
      <c r="KS314" s="33"/>
      <c r="KT314" s="33"/>
      <c r="KU314" s="33"/>
      <c r="KV314" s="33"/>
      <c r="KW314" s="33"/>
      <c r="KX314" s="33"/>
      <c r="KY314" s="33"/>
      <c r="KZ314" s="33"/>
      <c r="LA314" s="33"/>
      <c r="LB314" s="33"/>
      <c r="LC314" s="33"/>
      <c r="LD314" s="33"/>
      <c r="LE314" s="33"/>
      <c r="LF314" s="33"/>
      <c r="LG314" s="33"/>
      <c r="LH314" s="33"/>
      <c r="LI314" s="33"/>
      <c r="LJ314" s="33"/>
      <c r="LK314" s="33"/>
      <c r="LL314" s="33"/>
      <c r="LM314" s="33"/>
      <c r="LN314" s="33"/>
      <c r="LO314" s="33"/>
      <c r="LP314" s="33"/>
      <c r="LQ314" s="33"/>
      <c r="LR314" s="33"/>
      <c r="LS314" s="33"/>
      <c r="LT314" s="33"/>
      <c r="LU314" s="33"/>
      <c r="LV314" s="33"/>
      <c r="LW314" s="33"/>
      <c r="LX314" s="33"/>
      <c r="LY314" s="33"/>
      <c r="LZ314" s="33"/>
      <c r="MA314" s="33"/>
      <c r="MB314" s="33"/>
      <c r="MC314" s="33"/>
      <c r="MD314" s="33"/>
      <c r="ME314" s="33"/>
      <c r="MF314" s="33"/>
      <c r="MG314" s="33"/>
      <c r="MH314" s="33"/>
      <c r="MI314" s="33"/>
      <c r="MJ314" s="33"/>
      <c r="MK314" s="33"/>
      <c r="ML314" s="33"/>
      <c r="MM314" s="33"/>
      <c r="MN314" s="33"/>
      <c r="MO314" s="33"/>
      <c r="MP314" s="33"/>
      <c r="MQ314" s="33"/>
      <c r="MR314" s="33"/>
      <c r="MS314" s="33"/>
      <c r="MT314" s="33"/>
      <c r="MU314" s="33"/>
      <c r="MV314" s="33"/>
      <c r="MW314" s="33"/>
      <c r="MX314" s="33"/>
      <c r="MY314" s="33"/>
      <c r="MZ314" s="33"/>
      <c r="NA314" s="33"/>
      <c r="NB314" s="33"/>
      <c r="NC314" s="33"/>
      <c r="ND314" s="33"/>
      <c r="NE314" s="33"/>
      <c r="NF314" s="33"/>
      <c r="NG314" s="33"/>
      <c r="NH314" s="33"/>
      <c r="NI314" s="33"/>
      <c r="NJ314" s="33"/>
      <c r="NK314" s="33"/>
      <c r="NL314" s="33"/>
      <c r="NM314" s="33"/>
      <c r="NN314" s="33"/>
      <c r="NO314" s="33"/>
      <c r="NP314" s="33"/>
      <c r="NQ314" s="33"/>
      <c r="NR314" s="33"/>
      <c r="NS314" s="33"/>
      <c r="NT314" s="33"/>
      <c r="NU314" s="33"/>
      <c r="NV314" s="33"/>
      <c r="NW314" s="33"/>
      <c r="NX314" s="33"/>
      <c r="NY314" s="33"/>
      <c r="NZ314" s="33"/>
      <c r="OA314" s="33"/>
      <c r="OB314" s="33"/>
      <c r="OC314" s="33"/>
      <c r="OD314" s="33"/>
      <c r="OE314" s="33"/>
      <c r="OF314" s="33"/>
      <c r="OG314" s="33"/>
      <c r="OH314" s="33"/>
      <c r="OI314" s="33"/>
      <c r="OJ314" s="33"/>
      <c r="OK314" s="33"/>
      <c r="OL314" s="33"/>
      <c r="OM314" s="33"/>
      <c r="ON314" s="33"/>
      <c r="OO314" s="33"/>
      <c r="OP314" s="33"/>
      <c r="OQ314" s="33"/>
      <c r="OR314" s="33"/>
      <c r="OS314" s="33"/>
      <c r="OT314" s="33"/>
      <c r="OU314" s="33"/>
      <c r="OV314" s="33"/>
      <c r="OW314" s="33"/>
      <c r="OX314" s="33"/>
      <c r="OY314" s="33"/>
      <c r="OZ314" s="33"/>
      <c r="PA314" s="33"/>
      <c r="PB314" s="33"/>
      <c r="PC314" s="33"/>
      <c r="PD314" s="33"/>
      <c r="PE314" s="33"/>
      <c r="PF314" s="33"/>
      <c r="PG314" s="33"/>
      <c r="PH314" s="33"/>
      <c r="PI314" s="33"/>
      <c r="PJ314" s="33"/>
      <c r="PK314" s="33"/>
      <c r="PL314" s="33"/>
      <c r="PM314" s="33"/>
      <c r="PN314" s="33"/>
      <c r="PO314" s="33"/>
      <c r="PP314" s="33"/>
      <c r="PQ314" s="33"/>
      <c r="PR314" s="33"/>
      <c r="PS314" s="33"/>
      <c r="PT314" s="33"/>
      <c r="PU314" s="33"/>
      <c r="PV314" s="33"/>
      <c r="PW314" s="33"/>
      <c r="PX314" s="33"/>
      <c r="PY314" s="33"/>
      <c r="PZ314" s="33"/>
      <c r="QA314" s="33"/>
      <c r="QB314" s="33"/>
      <c r="QC314" s="33"/>
      <c r="QD314" s="33"/>
      <c r="QE314" s="33"/>
      <c r="QF314" s="33"/>
      <c r="QG314" s="33"/>
      <c r="QH314" s="33"/>
      <c r="QI314" s="33"/>
      <c r="QJ314" s="33"/>
      <c r="QK314" s="33"/>
      <c r="QL314" s="33"/>
      <c r="QM314" s="33"/>
      <c r="QN314" s="33"/>
      <c r="QO314" s="33"/>
      <c r="QP314" s="33"/>
      <c r="QQ314" s="33"/>
      <c r="QR314" s="33"/>
      <c r="QS314" s="33"/>
      <c r="QT314" s="33"/>
      <c r="QU314" s="33"/>
      <c r="QV314" s="33"/>
      <c r="QW314" s="33"/>
      <c r="QX314" s="33"/>
      <c r="QY314" s="33"/>
      <c r="QZ314" s="33"/>
      <c r="RA314" s="33"/>
      <c r="RB314" s="33"/>
      <c r="RC314" s="33"/>
      <c r="RD314" s="33"/>
      <c r="RE314" s="33"/>
      <c r="RF314" s="33"/>
      <c r="RG314" s="33"/>
      <c r="RH314" s="33"/>
      <c r="RI314" s="33"/>
      <c r="RJ314" s="33"/>
      <c r="RK314" s="33"/>
      <c r="RL314" s="33"/>
      <c r="RM314" s="33"/>
      <c r="RN314" s="33"/>
      <c r="RO314" s="33"/>
      <c r="RP314" s="33"/>
      <c r="RQ314" s="33"/>
      <c r="RR314" s="33"/>
      <c r="RS314" s="33"/>
      <c r="RT314" s="33"/>
      <c r="RU314" s="33"/>
      <c r="RV314" s="33"/>
      <c r="RW314" s="33"/>
      <c r="RX314" s="33"/>
      <c r="RY314" s="33"/>
      <c r="RZ314" s="33"/>
      <c r="SA314" s="33"/>
      <c r="SB314" s="33"/>
      <c r="SC314" s="33"/>
      <c r="SD314" s="33"/>
      <c r="SE314" s="33"/>
      <c r="SF314" s="33"/>
      <c r="SG314" s="33"/>
      <c r="SH314" s="33"/>
      <c r="SI314" s="33"/>
      <c r="SJ314" s="33"/>
      <c r="SK314" s="33"/>
      <c r="SL314" s="33"/>
      <c r="SM314" s="33"/>
      <c r="SN314" s="33"/>
      <c r="SO314" s="33"/>
      <c r="SP314" s="33"/>
      <c r="SQ314" s="33"/>
      <c r="SR314" s="33"/>
      <c r="SS314" s="33"/>
      <c r="ST314" s="33"/>
      <c r="SU314" s="33"/>
      <c r="SV314" s="33"/>
      <c r="SW314" s="33"/>
      <c r="SX314" s="33"/>
      <c r="SY314" s="33"/>
      <c r="SZ314" s="33"/>
      <c r="TA314" s="33"/>
      <c r="TB314" s="33"/>
      <c r="TC314" s="33"/>
      <c r="TD314" s="33"/>
      <c r="TE314" s="33"/>
      <c r="TF314" s="33"/>
      <c r="TG314" s="33"/>
    </row>
    <row r="315" spans="1:527" s="22" customFormat="1" ht="46.5" customHeight="1" x14ac:dyDescent="0.25">
      <c r="A315" s="59" t="s">
        <v>220</v>
      </c>
      <c r="B315" s="92" t="str">
        <f>'дод 7'!A19</f>
        <v>0160</v>
      </c>
      <c r="C315" s="92" t="str">
        <f>'дод 7'!B19</f>
        <v>0111</v>
      </c>
      <c r="D315" s="36" t="s">
        <v>493</v>
      </c>
      <c r="E315" s="98">
        <f t="shared" ref="E315:E320" si="182">F315+I315</f>
        <v>20250573</v>
      </c>
      <c r="F315" s="98">
        <f>20122100+1000000-1000000+10000+14573+103900</f>
        <v>20250573</v>
      </c>
      <c r="G315" s="98">
        <f>15760200</f>
        <v>15760200</v>
      </c>
      <c r="H315" s="98">
        <f>257700+14573+103900</f>
        <v>376173</v>
      </c>
      <c r="I315" s="98"/>
      <c r="J315" s="98">
        <f>L315+O315</f>
        <v>0</v>
      </c>
      <c r="K315" s="98"/>
      <c r="L315" s="98"/>
      <c r="M315" s="98"/>
      <c r="N315" s="98"/>
      <c r="O315" s="98"/>
      <c r="P315" s="98">
        <f t="shared" ref="P315:P322" si="183">E315+J315</f>
        <v>20250573</v>
      </c>
      <c r="Q315" s="23"/>
      <c r="R315" s="32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  <c r="SQ315" s="23"/>
      <c r="SR315" s="23"/>
      <c r="SS315" s="23"/>
      <c r="ST315" s="23"/>
      <c r="SU315" s="23"/>
      <c r="SV315" s="23"/>
      <c r="SW315" s="23"/>
      <c r="SX315" s="23"/>
      <c r="SY315" s="23"/>
      <c r="SZ315" s="23"/>
      <c r="TA315" s="23"/>
      <c r="TB315" s="23"/>
      <c r="TC315" s="23"/>
      <c r="TD315" s="23"/>
      <c r="TE315" s="23"/>
      <c r="TF315" s="23"/>
      <c r="TG315" s="23"/>
    </row>
    <row r="316" spans="1:527" s="22" customFormat="1" ht="21" customHeight="1" x14ac:dyDescent="0.25">
      <c r="A316" s="59" t="s">
        <v>258</v>
      </c>
      <c r="B316" s="92" t="str">
        <f>'дод 7'!A218</f>
        <v>7640</v>
      </c>
      <c r="C316" s="92" t="str">
        <f>'дод 7'!B218</f>
        <v>0470</v>
      </c>
      <c r="D316" s="60" t="s">
        <v>422</v>
      </c>
      <c r="E316" s="98">
        <f t="shared" si="182"/>
        <v>330040</v>
      </c>
      <c r="F316" s="98">
        <f>426000-9800-70000-16160</f>
        <v>330040</v>
      </c>
      <c r="G316" s="98"/>
      <c r="H316" s="98"/>
      <c r="I316" s="98"/>
      <c r="J316" s="98">
        <f t="shared" ref="J316:J322" si="184">L316+O316</f>
        <v>0</v>
      </c>
      <c r="K316" s="98"/>
      <c r="L316" s="98"/>
      <c r="M316" s="98"/>
      <c r="N316" s="98"/>
      <c r="O316" s="98"/>
      <c r="P316" s="98">
        <f t="shared" si="183"/>
        <v>330040</v>
      </c>
      <c r="Q316" s="23"/>
      <c r="R316" s="32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  <c r="IW316" s="23"/>
      <c r="IX316" s="23"/>
      <c r="IY316" s="23"/>
      <c r="IZ316" s="23"/>
      <c r="JA316" s="23"/>
      <c r="JB316" s="23"/>
      <c r="JC316" s="23"/>
      <c r="JD316" s="23"/>
      <c r="JE316" s="23"/>
      <c r="JF316" s="23"/>
      <c r="JG316" s="23"/>
      <c r="JH316" s="23"/>
      <c r="JI316" s="23"/>
      <c r="JJ316" s="23"/>
      <c r="JK316" s="23"/>
      <c r="JL316" s="23"/>
      <c r="JM316" s="23"/>
      <c r="JN316" s="23"/>
      <c r="JO316" s="23"/>
      <c r="JP316" s="23"/>
      <c r="JQ316" s="23"/>
      <c r="JR316" s="23"/>
      <c r="JS316" s="23"/>
      <c r="JT316" s="23"/>
      <c r="JU316" s="23"/>
      <c r="JV316" s="23"/>
      <c r="JW316" s="23"/>
      <c r="JX316" s="23"/>
      <c r="JY316" s="23"/>
      <c r="JZ316" s="23"/>
      <c r="KA316" s="23"/>
      <c r="KB316" s="23"/>
      <c r="KC316" s="23"/>
      <c r="KD316" s="23"/>
      <c r="KE316" s="23"/>
      <c r="KF316" s="23"/>
      <c r="KG316" s="23"/>
      <c r="KH316" s="23"/>
      <c r="KI316" s="23"/>
      <c r="KJ316" s="23"/>
      <c r="KK316" s="23"/>
      <c r="KL316" s="23"/>
      <c r="KM316" s="23"/>
      <c r="KN316" s="23"/>
      <c r="KO316" s="23"/>
      <c r="KP316" s="23"/>
      <c r="KQ316" s="23"/>
      <c r="KR316" s="23"/>
      <c r="KS316" s="23"/>
      <c r="KT316" s="23"/>
      <c r="KU316" s="23"/>
      <c r="KV316" s="23"/>
      <c r="KW316" s="23"/>
      <c r="KX316" s="23"/>
      <c r="KY316" s="23"/>
      <c r="KZ316" s="23"/>
      <c r="LA316" s="23"/>
      <c r="LB316" s="23"/>
      <c r="LC316" s="23"/>
      <c r="LD316" s="23"/>
      <c r="LE316" s="23"/>
      <c r="LF316" s="23"/>
      <c r="LG316" s="23"/>
      <c r="LH316" s="23"/>
      <c r="LI316" s="23"/>
      <c r="LJ316" s="23"/>
      <c r="LK316" s="23"/>
      <c r="LL316" s="23"/>
      <c r="LM316" s="23"/>
      <c r="LN316" s="23"/>
      <c r="LO316" s="23"/>
      <c r="LP316" s="23"/>
      <c r="LQ316" s="23"/>
      <c r="LR316" s="23"/>
      <c r="LS316" s="23"/>
      <c r="LT316" s="23"/>
      <c r="LU316" s="23"/>
      <c r="LV316" s="23"/>
      <c r="LW316" s="23"/>
      <c r="LX316" s="23"/>
      <c r="LY316" s="23"/>
      <c r="LZ316" s="23"/>
      <c r="MA316" s="23"/>
      <c r="MB316" s="23"/>
      <c r="MC316" s="23"/>
      <c r="MD316" s="23"/>
      <c r="ME316" s="23"/>
      <c r="MF316" s="23"/>
      <c r="MG316" s="23"/>
      <c r="MH316" s="23"/>
      <c r="MI316" s="23"/>
      <c r="MJ316" s="23"/>
      <c r="MK316" s="23"/>
      <c r="ML316" s="23"/>
      <c r="MM316" s="23"/>
      <c r="MN316" s="23"/>
      <c r="MO316" s="23"/>
      <c r="MP316" s="23"/>
      <c r="MQ316" s="23"/>
      <c r="MR316" s="23"/>
      <c r="MS316" s="23"/>
      <c r="MT316" s="23"/>
      <c r="MU316" s="23"/>
      <c r="MV316" s="23"/>
      <c r="MW316" s="23"/>
      <c r="MX316" s="23"/>
      <c r="MY316" s="23"/>
      <c r="MZ316" s="23"/>
      <c r="NA316" s="23"/>
      <c r="NB316" s="23"/>
      <c r="NC316" s="23"/>
      <c r="ND316" s="23"/>
      <c r="NE316" s="23"/>
      <c r="NF316" s="23"/>
      <c r="NG316" s="23"/>
      <c r="NH316" s="23"/>
      <c r="NI316" s="23"/>
      <c r="NJ316" s="23"/>
      <c r="NK316" s="23"/>
      <c r="NL316" s="23"/>
      <c r="NM316" s="23"/>
      <c r="NN316" s="23"/>
      <c r="NO316" s="23"/>
      <c r="NP316" s="23"/>
      <c r="NQ316" s="23"/>
      <c r="NR316" s="23"/>
      <c r="NS316" s="23"/>
      <c r="NT316" s="23"/>
      <c r="NU316" s="23"/>
      <c r="NV316" s="23"/>
      <c r="NW316" s="23"/>
      <c r="NX316" s="23"/>
      <c r="NY316" s="23"/>
      <c r="NZ316" s="23"/>
      <c r="OA316" s="23"/>
      <c r="OB316" s="23"/>
      <c r="OC316" s="23"/>
      <c r="OD316" s="23"/>
      <c r="OE316" s="23"/>
      <c r="OF316" s="23"/>
      <c r="OG316" s="23"/>
      <c r="OH316" s="23"/>
      <c r="OI316" s="23"/>
      <c r="OJ316" s="23"/>
      <c r="OK316" s="23"/>
      <c r="OL316" s="23"/>
      <c r="OM316" s="23"/>
      <c r="ON316" s="23"/>
      <c r="OO316" s="23"/>
      <c r="OP316" s="23"/>
      <c r="OQ316" s="23"/>
      <c r="OR316" s="23"/>
      <c r="OS316" s="23"/>
      <c r="OT316" s="23"/>
      <c r="OU316" s="23"/>
      <c r="OV316" s="23"/>
      <c r="OW316" s="23"/>
      <c r="OX316" s="23"/>
      <c r="OY316" s="23"/>
      <c r="OZ316" s="23"/>
      <c r="PA316" s="23"/>
      <c r="PB316" s="23"/>
      <c r="PC316" s="23"/>
      <c r="PD316" s="23"/>
      <c r="PE316" s="23"/>
      <c r="PF316" s="23"/>
      <c r="PG316" s="23"/>
      <c r="PH316" s="23"/>
      <c r="PI316" s="23"/>
      <c r="PJ316" s="23"/>
      <c r="PK316" s="23"/>
      <c r="PL316" s="23"/>
      <c r="PM316" s="23"/>
      <c r="PN316" s="23"/>
      <c r="PO316" s="23"/>
      <c r="PP316" s="23"/>
      <c r="PQ316" s="23"/>
      <c r="PR316" s="23"/>
      <c r="PS316" s="23"/>
      <c r="PT316" s="23"/>
      <c r="PU316" s="23"/>
      <c r="PV316" s="23"/>
      <c r="PW316" s="23"/>
      <c r="PX316" s="23"/>
      <c r="PY316" s="23"/>
      <c r="PZ316" s="23"/>
      <c r="QA316" s="23"/>
      <c r="QB316" s="23"/>
      <c r="QC316" s="23"/>
      <c r="QD316" s="23"/>
      <c r="QE316" s="23"/>
      <c r="QF316" s="23"/>
      <c r="QG316" s="23"/>
      <c r="QH316" s="23"/>
      <c r="QI316" s="23"/>
      <c r="QJ316" s="23"/>
      <c r="QK316" s="23"/>
      <c r="QL316" s="23"/>
      <c r="QM316" s="23"/>
      <c r="QN316" s="23"/>
      <c r="QO316" s="23"/>
      <c r="QP316" s="23"/>
      <c r="QQ316" s="23"/>
      <c r="QR316" s="23"/>
      <c r="QS316" s="23"/>
      <c r="QT316" s="23"/>
      <c r="QU316" s="23"/>
      <c r="QV316" s="23"/>
      <c r="QW316" s="23"/>
      <c r="QX316" s="23"/>
      <c r="QY316" s="23"/>
      <c r="QZ316" s="23"/>
      <c r="RA316" s="23"/>
      <c r="RB316" s="23"/>
      <c r="RC316" s="23"/>
      <c r="RD316" s="23"/>
      <c r="RE316" s="23"/>
      <c r="RF316" s="23"/>
      <c r="RG316" s="23"/>
      <c r="RH316" s="23"/>
      <c r="RI316" s="23"/>
      <c r="RJ316" s="23"/>
      <c r="RK316" s="23"/>
      <c r="RL316" s="23"/>
      <c r="RM316" s="23"/>
      <c r="RN316" s="23"/>
      <c r="RO316" s="23"/>
      <c r="RP316" s="23"/>
      <c r="RQ316" s="23"/>
      <c r="RR316" s="23"/>
      <c r="RS316" s="23"/>
      <c r="RT316" s="23"/>
      <c r="RU316" s="23"/>
      <c r="RV316" s="23"/>
      <c r="RW316" s="23"/>
      <c r="RX316" s="23"/>
      <c r="RY316" s="23"/>
      <c r="RZ316" s="23"/>
      <c r="SA316" s="23"/>
      <c r="SB316" s="23"/>
      <c r="SC316" s="23"/>
      <c r="SD316" s="23"/>
      <c r="SE316" s="23"/>
      <c r="SF316" s="23"/>
      <c r="SG316" s="23"/>
      <c r="SH316" s="23"/>
      <c r="SI316" s="23"/>
      <c r="SJ316" s="23"/>
      <c r="SK316" s="23"/>
      <c r="SL316" s="23"/>
      <c r="SM316" s="23"/>
      <c r="SN316" s="23"/>
      <c r="SO316" s="23"/>
      <c r="SP316" s="23"/>
      <c r="SQ316" s="23"/>
      <c r="SR316" s="23"/>
      <c r="SS316" s="23"/>
      <c r="ST316" s="23"/>
      <c r="SU316" s="23"/>
      <c r="SV316" s="23"/>
      <c r="SW316" s="23"/>
      <c r="SX316" s="23"/>
      <c r="SY316" s="23"/>
      <c r="SZ316" s="23"/>
      <c r="TA316" s="23"/>
      <c r="TB316" s="23"/>
      <c r="TC316" s="23"/>
      <c r="TD316" s="23"/>
      <c r="TE316" s="23"/>
      <c r="TF316" s="23"/>
      <c r="TG316" s="23"/>
    </row>
    <row r="317" spans="1:527" s="22" customFormat="1" ht="29.25" customHeight="1" x14ac:dyDescent="0.25">
      <c r="A317" s="59" t="s">
        <v>330</v>
      </c>
      <c r="B317" s="92" t="str">
        <f>'дод 7'!A226</f>
        <v>7693</v>
      </c>
      <c r="C317" s="92" t="str">
        <f>'дод 7'!B226</f>
        <v>0490</v>
      </c>
      <c r="D317" s="60" t="str">
        <f>'дод 7'!C226</f>
        <v>Інші заходи, пов'язані з економічною діяльністю</v>
      </c>
      <c r="E317" s="98">
        <f t="shared" si="182"/>
        <v>181380</v>
      </c>
      <c r="F317" s="98">
        <f>483750-130750-10000-50000-85500-26120</f>
        <v>181380</v>
      </c>
      <c r="G317" s="98"/>
      <c r="H317" s="98"/>
      <c r="I317" s="98"/>
      <c r="J317" s="98">
        <f t="shared" si="184"/>
        <v>0</v>
      </c>
      <c r="K317" s="98"/>
      <c r="L317" s="98"/>
      <c r="M317" s="98"/>
      <c r="N317" s="98"/>
      <c r="O317" s="98"/>
      <c r="P317" s="98">
        <f t="shared" si="183"/>
        <v>181380</v>
      </c>
      <c r="Q317" s="23"/>
      <c r="R317" s="32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  <c r="IW317" s="23"/>
      <c r="IX317" s="23"/>
      <c r="IY317" s="23"/>
      <c r="IZ317" s="23"/>
      <c r="JA317" s="23"/>
      <c r="JB317" s="23"/>
      <c r="JC317" s="23"/>
      <c r="JD317" s="23"/>
      <c r="JE317" s="23"/>
      <c r="JF317" s="23"/>
      <c r="JG317" s="23"/>
      <c r="JH317" s="23"/>
      <c r="JI317" s="23"/>
      <c r="JJ317" s="23"/>
      <c r="JK317" s="23"/>
      <c r="JL317" s="23"/>
      <c r="JM317" s="23"/>
      <c r="JN317" s="23"/>
      <c r="JO317" s="23"/>
      <c r="JP317" s="23"/>
      <c r="JQ317" s="23"/>
      <c r="JR317" s="23"/>
      <c r="JS317" s="23"/>
      <c r="JT317" s="23"/>
      <c r="JU317" s="23"/>
      <c r="JV317" s="23"/>
      <c r="JW317" s="23"/>
      <c r="JX317" s="23"/>
      <c r="JY317" s="23"/>
      <c r="JZ317" s="23"/>
      <c r="KA317" s="23"/>
      <c r="KB317" s="23"/>
      <c r="KC317" s="23"/>
      <c r="KD317" s="23"/>
      <c r="KE317" s="23"/>
      <c r="KF317" s="23"/>
      <c r="KG317" s="23"/>
      <c r="KH317" s="23"/>
      <c r="KI317" s="23"/>
      <c r="KJ317" s="23"/>
      <c r="KK317" s="23"/>
      <c r="KL317" s="23"/>
      <c r="KM317" s="23"/>
      <c r="KN317" s="23"/>
      <c r="KO317" s="23"/>
      <c r="KP317" s="23"/>
      <c r="KQ317" s="23"/>
      <c r="KR317" s="23"/>
      <c r="KS317" s="23"/>
      <c r="KT317" s="23"/>
      <c r="KU317" s="23"/>
      <c r="KV317" s="23"/>
      <c r="KW317" s="23"/>
      <c r="KX317" s="23"/>
      <c r="KY317" s="23"/>
      <c r="KZ317" s="23"/>
      <c r="LA317" s="23"/>
      <c r="LB317" s="23"/>
      <c r="LC317" s="23"/>
      <c r="LD317" s="23"/>
      <c r="LE317" s="23"/>
      <c r="LF317" s="23"/>
      <c r="LG317" s="23"/>
      <c r="LH317" s="23"/>
      <c r="LI317" s="23"/>
      <c r="LJ317" s="23"/>
      <c r="LK317" s="23"/>
      <c r="LL317" s="23"/>
      <c r="LM317" s="23"/>
      <c r="LN317" s="23"/>
      <c r="LO317" s="23"/>
      <c r="LP317" s="23"/>
      <c r="LQ317" s="23"/>
      <c r="LR317" s="23"/>
      <c r="LS317" s="23"/>
      <c r="LT317" s="23"/>
      <c r="LU317" s="23"/>
      <c r="LV317" s="23"/>
      <c r="LW317" s="23"/>
      <c r="LX317" s="23"/>
      <c r="LY317" s="23"/>
      <c r="LZ317" s="23"/>
      <c r="MA317" s="23"/>
      <c r="MB317" s="23"/>
      <c r="MC317" s="23"/>
      <c r="MD317" s="23"/>
      <c r="ME317" s="23"/>
      <c r="MF317" s="23"/>
      <c r="MG317" s="23"/>
      <c r="MH317" s="23"/>
      <c r="MI317" s="23"/>
      <c r="MJ317" s="23"/>
      <c r="MK317" s="23"/>
      <c r="ML317" s="23"/>
      <c r="MM317" s="23"/>
      <c r="MN317" s="23"/>
      <c r="MO317" s="23"/>
      <c r="MP317" s="23"/>
      <c r="MQ317" s="23"/>
      <c r="MR317" s="23"/>
      <c r="MS317" s="23"/>
      <c r="MT317" s="23"/>
      <c r="MU317" s="23"/>
      <c r="MV317" s="23"/>
      <c r="MW317" s="23"/>
      <c r="MX317" s="23"/>
      <c r="MY317" s="23"/>
      <c r="MZ317" s="23"/>
      <c r="NA317" s="23"/>
      <c r="NB317" s="23"/>
      <c r="NC317" s="23"/>
      <c r="ND317" s="23"/>
      <c r="NE317" s="23"/>
      <c r="NF317" s="23"/>
      <c r="NG317" s="23"/>
      <c r="NH317" s="23"/>
      <c r="NI317" s="23"/>
      <c r="NJ317" s="23"/>
      <c r="NK317" s="23"/>
      <c r="NL317" s="23"/>
      <c r="NM317" s="23"/>
      <c r="NN317" s="23"/>
      <c r="NO317" s="23"/>
      <c r="NP317" s="23"/>
      <c r="NQ317" s="23"/>
      <c r="NR317" s="23"/>
      <c r="NS317" s="23"/>
      <c r="NT317" s="23"/>
      <c r="NU317" s="23"/>
      <c r="NV317" s="23"/>
      <c r="NW317" s="23"/>
      <c r="NX317" s="23"/>
      <c r="NY317" s="23"/>
      <c r="NZ317" s="23"/>
      <c r="OA317" s="23"/>
      <c r="OB317" s="23"/>
      <c r="OC317" s="23"/>
      <c r="OD317" s="23"/>
      <c r="OE317" s="23"/>
      <c r="OF317" s="23"/>
      <c r="OG317" s="23"/>
      <c r="OH317" s="23"/>
      <c r="OI317" s="23"/>
      <c r="OJ317" s="23"/>
      <c r="OK317" s="23"/>
      <c r="OL317" s="23"/>
      <c r="OM317" s="23"/>
      <c r="ON317" s="23"/>
      <c r="OO317" s="23"/>
      <c r="OP317" s="23"/>
      <c r="OQ317" s="23"/>
      <c r="OR317" s="23"/>
      <c r="OS317" s="23"/>
      <c r="OT317" s="23"/>
      <c r="OU317" s="23"/>
      <c r="OV317" s="23"/>
      <c r="OW317" s="23"/>
      <c r="OX317" s="23"/>
      <c r="OY317" s="23"/>
      <c r="OZ317" s="23"/>
      <c r="PA317" s="23"/>
      <c r="PB317" s="23"/>
      <c r="PC317" s="23"/>
      <c r="PD317" s="23"/>
      <c r="PE317" s="23"/>
      <c r="PF317" s="23"/>
      <c r="PG317" s="23"/>
      <c r="PH317" s="23"/>
      <c r="PI317" s="23"/>
      <c r="PJ317" s="23"/>
      <c r="PK317" s="23"/>
      <c r="PL317" s="23"/>
      <c r="PM317" s="23"/>
      <c r="PN317" s="23"/>
      <c r="PO317" s="23"/>
      <c r="PP317" s="23"/>
      <c r="PQ317" s="23"/>
      <c r="PR317" s="23"/>
      <c r="PS317" s="23"/>
      <c r="PT317" s="23"/>
      <c r="PU317" s="23"/>
      <c r="PV317" s="23"/>
      <c r="PW317" s="23"/>
      <c r="PX317" s="23"/>
      <c r="PY317" s="23"/>
      <c r="PZ317" s="23"/>
      <c r="QA317" s="23"/>
      <c r="QB317" s="23"/>
      <c r="QC317" s="23"/>
      <c r="QD317" s="23"/>
      <c r="QE317" s="23"/>
      <c r="QF317" s="23"/>
      <c r="QG317" s="23"/>
      <c r="QH317" s="23"/>
      <c r="QI317" s="23"/>
      <c r="QJ317" s="23"/>
      <c r="QK317" s="23"/>
      <c r="QL317" s="23"/>
      <c r="QM317" s="23"/>
      <c r="QN317" s="23"/>
      <c r="QO317" s="23"/>
      <c r="QP317" s="23"/>
      <c r="QQ317" s="23"/>
      <c r="QR317" s="23"/>
      <c r="QS317" s="23"/>
      <c r="QT317" s="23"/>
      <c r="QU317" s="23"/>
      <c r="QV317" s="23"/>
      <c r="QW317" s="23"/>
      <c r="QX317" s="23"/>
      <c r="QY317" s="23"/>
      <c r="QZ317" s="23"/>
      <c r="RA317" s="23"/>
      <c r="RB317" s="23"/>
      <c r="RC317" s="23"/>
      <c r="RD317" s="23"/>
      <c r="RE317" s="23"/>
      <c r="RF317" s="23"/>
      <c r="RG317" s="23"/>
      <c r="RH317" s="23"/>
      <c r="RI317" s="23"/>
      <c r="RJ317" s="23"/>
      <c r="RK317" s="23"/>
      <c r="RL317" s="23"/>
      <c r="RM317" s="23"/>
      <c r="RN317" s="23"/>
      <c r="RO317" s="23"/>
      <c r="RP317" s="23"/>
      <c r="RQ317" s="23"/>
      <c r="RR317" s="23"/>
      <c r="RS317" s="23"/>
      <c r="RT317" s="23"/>
      <c r="RU317" s="23"/>
      <c r="RV317" s="23"/>
      <c r="RW317" s="23"/>
      <c r="RX317" s="23"/>
      <c r="RY317" s="23"/>
      <c r="RZ317" s="23"/>
      <c r="SA317" s="23"/>
      <c r="SB317" s="23"/>
      <c r="SC317" s="23"/>
      <c r="SD317" s="23"/>
      <c r="SE317" s="23"/>
      <c r="SF317" s="23"/>
      <c r="SG317" s="23"/>
      <c r="SH317" s="23"/>
      <c r="SI317" s="23"/>
      <c r="SJ317" s="23"/>
      <c r="SK317" s="23"/>
      <c r="SL317" s="23"/>
      <c r="SM317" s="23"/>
      <c r="SN317" s="23"/>
      <c r="SO317" s="23"/>
      <c r="SP317" s="23"/>
      <c r="SQ317" s="23"/>
      <c r="SR317" s="23"/>
      <c r="SS317" s="23"/>
      <c r="ST317" s="23"/>
      <c r="SU317" s="23"/>
      <c r="SV317" s="23"/>
      <c r="SW317" s="23"/>
      <c r="SX317" s="23"/>
      <c r="SY317" s="23"/>
      <c r="SZ317" s="23"/>
      <c r="TA317" s="23"/>
      <c r="TB317" s="23"/>
      <c r="TC317" s="23"/>
      <c r="TD317" s="23"/>
      <c r="TE317" s="23"/>
      <c r="TF317" s="23"/>
      <c r="TG317" s="23"/>
    </row>
    <row r="318" spans="1:527" s="22" customFormat="1" ht="42.75" customHeight="1" x14ac:dyDescent="0.25">
      <c r="A318" s="59">
        <v>3718330</v>
      </c>
      <c r="B318" s="92">
        <f>'дод 7'!A239</f>
        <v>8330</v>
      </c>
      <c r="C318" s="59" t="s">
        <v>92</v>
      </c>
      <c r="D318" s="60" t="str">
        <f>'дод 7'!C239</f>
        <v xml:space="preserve">Інша діяльність у сфері екології та охорони природних ресурсів </v>
      </c>
      <c r="E318" s="98">
        <f t="shared" si="182"/>
        <v>75000</v>
      </c>
      <c r="F318" s="98">
        <v>75000</v>
      </c>
      <c r="G318" s="98"/>
      <c r="H318" s="98"/>
      <c r="I318" s="98"/>
      <c r="J318" s="98">
        <f t="shared" si="184"/>
        <v>0</v>
      </c>
      <c r="K318" s="98"/>
      <c r="L318" s="98"/>
      <c r="M318" s="98"/>
      <c r="N318" s="98"/>
      <c r="O318" s="98"/>
      <c r="P318" s="98">
        <f t="shared" si="183"/>
        <v>75000</v>
      </c>
      <c r="Q318" s="23"/>
      <c r="R318" s="32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3"/>
      <c r="IR318" s="23"/>
      <c r="IS318" s="23"/>
      <c r="IT318" s="23"/>
      <c r="IU318" s="23"/>
      <c r="IV318" s="23"/>
      <c r="IW318" s="23"/>
      <c r="IX318" s="23"/>
      <c r="IY318" s="23"/>
      <c r="IZ318" s="23"/>
      <c r="JA318" s="23"/>
      <c r="JB318" s="23"/>
      <c r="JC318" s="23"/>
      <c r="JD318" s="23"/>
      <c r="JE318" s="23"/>
      <c r="JF318" s="23"/>
      <c r="JG318" s="23"/>
      <c r="JH318" s="23"/>
      <c r="JI318" s="23"/>
      <c r="JJ318" s="23"/>
      <c r="JK318" s="23"/>
      <c r="JL318" s="23"/>
      <c r="JM318" s="23"/>
      <c r="JN318" s="23"/>
      <c r="JO318" s="23"/>
      <c r="JP318" s="23"/>
      <c r="JQ318" s="23"/>
      <c r="JR318" s="23"/>
      <c r="JS318" s="23"/>
      <c r="JT318" s="23"/>
      <c r="JU318" s="23"/>
      <c r="JV318" s="23"/>
      <c r="JW318" s="23"/>
      <c r="JX318" s="23"/>
      <c r="JY318" s="23"/>
      <c r="JZ318" s="23"/>
      <c r="KA318" s="23"/>
      <c r="KB318" s="23"/>
      <c r="KC318" s="23"/>
      <c r="KD318" s="23"/>
      <c r="KE318" s="23"/>
      <c r="KF318" s="23"/>
      <c r="KG318" s="23"/>
      <c r="KH318" s="23"/>
      <c r="KI318" s="23"/>
      <c r="KJ318" s="23"/>
      <c r="KK318" s="23"/>
      <c r="KL318" s="23"/>
      <c r="KM318" s="23"/>
      <c r="KN318" s="23"/>
      <c r="KO318" s="23"/>
      <c r="KP318" s="23"/>
      <c r="KQ318" s="23"/>
      <c r="KR318" s="23"/>
      <c r="KS318" s="23"/>
      <c r="KT318" s="23"/>
      <c r="KU318" s="23"/>
      <c r="KV318" s="23"/>
      <c r="KW318" s="23"/>
      <c r="KX318" s="23"/>
      <c r="KY318" s="23"/>
      <c r="KZ318" s="23"/>
      <c r="LA318" s="23"/>
      <c r="LB318" s="23"/>
      <c r="LC318" s="23"/>
      <c r="LD318" s="23"/>
      <c r="LE318" s="23"/>
      <c r="LF318" s="23"/>
      <c r="LG318" s="23"/>
      <c r="LH318" s="23"/>
      <c r="LI318" s="23"/>
      <c r="LJ318" s="23"/>
      <c r="LK318" s="23"/>
      <c r="LL318" s="23"/>
      <c r="LM318" s="23"/>
      <c r="LN318" s="23"/>
      <c r="LO318" s="23"/>
      <c r="LP318" s="23"/>
      <c r="LQ318" s="23"/>
      <c r="LR318" s="23"/>
      <c r="LS318" s="23"/>
      <c r="LT318" s="23"/>
      <c r="LU318" s="23"/>
      <c r="LV318" s="23"/>
      <c r="LW318" s="23"/>
      <c r="LX318" s="23"/>
      <c r="LY318" s="23"/>
      <c r="LZ318" s="23"/>
      <c r="MA318" s="23"/>
      <c r="MB318" s="23"/>
      <c r="MC318" s="23"/>
      <c r="MD318" s="23"/>
      <c r="ME318" s="23"/>
      <c r="MF318" s="23"/>
      <c r="MG318" s="23"/>
      <c r="MH318" s="23"/>
      <c r="MI318" s="23"/>
      <c r="MJ318" s="23"/>
      <c r="MK318" s="23"/>
      <c r="ML318" s="23"/>
      <c r="MM318" s="23"/>
      <c r="MN318" s="23"/>
      <c r="MO318" s="23"/>
      <c r="MP318" s="23"/>
      <c r="MQ318" s="23"/>
      <c r="MR318" s="23"/>
      <c r="MS318" s="23"/>
      <c r="MT318" s="23"/>
      <c r="MU318" s="23"/>
      <c r="MV318" s="23"/>
      <c r="MW318" s="23"/>
      <c r="MX318" s="23"/>
      <c r="MY318" s="23"/>
      <c r="MZ318" s="23"/>
      <c r="NA318" s="23"/>
      <c r="NB318" s="23"/>
      <c r="NC318" s="23"/>
      <c r="ND318" s="23"/>
      <c r="NE318" s="23"/>
      <c r="NF318" s="23"/>
      <c r="NG318" s="23"/>
      <c r="NH318" s="23"/>
      <c r="NI318" s="23"/>
      <c r="NJ318" s="23"/>
      <c r="NK318" s="23"/>
      <c r="NL318" s="23"/>
      <c r="NM318" s="23"/>
      <c r="NN318" s="23"/>
      <c r="NO318" s="23"/>
      <c r="NP318" s="23"/>
      <c r="NQ318" s="23"/>
      <c r="NR318" s="23"/>
      <c r="NS318" s="23"/>
      <c r="NT318" s="23"/>
      <c r="NU318" s="23"/>
      <c r="NV318" s="23"/>
      <c r="NW318" s="23"/>
      <c r="NX318" s="23"/>
      <c r="NY318" s="23"/>
      <c r="NZ318" s="23"/>
      <c r="OA318" s="23"/>
      <c r="OB318" s="23"/>
      <c r="OC318" s="23"/>
      <c r="OD318" s="23"/>
      <c r="OE318" s="23"/>
      <c r="OF318" s="23"/>
      <c r="OG318" s="23"/>
      <c r="OH318" s="23"/>
      <c r="OI318" s="23"/>
      <c r="OJ318" s="23"/>
      <c r="OK318" s="23"/>
      <c r="OL318" s="23"/>
      <c r="OM318" s="23"/>
      <c r="ON318" s="23"/>
      <c r="OO318" s="23"/>
      <c r="OP318" s="23"/>
      <c r="OQ318" s="23"/>
      <c r="OR318" s="23"/>
      <c r="OS318" s="23"/>
      <c r="OT318" s="23"/>
      <c r="OU318" s="23"/>
      <c r="OV318" s="23"/>
      <c r="OW318" s="23"/>
      <c r="OX318" s="23"/>
      <c r="OY318" s="23"/>
      <c r="OZ318" s="23"/>
      <c r="PA318" s="23"/>
      <c r="PB318" s="23"/>
      <c r="PC318" s="23"/>
      <c r="PD318" s="23"/>
      <c r="PE318" s="23"/>
      <c r="PF318" s="23"/>
      <c r="PG318" s="23"/>
      <c r="PH318" s="23"/>
      <c r="PI318" s="23"/>
      <c r="PJ318" s="23"/>
      <c r="PK318" s="23"/>
      <c r="PL318" s="23"/>
      <c r="PM318" s="23"/>
      <c r="PN318" s="23"/>
      <c r="PO318" s="23"/>
      <c r="PP318" s="23"/>
      <c r="PQ318" s="23"/>
      <c r="PR318" s="23"/>
      <c r="PS318" s="23"/>
      <c r="PT318" s="23"/>
      <c r="PU318" s="23"/>
      <c r="PV318" s="23"/>
      <c r="PW318" s="23"/>
      <c r="PX318" s="23"/>
      <c r="PY318" s="23"/>
      <c r="PZ318" s="23"/>
      <c r="QA318" s="23"/>
      <c r="QB318" s="23"/>
      <c r="QC318" s="23"/>
      <c r="QD318" s="23"/>
      <c r="QE318" s="23"/>
      <c r="QF318" s="23"/>
      <c r="QG318" s="23"/>
      <c r="QH318" s="23"/>
      <c r="QI318" s="23"/>
      <c r="QJ318" s="23"/>
      <c r="QK318" s="23"/>
      <c r="QL318" s="23"/>
      <c r="QM318" s="23"/>
      <c r="QN318" s="23"/>
      <c r="QO318" s="23"/>
      <c r="QP318" s="23"/>
      <c r="QQ318" s="23"/>
      <c r="QR318" s="23"/>
      <c r="QS318" s="23"/>
      <c r="QT318" s="23"/>
      <c r="QU318" s="23"/>
      <c r="QV318" s="23"/>
      <c r="QW318" s="23"/>
      <c r="QX318" s="23"/>
      <c r="QY318" s="23"/>
      <c r="QZ318" s="23"/>
      <c r="RA318" s="23"/>
      <c r="RB318" s="23"/>
      <c r="RC318" s="23"/>
      <c r="RD318" s="23"/>
      <c r="RE318" s="23"/>
      <c r="RF318" s="23"/>
      <c r="RG318" s="23"/>
      <c r="RH318" s="23"/>
      <c r="RI318" s="23"/>
      <c r="RJ318" s="23"/>
      <c r="RK318" s="23"/>
      <c r="RL318" s="23"/>
      <c r="RM318" s="23"/>
      <c r="RN318" s="23"/>
      <c r="RO318" s="23"/>
      <c r="RP318" s="23"/>
      <c r="RQ318" s="23"/>
      <c r="RR318" s="23"/>
      <c r="RS318" s="23"/>
      <c r="RT318" s="23"/>
      <c r="RU318" s="23"/>
      <c r="RV318" s="23"/>
      <c r="RW318" s="23"/>
      <c r="RX318" s="23"/>
      <c r="RY318" s="23"/>
      <c r="RZ318" s="23"/>
      <c r="SA318" s="23"/>
      <c r="SB318" s="23"/>
      <c r="SC318" s="23"/>
      <c r="SD318" s="23"/>
      <c r="SE318" s="23"/>
      <c r="SF318" s="23"/>
      <c r="SG318" s="23"/>
      <c r="SH318" s="23"/>
      <c r="SI318" s="23"/>
      <c r="SJ318" s="23"/>
      <c r="SK318" s="23"/>
      <c r="SL318" s="23"/>
      <c r="SM318" s="23"/>
      <c r="SN318" s="23"/>
      <c r="SO318" s="23"/>
      <c r="SP318" s="23"/>
      <c r="SQ318" s="23"/>
      <c r="SR318" s="23"/>
      <c r="SS318" s="23"/>
      <c r="ST318" s="23"/>
      <c r="SU318" s="23"/>
      <c r="SV318" s="23"/>
      <c r="SW318" s="23"/>
      <c r="SX318" s="23"/>
      <c r="SY318" s="23"/>
      <c r="SZ318" s="23"/>
      <c r="TA318" s="23"/>
      <c r="TB318" s="23"/>
      <c r="TC318" s="23"/>
      <c r="TD318" s="23"/>
      <c r="TE318" s="23"/>
      <c r="TF318" s="23"/>
      <c r="TG318" s="23"/>
    </row>
    <row r="319" spans="1:527" s="22" customFormat="1" ht="30.75" customHeight="1" x14ac:dyDescent="0.25">
      <c r="A319" s="59" t="s">
        <v>221</v>
      </c>
      <c r="B319" s="92" t="str">
        <f>'дод 7'!A240</f>
        <v>8340</v>
      </c>
      <c r="C319" s="59" t="str">
        <f>'дод 7'!B240</f>
        <v>0540</v>
      </c>
      <c r="D319" s="60" t="str">
        <f>'дод 7'!C240</f>
        <v>Природоохоронні заходи за рахунок цільових фондів</v>
      </c>
      <c r="E319" s="98">
        <f t="shared" si="182"/>
        <v>0</v>
      </c>
      <c r="F319" s="98"/>
      <c r="G319" s="98"/>
      <c r="H319" s="98"/>
      <c r="I319" s="98"/>
      <c r="J319" s="98">
        <f t="shared" si="184"/>
        <v>502000</v>
      </c>
      <c r="K319" s="98"/>
      <c r="L319" s="98">
        <f>103000+399000</f>
        <v>502000</v>
      </c>
      <c r="M319" s="98"/>
      <c r="N319" s="98"/>
      <c r="O319" s="98"/>
      <c r="P319" s="98">
        <f t="shared" si="183"/>
        <v>502000</v>
      </c>
      <c r="Q319" s="23"/>
      <c r="R319" s="32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  <c r="IO319" s="23"/>
      <c r="IP319" s="23"/>
      <c r="IQ319" s="23"/>
      <c r="IR319" s="23"/>
      <c r="IS319" s="23"/>
      <c r="IT319" s="23"/>
      <c r="IU319" s="23"/>
      <c r="IV319" s="23"/>
      <c r="IW319" s="23"/>
      <c r="IX319" s="23"/>
      <c r="IY319" s="23"/>
      <c r="IZ319" s="23"/>
      <c r="JA319" s="23"/>
      <c r="JB319" s="23"/>
      <c r="JC319" s="23"/>
      <c r="JD319" s="23"/>
      <c r="JE319" s="23"/>
      <c r="JF319" s="23"/>
      <c r="JG319" s="23"/>
      <c r="JH319" s="23"/>
      <c r="JI319" s="23"/>
      <c r="JJ319" s="23"/>
      <c r="JK319" s="23"/>
      <c r="JL319" s="23"/>
      <c r="JM319" s="23"/>
      <c r="JN319" s="23"/>
      <c r="JO319" s="23"/>
      <c r="JP319" s="23"/>
      <c r="JQ319" s="23"/>
      <c r="JR319" s="23"/>
      <c r="JS319" s="23"/>
      <c r="JT319" s="23"/>
      <c r="JU319" s="23"/>
      <c r="JV319" s="23"/>
      <c r="JW319" s="23"/>
      <c r="JX319" s="23"/>
      <c r="JY319" s="23"/>
      <c r="JZ319" s="23"/>
      <c r="KA319" s="23"/>
      <c r="KB319" s="23"/>
      <c r="KC319" s="23"/>
      <c r="KD319" s="23"/>
      <c r="KE319" s="23"/>
      <c r="KF319" s="23"/>
      <c r="KG319" s="23"/>
      <c r="KH319" s="23"/>
      <c r="KI319" s="23"/>
      <c r="KJ319" s="23"/>
      <c r="KK319" s="23"/>
      <c r="KL319" s="23"/>
      <c r="KM319" s="23"/>
      <c r="KN319" s="23"/>
      <c r="KO319" s="23"/>
      <c r="KP319" s="23"/>
      <c r="KQ319" s="23"/>
      <c r="KR319" s="23"/>
      <c r="KS319" s="23"/>
      <c r="KT319" s="23"/>
      <c r="KU319" s="23"/>
      <c r="KV319" s="23"/>
      <c r="KW319" s="23"/>
      <c r="KX319" s="23"/>
      <c r="KY319" s="23"/>
      <c r="KZ319" s="23"/>
      <c r="LA319" s="23"/>
      <c r="LB319" s="23"/>
      <c r="LC319" s="23"/>
      <c r="LD319" s="23"/>
      <c r="LE319" s="23"/>
      <c r="LF319" s="23"/>
      <c r="LG319" s="23"/>
      <c r="LH319" s="23"/>
      <c r="LI319" s="23"/>
      <c r="LJ319" s="23"/>
      <c r="LK319" s="23"/>
      <c r="LL319" s="23"/>
      <c r="LM319" s="23"/>
      <c r="LN319" s="23"/>
      <c r="LO319" s="23"/>
      <c r="LP319" s="23"/>
      <c r="LQ319" s="23"/>
      <c r="LR319" s="23"/>
      <c r="LS319" s="23"/>
      <c r="LT319" s="23"/>
      <c r="LU319" s="23"/>
      <c r="LV319" s="23"/>
      <c r="LW319" s="23"/>
      <c r="LX319" s="23"/>
      <c r="LY319" s="23"/>
      <c r="LZ319" s="23"/>
      <c r="MA319" s="23"/>
      <c r="MB319" s="23"/>
      <c r="MC319" s="23"/>
      <c r="MD319" s="23"/>
      <c r="ME319" s="23"/>
      <c r="MF319" s="23"/>
      <c r="MG319" s="23"/>
      <c r="MH319" s="23"/>
      <c r="MI319" s="23"/>
      <c r="MJ319" s="23"/>
      <c r="MK319" s="23"/>
      <c r="ML319" s="23"/>
      <c r="MM319" s="23"/>
      <c r="MN319" s="23"/>
      <c r="MO319" s="23"/>
      <c r="MP319" s="23"/>
      <c r="MQ319" s="23"/>
      <c r="MR319" s="23"/>
      <c r="MS319" s="23"/>
      <c r="MT319" s="23"/>
      <c r="MU319" s="23"/>
      <c r="MV319" s="23"/>
      <c r="MW319" s="23"/>
      <c r="MX319" s="23"/>
      <c r="MY319" s="23"/>
      <c r="MZ319" s="23"/>
      <c r="NA319" s="23"/>
      <c r="NB319" s="23"/>
      <c r="NC319" s="23"/>
      <c r="ND319" s="23"/>
      <c r="NE319" s="23"/>
      <c r="NF319" s="23"/>
      <c r="NG319" s="23"/>
      <c r="NH319" s="23"/>
      <c r="NI319" s="23"/>
      <c r="NJ319" s="23"/>
      <c r="NK319" s="23"/>
      <c r="NL319" s="23"/>
      <c r="NM319" s="23"/>
      <c r="NN319" s="23"/>
      <c r="NO319" s="23"/>
      <c r="NP319" s="23"/>
      <c r="NQ319" s="23"/>
      <c r="NR319" s="23"/>
      <c r="NS319" s="23"/>
      <c r="NT319" s="23"/>
      <c r="NU319" s="23"/>
      <c r="NV319" s="23"/>
      <c r="NW319" s="23"/>
      <c r="NX319" s="23"/>
      <c r="NY319" s="23"/>
      <c r="NZ319" s="23"/>
      <c r="OA319" s="23"/>
      <c r="OB319" s="23"/>
      <c r="OC319" s="23"/>
      <c r="OD319" s="23"/>
      <c r="OE319" s="23"/>
      <c r="OF319" s="23"/>
      <c r="OG319" s="23"/>
      <c r="OH319" s="23"/>
      <c r="OI319" s="23"/>
      <c r="OJ319" s="23"/>
      <c r="OK319" s="23"/>
      <c r="OL319" s="23"/>
      <c r="OM319" s="23"/>
      <c r="ON319" s="23"/>
      <c r="OO319" s="23"/>
      <c r="OP319" s="23"/>
      <c r="OQ319" s="23"/>
      <c r="OR319" s="23"/>
      <c r="OS319" s="23"/>
      <c r="OT319" s="23"/>
      <c r="OU319" s="23"/>
      <c r="OV319" s="23"/>
      <c r="OW319" s="23"/>
      <c r="OX319" s="23"/>
      <c r="OY319" s="23"/>
      <c r="OZ319" s="23"/>
      <c r="PA319" s="23"/>
      <c r="PB319" s="23"/>
      <c r="PC319" s="23"/>
      <c r="PD319" s="23"/>
      <c r="PE319" s="23"/>
      <c r="PF319" s="23"/>
      <c r="PG319" s="23"/>
      <c r="PH319" s="23"/>
      <c r="PI319" s="23"/>
      <c r="PJ319" s="23"/>
      <c r="PK319" s="23"/>
      <c r="PL319" s="23"/>
      <c r="PM319" s="23"/>
      <c r="PN319" s="23"/>
      <c r="PO319" s="23"/>
      <c r="PP319" s="23"/>
      <c r="PQ319" s="23"/>
      <c r="PR319" s="23"/>
      <c r="PS319" s="23"/>
      <c r="PT319" s="23"/>
      <c r="PU319" s="23"/>
      <c r="PV319" s="23"/>
      <c r="PW319" s="23"/>
      <c r="PX319" s="23"/>
      <c r="PY319" s="23"/>
      <c r="PZ319" s="23"/>
      <c r="QA319" s="23"/>
      <c r="QB319" s="23"/>
      <c r="QC319" s="23"/>
      <c r="QD319" s="23"/>
      <c r="QE319" s="23"/>
      <c r="QF319" s="23"/>
      <c r="QG319" s="23"/>
      <c r="QH319" s="23"/>
      <c r="QI319" s="23"/>
      <c r="QJ319" s="23"/>
      <c r="QK319" s="23"/>
      <c r="QL319" s="23"/>
      <c r="QM319" s="23"/>
      <c r="QN319" s="23"/>
      <c r="QO319" s="23"/>
      <c r="QP319" s="23"/>
      <c r="QQ319" s="23"/>
      <c r="QR319" s="23"/>
      <c r="QS319" s="23"/>
      <c r="QT319" s="23"/>
      <c r="QU319" s="23"/>
      <c r="QV319" s="23"/>
      <c r="QW319" s="23"/>
      <c r="QX319" s="23"/>
      <c r="QY319" s="23"/>
      <c r="QZ319" s="23"/>
      <c r="RA319" s="23"/>
      <c r="RB319" s="23"/>
      <c r="RC319" s="23"/>
      <c r="RD319" s="23"/>
      <c r="RE319" s="23"/>
      <c r="RF319" s="23"/>
      <c r="RG319" s="23"/>
      <c r="RH319" s="23"/>
      <c r="RI319" s="23"/>
      <c r="RJ319" s="23"/>
      <c r="RK319" s="23"/>
      <c r="RL319" s="23"/>
      <c r="RM319" s="23"/>
      <c r="RN319" s="23"/>
      <c r="RO319" s="23"/>
      <c r="RP319" s="23"/>
      <c r="RQ319" s="23"/>
      <c r="RR319" s="23"/>
      <c r="RS319" s="23"/>
      <c r="RT319" s="23"/>
      <c r="RU319" s="23"/>
      <c r="RV319" s="23"/>
      <c r="RW319" s="23"/>
      <c r="RX319" s="23"/>
      <c r="RY319" s="23"/>
      <c r="RZ319" s="23"/>
      <c r="SA319" s="23"/>
      <c r="SB319" s="23"/>
      <c r="SC319" s="23"/>
      <c r="SD319" s="23"/>
      <c r="SE319" s="23"/>
      <c r="SF319" s="23"/>
      <c r="SG319" s="23"/>
      <c r="SH319" s="23"/>
      <c r="SI319" s="23"/>
      <c r="SJ319" s="23"/>
      <c r="SK319" s="23"/>
      <c r="SL319" s="23"/>
      <c r="SM319" s="23"/>
      <c r="SN319" s="23"/>
      <c r="SO319" s="23"/>
      <c r="SP319" s="23"/>
      <c r="SQ319" s="23"/>
      <c r="SR319" s="23"/>
      <c r="SS319" s="23"/>
      <c r="ST319" s="23"/>
      <c r="SU319" s="23"/>
      <c r="SV319" s="23"/>
      <c r="SW319" s="23"/>
      <c r="SX319" s="23"/>
      <c r="SY319" s="23"/>
      <c r="SZ319" s="23"/>
      <c r="TA319" s="23"/>
      <c r="TB319" s="23"/>
      <c r="TC319" s="23"/>
      <c r="TD319" s="23"/>
      <c r="TE319" s="23"/>
      <c r="TF319" s="23"/>
      <c r="TG319" s="23"/>
    </row>
    <row r="320" spans="1:527" s="22" customFormat="1" ht="21.75" customHeight="1" x14ac:dyDescent="0.25">
      <c r="A320" s="59" t="s">
        <v>222</v>
      </c>
      <c r="B320" s="92" t="str">
        <f>'дод 7'!A243</f>
        <v>8600</v>
      </c>
      <c r="C320" s="92" t="str">
        <f>'дод 7'!B243</f>
        <v>0170</v>
      </c>
      <c r="D320" s="60" t="str">
        <f>'дод 7'!C243</f>
        <v>Обслуговування місцевого боргу</v>
      </c>
      <c r="E320" s="98">
        <f t="shared" si="182"/>
        <v>1086239</v>
      </c>
      <c r="F320" s="98">
        <f>1833489+130750-878000</f>
        <v>1086239</v>
      </c>
      <c r="G320" s="98"/>
      <c r="H320" s="98"/>
      <c r="I320" s="98"/>
      <c r="J320" s="98">
        <f t="shared" si="184"/>
        <v>0</v>
      </c>
      <c r="K320" s="98"/>
      <c r="L320" s="98"/>
      <c r="M320" s="98"/>
      <c r="N320" s="98"/>
      <c r="O320" s="98"/>
      <c r="P320" s="98">
        <f t="shared" si="183"/>
        <v>1086239</v>
      </c>
      <c r="Q320" s="23"/>
      <c r="R320" s="32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  <c r="IS320" s="23"/>
      <c r="IT320" s="23"/>
      <c r="IU320" s="23"/>
      <c r="IV320" s="23"/>
      <c r="IW320" s="23"/>
      <c r="IX320" s="23"/>
      <c r="IY320" s="23"/>
      <c r="IZ320" s="23"/>
      <c r="JA320" s="23"/>
      <c r="JB320" s="23"/>
      <c r="JC320" s="23"/>
      <c r="JD320" s="23"/>
      <c r="JE320" s="23"/>
      <c r="JF320" s="23"/>
      <c r="JG320" s="23"/>
      <c r="JH320" s="23"/>
      <c r="JI320" s="23"/>
      <c r="JJ320" s="23"/>
      <c r="JK320" s="23"/>
      <c r="JL320" s="23"/>
      <c r="JM320" s="23"/>
      <c r="JN320" s="23"/>
      <c r="JO320" s="23"/>
      <c r="JP320" s="23"/>
      <c r="JQ320" s="23"/>
      <c r="JR320" s="23"/>
      <c r="JS320" s="23"/>
      <c r="JT320" s="23"/>
      <c r="JU320" s="23"/>
      <c r="JV320" s="23"/>
      <c r="JW320" s="23"/>
      <c r="JX320" s="23"/>
      <c r="JY320" s="23"/>
      <c r="JZ320" s="23"/>
      <c r="KA320" s="23"/>
      <c r="KB320" s="23"/>
      <c r="KC320" s="23"/>
      <c r="KD320" s="23"/>
      <c r="KE320" s="23"/>
      <c r="KF320" s="23"/>
      <c r="KG320" s="23"/>
      <c r="KH320" s="23"/>
      <c r="KI320" s="23"/>
      <c r="KJ320" s="23"/>
      <c r="KK320" s="23"/>
      <c r="KL320" s="23"/>
      <c r="KM320" s="23"/>
      <c r="KN320" s="23"/>
      <c r="KO320" s="23"/>
      <c r="KP320" s="23"/>
      <c r="KQ320" s="23"/>
      <c r="KR320" s="23"/>
      <c r="KS320" s="23"/>
      <c r="KT320" s="23"/>
      <c r="KU320" s="23"/>
      <c r="KV320" s="23"/>
      <c r="KW320" s="23"/>
      <c r="KX320" s="23"/>
      <c r="KY320" s="23"/>
      <c r="KZ320" s="23"/>
      <c r="LA320" s="23"/>
      <c r="LB320" s="23"/>
      <c r="LC320" s="23"/>
      <c r="LD320" s="23"/>
      <c r="LE320" s="23"/>
      <c r="LF320" s="23"/>
      <c r="LG320" s="23"/>
      <c r="LH320" s="23"/>
      <c r="LI320" s="23"/>
      <c r="LJ320" s="23"/>
      <c r="LK320" s="23"/>
      <c r="LL320" s="23"/>
      <c r="LM320" s="23"/>
      <c r="LN320" s="23"/>
      <c r="LO320" s="23"/>
      <c r="LP320" s="23"/>
      <c r="LQ320" s="23"/>
      <c r="LR320" s="23"/>
      <c r="LS320" s="23"/>
      <c r="LT320" s="23"/>
      <c r="LU320" s="23"/>
      <c r="LV320" s="23"/>
      <c r="LW320" s="23"/>
      <c r="LX320" s="23"/>
      <c r="LY320" s="23"/>
      <c r="LZ320" s="23"/>
      <c r="MA320" s="23"/>
      <c r="MB320" s="23"/>
      <c r="MC320" s="23"/>
      <c r="MD320" s="23"/>
      <c r="ME320" s="23"/>
      <c r="MF320" s="23"/>
      <c r="MG320" s="23"/>
      <c r="MH320" s="23"/>
      <c r="MI320" s="23"/>
      <c r="MJ320" s="23"/>
      <c r="MK320" s="23"/>
      <c r="ML320" s="23"/>
      <c r="MM320" s="23"/>
      <c r="MN320" s="23"/>
      <c r="MO320" s="23"/>
      <c r="MP320" s="23"/>
      <c r="MQ320" s="23"/>
      <c r="MR320" s="23"/>
      <c r="MS320" s="23"/>
      <c r="MT320" s="23"/>
      <c r="MU320" s="23"/>
      <c r="MV320" s="23"/>
      <c r="MW320" s="23"/>
      <c r="MX320" s="23"/>
      <c r="MY320" s="23"/>
      <c r="MZ320" s="23"/>
      <c r="NA320" s="23"/>
      <c r="NB320" s="23"/>
      <c r="NC320" s="23"/>
      <c r="ND320" s="23"/>
      <c r="NE320" s="23"/>
      <c r="NF320" s="23"/>
      <c r="NG320" s="23"/>
      <c r="NH320" s="23"/>
      <c r="NI320" s="23"/>
      <c r="NJ320" s="23"/>
      <c r="NK320" s="23"/>
      <c r="NL320" s="23"/>
      <c r="NM320" s="23"/>
      <c r="NN320" s="23"/>
      <c r="NO320" s="23"/>
      <c r="NP320" s="23"/>
      <c r="NQ320" s="23"/>
      <c r="NR320" s="23"/>
      <c r="NS320" s="23"/>
      <c r="NT320" s="23"/>
      <c r="NU320" s="23"/>
      <c r="NV320" s="23"/>
      <c r="NW320" s="23"/>
      <c r="NX320" s="23"/>
      <c r="NY320" s="23"/>
      <c r="NZ320" s="23"/>
      <c r="OA320" s="23"/>
      <c r="OB320" s="23"/>
      <c r="OC320" s="23"/>
      <c r="OD320" s="23"/>
      <c r="OE320" s="23"/>
      <c r="OF320" s="23"/>
      <c r="OG320" s="23"/>
      <c r="OH320" s="23"/>
      <c r="OI320" s="23"/>
      <c r="OJ320" s="23"/>
      <c r="OK320" s="23"/>
      <c r="OL320" s="23"/>
      <c r="OM320" s="23"/>
      <c r="ON320" s="23"/>
      <c r="OO320" s="23"/>
      <c r="OP320" s="23"/>
      <c r="OQ320" s="23"/>
      <c r="OR320" s="23"/>
      <c r="OS320" s="23"/>
      <c r="OT320" s="23"/>
      <c r="OU320" s="23"/>
      <c r="OV320" s="23"/>
      <c r="OW320" s="23"/>
      <c r="OX320" s="23"/>
      <c r="OY320" s="23"/>
      <c r="OZ320" s="23"/>
      <c r="PA320" s="23"/>
      <c r="PB320" s="23"/>
      <c r="PC320" s="23"/>
      <c r="PD320" s="23"/>
      <c r="PE320" s="23"/>
      <c r="PF320" s="23"/>
      <c r="PG320" s="23"/>
      <c r="PH320" s="23"/>
      <c r="PI320" s="23"/>
      <c r="PJ320" s="23"/>
      <c r="PK320" s="23"/>
      <c r="PL320" s="23"/>
      <c r="PM320" s="23"/>
      <c r="PN320" s="23"/>
      <c r="PO320" s="23"/>
      <c r="PP320" s="23"/>
      <c r="PQ320" s="23"/>
      <c r="PR320" s="23"/>
      <c r="PS320" s="23"/>
      <c r="PT320" s="23"/>
      <c r="PU320" s="23"/>
      <c r="PV320" s="23"/>
      <c r="PW320" s="23"/>
      <c r="PX320" s="23"/>
      <c r="PY320" s="23"/>
      <c r="PZ320" s="23"/>
      <c r="QA320" s="23"/>
      <c r="QB320" s="23"/>
      <c r="QC320" s="23"/>
      <c r="QD320" s="23"/>
      <c r="QE320" s="23"/>
      <c r="QF320" s="23"/>
      <c r="QG320" s="23"/>
      <c r="QH320" s="23"/>
      <c r="QI320" s="23"/>
      <c r="QJ320" s="23"/>
      <c r="QK320" s="23"/>
      <c r="QL320" s="23"/>
      <c r="QM320" s="23"/>
      <c r="QN320" s="23"/>
      <c r="QO320" s="23"/>
      <c r="QP320" s="23"/>
      <c r="QQ320" s="23"/>
      <c r="QR320" s="23"/>
      <c r="QS320" s="23"/>
      <c r="QT320" s="23"/>
      <c r="QU320" s="23"/>
      <c r="QV320" s="23"/>
      <c r="QW320" s="23"/>
      <c r="QX320" s="23"/>
      <c r="QY320" s="23"/>
      <c r="QZ320" s="23"/>
      <c r="RA320" s="23"/>
      <c r="RB320" s="23"/>
      <c r="RC320" s="23"/>
      <c r="RD320" s="23"/>
      <c r="RE320" s="23"/>
      <c r="RF320" s="23"/>
      <c r="RG320" s="23"/>
      <c r="RH320" s="23"/>
      <c r="RI320" s="23"/>
      <c r="RJ320" s="23"/>
      <c r="RK320" s="23"/>
      <c r="RL320" s="23"/>
      <c r="RM320" s="23"/>
      <c r="RN320" s="23"/>
      <c r="RO320" s="23"/>
      <c r="RP320" s="23"/>
      <c r="RQ320" s="23"/>
      <c r="RR320" s="23"/>
      <c r="RS320" s="23"/>
      <c r="RT320" s="23"/>
      <c r="RU320" s="23"/>
      <c r="RV320" s="23"/>
      <c r="RW320" s="23"/>
      <c r="RX320" s="23"/>
      <c r="RY320" s="23"/>
      <c r="RZ320" s="23"/>
      <c r="SA320" s="23"/>
      <c r="SB320" s="23"/>
      <c r="SC320" s="23"/>
      <c r="SD320" s="23"/>
      <c r="SE320" s="23"/>
      <c r="SF320" s="23"/>
      <c r="SG320" s="23"/>
      <c r="SH320" s="23"/>
      <c r="SI320" s="23"/>
      <c r="SJ320" s="23"/>
      <c r="SK320" s="23"/>
      <c r="SL320" s="23"/>
      <c r="SM320" s="23"/>
      <c r="SN320" s="23"/>
      <c r="SO320" s="23"/>
      <c r="SP320" s="23"/>
      <c r="SQ320" s="23"/>
      <c r="SR320" s="23"/>
      <c r="SS320" s="23"/>
      <c r="ST320" s="23"/>
      <c r="SU320" s="23"/>
      <c r="SV320" s="23"/>
      <c r="SW320" s="23"/>
      <c r="SX320" s="23"/>
      <c r="SY320" s="23"/>
      <c r="SZ320" s="23"/>
      <c r="TA320" s="23"/>
      <c r="TB320" s="23"/>
      <c r="TC320" s="23"/>
      <c r="TD320" s="23"/>
      <c r="TE320" s="23"/>
      <c r="TF320" s="23"/>
      <c r="TG320" s="23"/>
    </row>
    <row r="321" spans="1:527" s="22" customFormat="1" ht="22.5" customHeight="1" x14ac:dyDescent="0.25">
      <c r="A321" s="59" t="s">
        <v>516</v>
      </c>
      <c r="B321" s="92">
        <v>8710</v>
      </c>
      <c r="C321" s="92" t="str">
        <f>'дод 7'!B244</f>
        <v>0133</v>
      </c>
      <c r="D321" s="60" t="str">
        <f>'дод 7'!C244</f>
        <v>Резервний фонд місцевого бюджету</v>
      </c>
      <c r="E321" s="98">
        <f>16076686.44+30260-2902100-6378100+81980-1553963+117260-370000-4100550-30000-1773800-1500000-1764511-50000+18143581-134000-2214239-49500-6050358-1200000+14335013-35000-50000+179880.17+498000+353600-4276710.77+2373392.5</f>
        <v>17756821.34</v>
      </c>
      <c r="F321" s="98"/>
      <c r="G321" s="98"/>
      <c r="H321" s="98"/>
      <c r="I321" s="98"/>
      <c r="J321" s="98">
        <f t="shared" si="184"/>
        <v>0</v>
      </c>
      <c r="K321" s="98"/>
      <c r="L321" s="98"/>
      <c r="M321" s="98"/>
      <c r="N321" s="98"/>
      <c r="O321" s="98"/>
      <c r="P321" s="98">
        <f t="shared" si="183"/>
        <v>17756821.34</v>
      </c>
      <c r="Q321" s="23"/>
      <c r="R321" s="32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  <c r="IW321" s="23"/>
      <c r="IX321" s="23"/>
      <c r="IY321" s="23"/>
      <c r="IZ321" s="23"/>
      <c r="JA321" s="23"/>
      <c r="JB321" s="23"/>
      <c r="JC321" s="23"/>
      <c r="JD321" s="23"/>
      <c r="JE321" s="23"/>
      <c r="JF321" s="23"/>
      <c r="JG321" s="23"/>
      <c r="JH321" s="23"/>
      <c r="JI321" s="23"/>
      <c r="JJ321" s="23"/>
      <c r="JK321" s="23"/>
      <c r="JL321" s="23"/>
      <c r="JM321" s="23"/>
      <c r="JN321" s="23"/>
      <c r="JO321" s="23"/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  <c r="JZ321" s="23"/>
      <c r="KA321" s="23"/>
      <c r="KB321" s="23"/>
      <c r="KC321" s="23"/>
      <c r="KD321" s="23"/>
      <c r="KE321" s="23"/>
      <c r="KF321" s="23"/>
      <c r="KG321" s="23"/>
      <c r="KH321" s="23"/>
      <c r="KI321" s="23"/>
      <c r="KJ321" s="23"/>
      <c r="KK321" s="23"/>
      <c r="KL321" s="23"/>
      <c r="KM321" s="23"/>
      <c r="KN321" s="23"/>
      <c r="KO321" s="23"/>
      <c r="KP321" s="23"/>
      <c r="KQ321" s="23"/>
      <c r="KR321" s="23"/>
      <c r="KS321" s="23"/>
      <c r="KT321" s="23"/>
      <c r="KU321" s="23"/>
      <c r="KV321" s="23"/>
      <c r="KW321" s="23"/>
      <c r="KX321" s="23"/>
      <c r="KY321" s="23"/>
      <c r="KZ321" s="23"/>
      <c r="LA321" s="23"/>
      <c r="LB321" s="23"/>
      <c r="LC321" s="23"/>
      <c r="LD321" s="23"/>
      <c r="LE321" s="23"/>
      <c r="LF321" s="23"/>
      <c r="LG321" s="23"/>
      <c r="LH321" s="23"/>
      <c r="LI321" s="23"/>
      <c r="LJ321" s="23"/>
      <c r="LK321" s="23"/>
      <c r="LL321" s="23"/>
      <c r="LM321" s="23"/>
      <c r="LN321" s="23"/>
      <c r="LO321" s="23"/>
      <c r="LP321" s="23"/>
      <c r="LQ321" s="23"/>
      <c r="LR321" s="23"/>
      <c r="LS321" s="23"/>
      <c r="LT321" s="23"/>
      <c r="LU321" s="23"/>
      <c r="LV321" s="23"/>
      <c r="LW321" s="23"/>
      <c r="LX321" s="23"/>
      <c r="LY321" s="23"/>
      <c r="LZ321" s="23"/>
      <c r="MA321" s="23"/>
      <c r="MB321" s="23"/>
      <c r="MC321" s="23"/>
      <c r="MD321" s="23"/>
      <c r="ME321" s="23"/>
      <c r="MF321" s="23"/>
      <c r="MG321" s="23"/>
      <c r="MH321" s="23"/>
      <c r="MI321" s="23"/>
      <c r="MJ321" s="23"/>
      <c r="MK321" s="23"/>
      <c r="ML321" s="23"/>
      <c r="MM321" s="23"/>
      <c r="MN321" s="23"/>
      <c r="MO321" s="23"/>
      <c r="MP321" s="23"/>
      <c r="MQ321" s="23"/>
      <c r="MR321" s="23"/>
      <c r="MS321" s="23"/>
      <c r="MT321" s="23"/>
      <c r="MU321" s="23"/>
      <c r="MV321" s="23"/>
      <c r="MW321" s="23"/>
      <c r="MX321" s="23"/>
      <c r="MY321" s="23"/>
      <c r="MZ321" s="23"/>
      <c r="NA321" s="23"/>
      <c r="NB321" s="23"/>
      <c r="NC321" s="23"/>
      <c r="ND321" s="23"/>
      <c r="NE321" s="23"/>
      <c r="NF321" s="23"/>
      <c r="NG321" s="23"/>
      <c r="NH321" s="23"/>
      <c r="NI321" s="23"/>
      <c r="NJ321" s="23"/>
      <c r="NK321" s="23"/>
      <c r="NL321" s="23"/>
      <c r="NM321" s="23"/>
      <c r="NN321" s="23"/>
      <c r="NO321" s="23"/>
      <c r="NP321" s="23"/>
      <c r="NQ321" s="23"/>
      <c r="NR321" s="23"/>
      <c r="NS321" s="23"/>
      <c r="NT321" s="23"/>
      <c r="NU321" s="23"/>
      <c r="NV321" s="23"/>
      <c r="NW321" s="23"/>
      <c r="NX321" s="23"/>
      <c r="NY321" s="23"/>
      <c r="NZ321" s="23"/>
      <c r="OA321" s="23"/>
      <c r="OB321" s="23"/>
      <c r="OC321" s="23"/>
      <c r="OD321" s="23"/>
      <c r="OE321" s="23"/>
      <c r="OF321" s="23"/>
      <c r="OG321" s="23"/>
      <c r="OH321" s="23"/>
      <c r="OI321" s="23"/>
      <c r="OJ321" s="23"/>
      <c r="OK321" s="23"/>
      <c r="OL321" s="23"/>
      <c r="OM321" s="23"/>
      <c r="ON321" s="23"/>
      <c r="OO321" s="23"/>
      <c r="OP321" s="23"/>
      <c r="OQ321" s="23"/>
      <c r="OR321" s="23"/>
      <c r="OS321" s="23"/>
      <c r="OT321" s="23"/>
      <c r="OU321" s="23"/>
      <c r="OV321" s="23"/>
      <c r="OW321" s="23"/>
      <c r="OX321" s="23"/>
      <c r="OY321" s="23"/>
      <c r="OZ321" s="23"/>
      <c r="PA321" s="23"/>
      <c r="PB321" s="23"/>
      <c r="PC321" s="23"/>
      <c r="PD321" s="23"/>
      <c r="PE321" s="23"/>
      <c r="PF321" s="23"/>
      <c r="PG321" s="23"/>
      <c r="PH321" s="23"/>
      <c r="PI321" s="23"/>
      <c r="PJ321" s="23"/>
      <c r="PK321" s="23"/>
      <c r="PL321" s="23"/>
      <c r="PM321" s="23"/>
      <c r="PN321" s="23"/>
      <c r="PO321" s="23"/>
      <c r="PP321" s="23"/>
      <c r="PQ321" s="23"/>
      <c r="PR321" s="23"/>
      <c r="PS321" s="23"/>
      <c r="PT321" s="23"/>
      <c r="PU321" s="23"/>
      <c r="PV321" s="23"/>
      <c r="PW321" s="23"/>
      <c r="PX321" s="23"/>
      <c r="PY321" s="23"/>
      <c r="PZ321" s="23"/>
      <c r="QA321" s="23"/>
      <c r="QB321" s="23"/>
      <c r="QC321" s="23"/>
      <c r="QD321" s="23"/>
      <c r="QE321" s="23"/>
      <c r="QF321" s="23"/>
      <c r="QG321" s="23"/>
      <c r="QH321" s="23"/>
      <c r="QI321" s="23"/>
      <c r="QJ321" s="23"/>
      <c r="QK321" s="23"/>
      <c r="QL321" s="23"/>
      <c r="QM321" s="23"/>
      <c r="QN321" s="23"/>
      <c r="QO321" s="23"/>
      <c r="QP321" s="23"/>
      <c r="QQ321" s="23"/>
      <c r="QR321" s="23"/>
      <c r="QS321" s="23"/>
      <c r="QT321" s="23"/>
      <c r="QU321" s="23"/>
      <c r="QV321" s="23"/>
      <c r="QW321" s="23"/>
      <c r="QX321" s="23"/>
      <c r="QY321" s="23"/>
      <c r="QZ321" s="23"/>
      <c r="RA321" s="23"/>
      <c r="RB321" s="23"/>
      <c r="RC321" s="23"/>
      <c r="RD321" s="23"/>
      <c r="RE321" s="23"/>
      <c r="RF321" s="23"/>
      <c r="RG321" s="23"/>
      <c r="RH321" s="23"/>
      <c r="RI321" s="23"/>
      <c r="RJ321" s="23"/>
      <c r="RK321" s="23"/>
      <c r="RL321" s="23"/>
      <c r="RM321" s="23"/>
      <c r="RN321" s="23"/>
      <c r="RO321" s="23"/>
      <c r="RP321" s="23"/>
      <c r="RQ321" s="23"/>
      <c r="RR321" s="23"/>
      <c r="RS321" s="23"/>
      <c r="RT321" s="23"/>
      <c r="RU321" s="23"/>
      <c r="RV321" s="23"/>
      <c r="RW321" s="23"/>
      <c r="RX321" s="23"/>
      <c r="RY321" s="23"/>
      <c r="RZ321" s="23"/>
      <c r="SA321" s="23"/>
      <c r="SB321" s="23"/>
      <c r="SC321" s="23"/>
      <c r="SD321" s="23"/>
      <c r="SE321" s="23"/>
      <c r="SF321" s="23"/>
      <c r="SG321" s="23"/>
      <c r="SH321" s="23"/>
      <c r="SI321" s="23"/>
      <c r="SJ321" s="23"/>
      <c r="SK321" s="23"/>
      <c r="SL321" s="23"/>
      <c r="SM321" s="23"/>
      <c r="SN321" s="23"/>
      <c r="SO321" s="23"/>
      <c r="SP321" s="23"/>
      <c r="SQ321" s="23"/>
      <c r="SR321" s="23"/>
      <c r="SS321" s="23"/>
      <c r="ST321" s="23"/>
      <c r="SU321" s="23"/>
      <c r="SV321" s="23"/>
      <c r="SW321" s="23"/>
      <c r="SX321" s="23"/>
      <c r="SY321" s="23"/>
      <c r="SZ321" s="23"/>
      <c r="TA321" s="23"/>
      <c r="TB321" s="23"/>
      <c r="TC321" s="23"/>
      <c r="TD321" s="23"/>
      <c r="TE321" s="23"/>
      <c r="TF321" s="23"/>
      <c r="TG321" s="23"/>
    </row>
    <row r="322" spans="1:527" s="22" customFormat="1" ht="24.75" customHeight="1" x14ac:dyDescent="0.25">
      <c r="A322" s="59" t="s">
        <v>232</v>
      </c>
      <c r="B322" s="92" t="str">
        <f>'дод 7'!A248</f>
        <v>9110</v>
      </c>
      <c r="C322" s="92" t="str">
        <f>'дод 7'!B248</f>
        <v>0180</v>
      </c>
      <c r="D322" s="60" t="str">
        <f>'дод 7'!C248</f>
        <v>Реверсна дотація</v>
      </c>
      <c r="E322" s="98">
        <f>F322+I322</f>
        <v>100870700</v>
      </c>
      <c r="F322" s="98">
        <v>100870700</v>
      </c>
      <c r="G322" s="98"/>
      <c r="H322" s="98"/>
      <c r="I322" s="98"/>
      <c r="J322" s="98">
        <f t="shared" si="184"/>
        <v>0</v>
      </c>
      <c r="K322" s="98"/>
      <c r="L322" s="98"/>
      <c r="M322" s="98"/>
      <c r="N322" s="98"/>
      <c r="O322" s="98"/>
      <c r="P322" s="98">
        <f t="shared" si="183"/>
        <v>100870700</v>
      </c>
      <c r="Q322" s="23"/>
      <c r="R322" s="32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  <c r="IW322" s="23"/>
      <c r="IX322" s="23"/>
      <c r="IY322" s="23"/>
      <c r="IZ322" s="23"/>
      <c r="JA322" s="23"/>
      <c r="JB322" s="23"/>
      <c r="JC322" s="23"/>
      <c r="JD322" s="23"/>
      <c r="JE322" s="23"/>
      <c r="JF322" s="23"/>
      <c r="JG322" s="23"/>
      <c r="JH322" s="23"/>
      <c r="JI322" s="23"/>
      <c r="JJ322" s="23"/>
      <c r="JK322" s="23"/>
      <c r="JL322" s="23"/>
      <c r="JM322" s="23"/>
      <c r="JN322" s="23"/>
      <c r="JO322" s="23"/>
      <c r="JP322" s="23"/>
      <c r="JQ322" s="23"/>
      <c r="JR322" s="23"/>
      <c r="JS322" s="23"/>
      <c r="JT322" s="23"/>
      <c r="JU322" s="23"/>
      <c r="JV322" s="23"/>
      <c r="JW322" s="23"/>
      <c r="JX322" s="23"/>
      <c r="JY322" s="23"/>
      <c r="JZ322" s="23"/>
      <c r="KA322" s="23"/>
      <c r="KB322" s="23"/>
      <c r="KC322" s="23"/>
      <c r="KD322" s="23"/>
      <c r="KE322" s="23"/>
      <c r="KF322" s="23"/>
      <c r="KG322" s="23"/>
      <c r="KH322" s="23"/>
      <c r="KI322" s="23"/>
      <c r="KJ322" s="23"/>
      <c r="KK322" s="23"/>
      <c r="KL322" s="23"/>
      <c r="KM322" s="23"/>
      <c r="KN322" s="23"/>
      <c r="KO322" s="23"/>
      <c r="KP322" s="23"/>
      <c r="KQ322" s="23"/>
      <c r="KR322" s="23"/>
      <c r="KS322" s="23"/>
      <c r="KT322" s="23"/>
      <c r="KU322" s="23"/>
      <c r="KV322" s="23"/>
      <c r="KW322" s="23"/>
      <c r="KX322" s="23"/>
      <c r="KY322" s="23"/>
      <c r="KZ322" s="23"/>
      <c r="LA322" s="23"/>
      <c r="LB322" s="23"/>
      <c r="LC322" s="23"/>
      <c r="LD322" s="23"/>
      <c r="LE322" s="23"/>
      <c r="LF322" s="23"/>
      <c r="LG322" s="23"/>
      <c r="LH322" s="23"/>
      <c r="LI322" s="23"/>
      <c r="LJ322" s="23"/>
      <c r="LK322" s="23"/>
      <c r="LL322" s="23"/>
      <c r="LM322" s="23"/>
      <c r="LN322" s="23"/>
      <c r="LO322" s="23"/>
      <c r="LP322" s="23"/>
      <c r="LQ322" s="23"/>
      <c r="LR322" s="23"/>
      <c r="LS322" s="23"/>
      <c r="LT322" s="23"/>
      <c r="LU322" s="23"/>
      <c r="LV322" s="23"/>
      <c r="LW322" s="23"/>
      <c r="LX322" s="23"/>
      <c r="LY322" s="23"/>
      <c r="LZ322" s="23"/>
      <c r="MA322" s="23"/>
      <c r="MB322" s="23"/>
      <c r="MC322" s="23"/>
      <c r="MD322" s="23"/>
      <c r="ME322" s="23"/>
      <c r="MF322" s="23"/>
      <c r="MG322" s="23"/>
      <c r="MH322" s="23"/>
      <c r="MI322" s="23"/>
      <c r="MJ322" s="23"/>
      <c r="MK322" s="23"/>
      <c r="ML322" s="23"/>
      <c r="MM322" s="23"/>
      <c r="MN322" s="23"/>
      <c r="MO322" s="23"/>
      <c r="MP322" s="23"/>
      <c r="MQ322" s="23"/>
      <c r="MR322" s="23"/>
      <c r="MS322" s="23"/>
      <c r="MT322" s="23"/>
      <c r="MU322" s="23"/>
      <c r="MV322" s="23"/>
      <c r="MW322" s="23"/>
      <c r="MX322" s="23"/>
      <c r="MY322" s="23"/>
      <c r="MZ322" s="23"/>
      <c r="NA322" s="23"/>
      <c r="NB322" s="23"/>
      <c r="NC322" s="23"/>
      <c r="ND322" s="23"/>
      <c r="NE322" s="23"/>
      <c r="NF322" s="23"/>
      <c r="NG322" s="23"/>
      <c r="NH322" s="23"/>
      <c r="NI322" s="23"/>
      <c r="NJ322" s="23"/>
      <c r="NK322" s="23"/>
      <c r="NL322" s="23"/>
      <c r="NM322" s="23"/>
      <c r="NN322" s="23"/>
      <c r="NO322" s="23"/>
      <c r="NP322" s="23"/>
      <c r="NQ322" s="23"/>
      <c r="NR322" s="23"/>
      <c r="NS322" s="23"/>
      <c r="NT322" s="23"/>
      <c r="NU322" s="23"/>
      <c r="NV322" s="23"/>
      <c r="NW322" s="23"/>
      <c r="NX322" s="23"/>
      <c r="NY322" s="23"/>
      <c r="NZ322" s="23"/>
      <c r="OA322" s="23"/>
      <c r="OB322" s="23"/>
      <c r="OC322" s="23"/>
      <c r="OD322" s="23"/>
      <c r="OE322" s="23"/>
      <c r="OF322" s="23"/>
      <c r="OG322" s="23"/>
      <c r="OH322" s="23"/>
      <c r="OI322" s="23"/>
      <c r="OJ322" s="23"/>
      <c r="OK322" s="23"/>
      <c r="OL322" s="23"/>
      <c r="OM322" s="23"/>
      <c r="ON322" s="23"/>
      <c r="OO322" s="23"/>
      <c r="OP322" s="23"/>
      <c r="OQ322" s="23"/>
      <c r="OR322" s="23"/>
      <c r="OS322" s="23"/>
      <c r="OT322" s="23"/>
      <c r="OU322" s="23"/>
      <c r="OV322" s="23"/>
      <c r="OW322" s="23"/>
      <c r="OX322" s="23"/>
      <c r="OY322" s="23"/>
      <c r="OZ322" s="23"/>
      <c r="PA322" s="23"/>
      <c r="PB322" s="23"/>
      <c r="PC322" s="23"/>
      <c r="PD322" s="23"/>
      <c r="PE322" s="23"/>
      <c r="PF322" s="23"/>
      <c r="PG322" s="23"/>
      <c r="PH322" s="23"/>
      <c r="PI322" s="23"/>
      <c r="PJ322" s="23"/>
      <c r="PK322" s="23"/>
      <c r="PL322" s="23"/>
      <c r="PM322" s="23"/>
      <c r="PN322" s="23"/>
      <c r="PO322" s="23"/>
      <c r="PP322" s="23"/>
      <c r="PQ322" s="23"/>
      <c r="PR322" s="23"/>
      <c r="PS322" s="23"/>
      <c r="PT322" s="23"/>
      <c r="PU322" s="23"/>
      <c r="PV322" s="23"/>
      <c r="PW322" s="23"/>
      <c r="PX322" s="23"/>
      <c r="PY322" s="23"/>
      <c r="PZ322" s="23"/>
      <c r="QA322" s="23"/>
      <c r="QB322" s="23"/>
      <c r="QC322" s="23"/>
      <c r="QD322" s="23"/>
      <c r="QE322" s="23"/>
      <c r="QF322" s="23"/>
      <c r="QG322" s="23"/>
      <c r="QH322" s="23"/>
      <c r="QI322" s="23"/>
      <c r="QJ322" s="23"/>
      <c r="QK322" s="23"/>
      <c r="QL322" s="23"/>
      <c r="QM322" s="23"/>
      <c r="QN322" s="23"/>
      <c r="QO322" s="23"/>
      <c r="QP322" s="23"/>
      <c r="QQ322" s="23"/>
      <c r="QR322" s="23"/>
      <c r="QS322" s="23"/>
      <c r="QT322" s="23"/>
      <c r="QU322" s="23"/>
      <c r="QV322" s="23"/>
      <c r="QW322" s="23"/>
      <c r="QX322" s="23"/>
      <c r="QY322" s="23"/>
      <c r="QZ322" s="23"/>
      <c r="RA322" s="23"/>
      <c r="RB322" s="23"/>
      <c r="RC322" s="23"/>
      <c r="RD322" s="23"/>
      <c r="RE322" s="23"/>
      <c r="RF322" s="23"/>
      <c r="RG322" s="23"/>
      <c r="RH322" s="23"/>
      <c r="RI322" s="23"/>
      <c r="RJ322" s="23"/>
      <c r="RK322" s="23"/>
      <c r="RL322" s="23"/>
      <c r="RM322" s="23"/>
      <c r="RN322" s="23"/>
      <c r="RO322" s="23"/>
      <c r="RP322" s="23"/>
      <c r="RQ322" s="23"/>
      <c r="RR322" s="23"/>
      <c r="RS322" s="23"/>
      <c r="RT322" s="23"/>
      <c r="RU322" s="23"/>
      <c r="RV322" s="23"/>
      <c r="RW322" s="23"/>
      <c r="RX322" s="23"/>
      <c r="RY322" s="23"/>
      <c r="RZ322" s="23"/>
      <c r="SA322" s="23"/>
      <c r="SB322" s="23"/>
      <c r="SC322" s="23"/>
      <c r="SD322" s="23"/>
      <c r="SE322" s="23"/>
      <c r="SF322" s="23"/>
      <c r="SG322" s="23"/>
      <c r="SH322" s="23"/>
      <c r="SI322" s="23"/>
      <c r="SJ322" s="23"/>
      <c r="SK322" s="23"/>
      <c r="SL322" s="23"/>
      <c r="SM322" s="23"/>
      <c r="SN322" s="23"/>
      <c r="SO322" s="23"/>
      <c r="SP322" s="23"/>
      <c r="SQ322" s="23"/>
      <c r="SR322" s="23"/>
      <c r="SS322" s="23"/>
      <c r="ST322" s="23"/>
      <c r="SU322" s="23"/>
      <c r="SV322" s="23"/>
      <c r="SW322" s="23"/>
      <c r="SX322" s="23"/>
      <c r="SY322" s="23"/>
      <c r="SZ322" s="23"/>
      <c r="TA322" s="23"/>
      <c r="TB322" s="23"/>
      <c r="TC322" s="23"/>
      <c r="TD322" s="23"/>
      <c r="TE322" s="23"/>
      <c r="TF322" s="23"/>
      <c r="TG322" s="23"/>
    </row>
    <row r="323" spans="1:527" s="27" customFormat="1" ht="22.5" customHeight="1" x14ac:dyDescent="0.25">
      <c r="A323" s="117"/>
      <c r="B323" s="111"/>
      <c r="C323" s="145"/>
      <c r="D323" s="106" t="s">
        <v>408</v>
      </c>
      <c r="E323" s="94">
        <f t="shared" ref="E323:P323" si="185">E17+E63+E127+E163+E204+E212+E223+E267+E270+E292+E299+E302+E310+E313</f>
        <v>2343104951.4900002</v>
      </c>
      <c r="F323" s="94">
        <f t="shared" si="185"/>
        <v>2229828610.8400002</v>
      </c>
      <c r="G323" s="94">
        <f t="shared" si="185"/>
        <v>1078601075</v>
      </c>
      <c r="H323" s="94">
        <f t="shared" si="185"/>
        <v>137315124</v>
      </c>
      <c r="I323" s="94">
        <f t="shared" si="185"/>
        <v>95519519.310000002</v>
      </c>
      <c r="J323" s="94">
        <f t="shared" si="185"/>
        <v>811710587.38</v>
      </c>
      <c r="K323" s="94">
        <f t="shared" si="185"/>
        <v>731022742.86000001</v>
      </c>
      <c r="L323" s="94">
        <f t="shared" si="185"/>
        <v>61672501.869999997</v>
      </c>
      <c r="M323" s="94">
        <f t="shared" si="185"/>
        <v>6033355</v>
      </c>
      <c r="N323" s="94">
        <f t="shared" si="185"/>
        <v>266522</v>
      </c>
      <c r="O323" s="94">
        <f t="shared" si="185"/>
        <v>750038085.50999999</v>
      </c>
      <c r="P323" s="94">
        <f t="shared" si="185"/>
        <v>3154815538.8700008</v>
      </c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  <c r="EH323" s="32"/>
      <c r="EI323" s="32"/>
      <c r="EJ323" s="32"/>
      <c r="EK323" s="32"/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32"/>
      <c r="EX323" s="32"/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2"/>
      <c r="FK323" s="32"/>
      <c r="FL323" s="32"/>
      <c r="FM323" s="32"/>
      <c r="FN323" s="32"/>
      <c r="FO323" s="32"/>
      <c r="FP323" s="32"/>
      <c r="FQ323" s="32"/>
      <c r="FR323" s="32"/>
      <c r="FS323" s="32"/>
      <c r="FT323" s="32"/>
      <c r="FU323" s="32"/>
      <c r="FV323" s="32"/>
      <c r="FW323" s="32"/>
      <c r="FX323" s="32"/>
      <c r="FY323" s="32"/>
      <c r="FZ323" s="32"/>
      <c r="GA323" s="32"/>
      <c r="GB323" s="32"/>
      <c r="GC323" s="32"/>
      <c r="GD323" s="32"/>
      <c r="GE323" s="32"/>
      <c r="GF323" s="32"/>
      <c r="GG323" s="32"/>
      <c r="GH323" s="32"/>
      <c r="GI323" s="32"/>
      <c r="GJ323" s="32"/>
      <c r="GK323" s="32"/>
      <c r="GL323" s="32"/>
      <c r="GM323" s="32"/>
      <c r="GN323" s="32"/>
      <c r="GO323" s="32"/>
      <c r="GP323" s="32"/>
      <c r="GQ323" s="32"/>
      <c r="GR323" s="32"/>
      <c r="GS323" s="32"/>
      <c r="GT323" s="32"/>
      <c r="GU323" s="32"/>
      <c r="GV323" s="32"/>
      <c r="GW323" s="32"/>
      <c r="GX323" s="32"/>
      <c r="GY323" s="32"/>
      <c r="GZ323" s="32"/>
      <c r="HA323" s="32"/>
      <c r="HB323" s="32"/>
      <c r="HC323" s="32"/>
      <c r="HD323" s="32"/>
      <c r="HE323" s="32"/>
      <c r="HF323" s="32"/>
      <c r="HG323" s="32"/>
      <c r="HH323" s="32"/>
      <c r="HI323" s="32"/>
      <c r="HJ323" s="32"/>
      <c r="HK323" s="32"/>
      <c r="HL323" s="32"/>
      <c r="HM323" s="32"/>
      <c r="HN323" s="32"/>
      <c r="HO323" s="32"/>
      <c r="HP323" s="32"/>
      <c r="HQ323" s="32"/>
      <c r="HR323" s="32"/>
      <c r="HS323" s="32"/>
      <c r="HT323" s="32"/>
      <c r="HU323" s="32"/>
      <c r="HV323" s="32"/>
      <c r="HW323" s="32"/>
      <c r="HX323" s="32"/>
      <c r="HY323" s="32"/>
      <c r="HZ323" s="32"/>
      <c r="IA323" s="32"/>
      <c r="IB323" s="32"/>
      <c r="IC323" s="32"/>
      <c r="ID323" s="32"/>
      <c r="IE323" s="32"/>
      <c r="IF323" s="32"/>
      <c r="IG323" s="32"/>
      <c r="IH323" s="32"/>
      <c r="II323" s="32"/>
      <c r="IJ323" s="32"/>
      <c r="IK323" s="32"/>
      <c r="IL323" s="32"/>
      <c r="IM323" s="32"/>
      <c r="IN323" s="32"/>
      <c r="IO323" s="32"/>
      <c r="IP323" s="32"/>
      <c r="IQ323" s="32"/>
      <c r="IR323" s="32"/>
      <c r="IS323" s="32"/>
      <c r="IT323" s="32"/>
      <c r="IU323" s="32"/>
      <c r="IV323" s="32"/>
      <c r="IW323" s="32"/>
      <c r="IX323" s="32"/>
      <c r="IY323" s="32"/>
      <c r="IZ323" s="32"/>
      <c r="JA323" s="32"/>
      <c r="JB323" s="32"/>
      <c r="JC323" s="32"/>
      <c r="JD323" s="32"/>
      <c r="JE323" s="32"/>
      <c r="JF323" s="32"/>
      <c r="JG323" s="32"/>
      <c r="JH323" s="32"/>
      <c r="JI323" s="32"/>
      <c r="JJ323" s="32"/>
      <c r="JK323" s="32"/>
      <c r="JL323" s="32"/>
      <c r="JM323" s="32"/>
      <c r="JN323" s="32"/>
      <c r="JO323" s="32"/>
      <c r="JP323" s="32"/>
      <c r="JQ323" s="32"/>
      <c r="JR323" s="32"/>
      <c r="JS323" s="32"/>
      <c r="JT323" s="32"/>
      <c r="JU323" s="32"/>
      <c r="JV323" s="32"/>
      <c r="JW323" s="32"/>
      <c r="JX323" s="32"/>
      <c r="JY323" s="32"/>
      <c r="JZ323" s="32"/>
      <c r="KA323" s="32"/>
      <c r="KB323" s="32"/>
      <c r="KC323" s="32"/>
      <c r="KD323" s="32"/>
      <c r="KE323" s="32"/>
      <c r="KF323" s="32"/>
      <c r="KG323" s="32"/>
      <c r="KH323" s="32"/>
      <c r="KI323" s="32"/>
      <c r="KJ323" s="32"/>
      <c r="KK323" s="32"/>
      <c r="KL323" s="32"/>
      <c r="KM323" s="32"/>
      <c r="KN323" s="32"/>
      <c r="KO323" s="32"/>
      <c r="KP323" s="32"/>
      <c r="KQ323" s="32"/>
      <c r="KR323" s="32"/>
      <c r="KS323" s="32"/>
      <c r="KT323" s="32"/>
      <c r="KU323" s="32"/>
      <c r="KV323" s="32"/>
      <c r="KW323" s="32"/>
      <c r="KX323" s="32"/>
      <c r="KY323" s="32"/>
      <c r="KZ323" s="32"/>
      <c r="LA323" s="32"/>
      <c r="LB323" s="32"/>
      <c r="LC323" s="32"/>
      <c r="LD323" s="32"/>
      <c r="LE323" s="32"/>
      <c r="LF323" s="32"/>
      <c r="LG323" s="32"/>
      <c r="LH323" s="32"/>
      <c r="LI323" s="32"/>
      <c r="LJ323" s="32"/>
      <c r="LK323" s="32"/>
      <c r="LL323" s="32"/>
      <c r="LM323" s="32"/>
      <c r="LN323" s="32"/>
      <c r="LO323" s="32"/>
      <c r="LP323" s="32"/>
      <c r="LQ323" s="32"/>
      <c r="LR323" s="32"/>
      <c r="LS323" s="32"/>
      <c r="LT323" s="32"/>
      <c r="LU323" s="32"/>
      <c r="LV323" s="32"/>
      <c r="LW323" s="32"/>
      <c r="LX323" s="32"/>
      <c r="LY323" s="32"/>
      <c r="LZ323" s="32"/>
      <c r="MA323" s="32"/>
      <c r="MB323" s="32"/>
      <c r="MC323" s="32"/>
      <c r="MD323" s="32"/>
      <c r="ME323" s="32"/>
      <c r="MF323" s="32"/>
      <c r="MG323" s="32"/>
      <c r="MH323" s="32"/>
      <c r="MI323" s="32"/>
      <c r="MJ323" s="32"/>
      <c r="MK323" s="32"/>
      <c r="ML323" s="32"/>
      <c r="MM323" s="32"/>
      <c r="MN323" s="32"/>
      <c r="MO323" s="32"/>
      <c r="MP323" s="32"/>
      <c r="MQ323" s="32"/>
      <c r="MR323" s="32"/>
      <c r="MS323" s="32"/>
      <c r="MT323" s="32"/>
      <c r="MU323" s="32"/>
      <c r="MV323" s="32"/>
      <c r="MW323" s="32"/>
      <c r="MX323" s="32"/>
      <c r="MY323" s="32"/>
      <c r="MZ323" s="32"/>
      <c r="NA323" s="32"/>
      <c r="NB323" s="32"/>
      <c r="NC323" s="32"/>
      <c r="ND323" s="32"/>
      <c r="NE323" s="32"/>
      <c r="NF323" s="32"/>
      <c r="NG323" s="32"/>
      <c r="NH323" s="32"/>
      <c r="NI323" s="32"/>
      <c r="NJ323" s="32"/>
      <c r="NK323" s="32"/>
      <c r="NL323" s="32"/>
      <c r="NM323" s="32"/>
      <c r="NN323" s="32"/>
      <c r="NO323" s="32"/>
      <c r="NP323" s="32"/>
      <c r="NQ323" s="32"/>
      <c r="NR323" s="32"/>
      <c r="NS323" s="32"/>
      <c r="NT323" s="32"/>
      <c r="NU323" s="32"/>
      <c r="NV323" s="32"/>
      <c r="NW323" s="32"/>
      <c r="NX323" s="32"/>
      <c r="NY323" s="32"/>
      <c r="NZ323" s="32"/>
      <c r="OA323" s="32"/>
      <c r="OB323" s="32"/>
      <c r="OC323" s="32"/>
      <c r="OD323" s="32"/>
      <c r="OE323" s="32"/>
      <c r="OF323" s="32"/>
      <c r="OG323" s="32"/>
      <c r="OH323" s="32"/>
      <c r="OI323" s="32"/>
      <c r="OJ323" s="32"/>
      <c r="OK323" s="32"/>
      <c r="OL323" s="32"/>
      <c r="OM323" s="32"/>
      <c r="ON323" s="32"/>
      <c r="OO323" s="32"/>
      <c r="OP323" s="32"/>
      <c r="OQ323" s="32"/>
      <c r="OR323" s="32"/>
      <c r="OS323" s="32"/>
      <c r="OT323" s="32"/>
      <c r="OU323" s="32"/>
      <c r="OV323" s="32"/>
      <c r="OW323" s="32"/>
      <c r="OX323" s="32"/>
      <c r="OY323" s="32"/>
      <c r="OZ323" s="32"/>
      <c r="PA323" s="32"/>
      <c r="PB323" s="32"/>
      <c r="PC323" s="32"/>
      <c r="PD323" s="32"/>
      <c r="PE323" s="32"/>
      <c r="PF323" s="32"/>
      <c r="PG323" s="32"/>
      <c r="PH323" s="32"/>
      <c r="PI323" s="32"/>
      <c r="PJ323" s="32"/>
      <c r="PK323" s="32"/>
      <c r="PL323" s="32"/>
      <c r="PM323" s="32"/>
      <c r="PN323" s="32"/>
      <c r="PO323" s="32"/>
      <c r="PP323" s="32"/>
      <c r="PQ323" s="32"/>
      <c r="PR323" s="32"/>
      <c r="PS323" s="32"/>
      <c r="PT323" s="32"/>
      <c r="PU323" s="32"/>
      <c r="PV323" s="32"/>
      <c r="PW323" s="32"/>
      <c r="PX323" s="32"/>
      <c r="PY323" s="32"/>
      <c r="PZ323" s="32"/>
      <c r="QA323" s="32"/>
      <c r="QB323" s="32"/>
      <c r="QC323" s="32"/>
      <c r="QD323" s="32"/>
      <c r="QE323" s="32"/>
      <c r="QF323" s="32"/>
      <c r="QG323" s="32"/>
      <c r="QH323" s="32"/>
      <c r="QI323" s="32"/>
      <c r="QJ323" s="32"/>
      <c r="QK323" s="32"/>
      <c r="QL323" s="32"/>
      <c r="QM323" s="32"/>
      <c r="QN323" s="32"/>
      <c r="QO323" s="32"/>
      <c r="QP323" s="32"/>
      <c r="QQ323" s="32"/>
      <c r="QR323" s="32"/>
      <c r="QS323" s="32"/>
      <c r="QT323" s="32"/>
      <c r="QU323" s="32"/>
      <c r="QV323" s="32"/>
      <c r="QW323" s="32"/>
      <c r="QX323" s="32"/>
      <c r="QY323" s="32"/>
      <c r="QZ323" s="32"/>
      <c r="RA323" s="32"/>
      <c r="RB323" s="32"/>
      <c r="RC323" s="32"/>
      <c r="RD323" s="32"/>
      <c r="RE323" s="32"/>
      <c r="RF323" s="32"/>
      <c r="RG323" s="32"/>
      <c r="RH323" s="32"/>
      <c r="RI323" s="32"/>
      <c r="RJ323" s="32"/>
      <c r="RK323" s="32"/>
      <c r="RL323" s="32"/>
      <c r="RM323" s="32"/>
      <c r="RN323" s="32"/>
      <c r="RO323" s="32"/>
      <c r="RP323" s="32"/>
      <c r="RQ323" s="32"/>
      <c r="RR323" s="32"/>
      <c r="RS323" s="32"/>
      <c r="RT323" s="32"/>
      <c r="RU323" s="32"/>
      <c r="RV323" s="32"/>
      <c r="RW323" s="32"/>
      <c r="RX323" s="32"/>
      <c r="RY323" s="32"/>
      <c r="RZ323" s="32"/>
      <c r="SA323" s="32"/>
      <c r="SB323" s="32"/>
      <c r="SC323" s="32"/>
      <c r="SD323" s="32"/>
      <c r="SE323" s="32"/>
      <c r="SF323" s="32"/>
      <c r="SG323" s="32"/>
      <c r="SH323" s="32"/>
      <c r="SI323" s="32"/>
      <c r="SJ323" s="32"/>
      <c r="SK323" s="32"/>
      <c r="SL323" s="32"/>
      <c r="SM323" s="32"/>
      <c r="SN323" s="32"/>
      <c r="SO323" s="32"/>
      <c r="SP323" s="32"/>
      <c r="SQ323" s="32"/>
      <c r="SR323" s="32"/>
      <c r="SS323" s="32"/>
      <c r="ST323" s="32"/>
      <c r="SU323" s="32"/>
      <c r="SV323" s="32"/>
      <c r="SW323" s="32"/>
      <c r="SX323" s="32"/>
      <c r="SY323" s="32"/>
      <c r="SZ323" s="32"/>
      <c r="TA323" s="32"/>
      <c r="TB323" s="32"/>
      <c r="TC323" s="32"/>
      <c r="TD323" s="32"/>
      <c r="TE323" s="32"/>
      <c r="TF323" s="32"/>
      <c r="TG323" s="32"/>
    </row>
    <row r="324" spans="1:527" s="34" customFormat="1" ht="39.75" customHeight="1" x14ac:dyDescent="0.25">
      <c r="A324" s="118"/>
      <c r="B324" s="108"/>
      <c r="C324" s="96"/>
      <c r="D324" s="76" t="s">
        <v>401</v>
      </c>
      <c r="E324" s="97">
        <f>E65+E72+E226+E227+E75+E133+E74+E272</f>
        <v>485697135.60000002</v>
      </c>
      <c r="F324" s="97">
        <f t="shared" ref="F324:P324" si="186">F65+F72+F226+F227+F75+F133+F74+F272</f>
        <v>485697135.60000002</v>
      </c>
      <c r="G324" s="97">
        <f t="shared" si="186"/>
        <v>395816000</v>
      </c>
      <c r="H324" s="97">
        <f t="shared" si="186"/>
        <v>0</v>
      </c>
      <c r="I324" s="97">
        <f t="shared" si="186"/>
        <v>0</v>
      </c>
      <c r="J324" s="97">
        <f t="shared" si="186"/>
        <v>41444460.18</v>
      </c>
      <c r="K324" s="97">
        <f t="shared" si="186"/>
        <v>37951510.18</v>
      </c>
      <c r="L324" s="97">
        <f t="shared" si="186"/>
        <v>0</v>
      </c>
      <c r="M324" s="97">
        <f t="shared" si="186"/>
        <v>0</v>
      </c>
      <c r="N324" s="97">
        <f t="shared" si="186"/>
        <v>0</v>
      </c>
      <c r="O324" s="97">
        <f t="shared" si="186"/>
        <v>41444460.18</v>
      </c>
      <c r="P324" s="97">
        <f t="shared" si="186"/>
        <v>527141595.77999997</v>
      </c>
      <c r="Q324" s="33"/>
      <c r="R324" s="32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  <c r="HP324" s="33"/>
      <c r="HQ324" s="33"/>
      <c r="HR324" s="33"/>
      <c r="HS324" s="33"/>
      <c r="HT324" s="33"/>
      <c r="HU324" s="33"/>
      <c r="HV324" s="33"/>
      <c r="HW324" s="33"/>
      <c r="HX324" s="33"/>
      <c r="HY324" s="33"/>
      <c r="HZ324" s="33"/>
      <c r="IA324" s="33"/>
      <c r="IB324" s="33"/>
      <c r="IC324" s="33"/>
      <c r="ID324" s="33"/>
      <c r="IE324" s="33"/>
      <c r="IF324" s="33"/>
      <c r="IG324" s="33"/>
      <c r="IH324" s="33"/>
      <c r="II324" s="33"/>
      <c r="IJ324" s="33"/>
      <c r="IK324" s="33"/>
      <c r="IL324" s="33"/>
      <c r="IM324" s="33"/>
      <c r="IN324" s="33"/>
      <c r="IO324" s="33"/>
      <c r="IP324" s="33"/>
      <c r="IQ324" s="33"/>
      <c r="IR324" s="33"/>
      <c r="IS324" s="33"/>
      <c r="IT324" s="33"/>
      <c r="IU324" s="33"/>
      <c r="IV324" s="33"/>
      <c r="IW324" s="33"/>
      <c r="IX324" s="33"/>
      <c r="IY324" s="33"/>
      <c r="IZ324" s="33"/>
      <c r="JA324" s="33"/>
      <c r="JB324" s="33"/>
      <c r="JC324" s="33"/>
      <c r="JD324" s="33"/>
      <c r="JE324" s="33"/>
      <c r="JF324" s="33"/>
      <c r="JG324" s="33"/>
      <c r="JH324" s="33"/>
      <c r="JI324" s="33"/>
      <c r="JJ324" s="33"/>
      <c r="JK324" s="33"/>
      <c r="JL324" s="33"/>
      <c r="JM324" s="33"/>
      <c r="JN324" s="33"/>
      <c r="JO324" s="33"/>
      <c r="JP324" s="33"/>
      <c r="JQ324" s="33"/>
      <c r="JR324" s="33"/>
      <c r="JS324" s="33"/>
      <c r="JT324" s="33"/>
      <c r="JU324" s="33"/>
      <c r="JV324" s="33"/>
      <c r="JW324" s="33"/>
      <c r="JX324" s="33"/>
      <c r="JY324" s="33"/>
      <c r="JZ324" s="33"/>
      <c r="KA324" s="33"/>
      <c r="KB324" s="33"/>
      <c r="KC324" s="33"/>
      <c r="KD324" s="33"/>
      <c r="KE324" s="33"/>
      <c r="KF324" s="33"/>
      <c r="KG324" s="33"/>
      <c r="KH324" s="33"/>
      <c r="KI324" s="33"/>
      <c r="KJ324" s="33"/>
      <c r="KK324" s="33"/>
      <c r="KL324" s="33"/>
      <c r="KM324" s="33"/>
      <c r="KN324" s="33"/>
      <c r="KO324" s="33"/>
      <c r="KP324" s="33"/>
      <c r="KQ324" s="33"/>
      <c r="KR324" s="33"/>
      <c r="KS324" s="33"/>
      <c r="KT324" s="33"/>
      <c r="KU324" s="33"/>
      <c r="KV324" s="33"/>
      <c r="KW324" s="33"/>
      <c r="KX324" s="33"/>
      <c r="KY324" s="33"/>
      <c r="KZ324" s="33"/>
      <c r="LA324" s="33"/>
      <c r="LB324" s="33"/>
      <c r="LC324" s="33"/>
      <c r="LD324" s="33"/>
      <c r="LE324" s="33"/>
      <c r="LF324" s="33"/>
      <c r="LG324" s="33"/>
      <c r="LH324" s="33"/>
      <c r="LI324" s="33"/>
      <c r="LJ324" s="33"/>
      <c r="LK324" s="33"/>
      <c r="LL324" s="33"/>
      <c r="LM324" s="33"/>
      <c r="LN324" s="33"/>
      <c r="LO324" s="33"/>
      <c r="LP324" s="33"/>
      <c r="LQ324" s="33"/>
      <c r="LR324" s="33"/>
      <c r="LS324" s="33"/>
      <c r="LT324" s="33"/>
      <c r="LU324" s="33"/>
      <c r="LV324" s="33"/>
      <c r="LW324" s="33"/>
      <c r="LX324" s="33"/>
      <c r="LY324" s="33"/>
      <c r="LZ324" s="33"/>
      <c r="MA324" s="33"/>
      <c r="MB324" s="33"/>
      <c r="MC324" s="33"/>
      <c r="MD324" s="33"/>
      <c r="ME324" s="33"/>
      <c r="MF324" s="33"/>
      <c r="MG324" s="33"/>
      <c r="MH324" s="33"/>
      <c r="MI324" s="33"/>
      <c r="MJ324" s="33"/>
      <c r="MK324" s="33"/>
      <c r="ML324" s="33"/>
      <c r="MM324" s="33"/>
      <c r="MN324" s="33"/>
      <c r="MO324" s="33"/>
      <c r="MP324" s="33"/>
      <c r="MQ324" s="33"/>
      <c r="MR324" s="33"/>
      <c r="MS324" s="33"/>
      <c r="MT324" s="33"/>
      <c r="MU324" s="33"/>
      <c r="MV324" s="33"/>
      <c r="MW324" s="33"/>
      <c r="MX324" s="33"/>
      <c r="MY324" s="33"/>
      <c r="MZ324" s="33"/>
      <c r="NA324" s="33"/>
      <c r="NB324" s="33"/>
      <c r="NC324" s="33"/>
      <c r="ND324" s="33"/>
      <c r="NE324" s="33"/>
      <c r="NF324" s="33"/>
      <c r="NG324" s="33"/>
      <c r="NH324" s="33"/>
      <c r="NI324" s="33"/>
      <c r="NJ324" s="33"/>
      <c r="NK324" s="33"/>
      <c r="NL324" s="33"/>
      <c r="NM324" s="33"/>
      <c r="NN324" s="33"/>
      <c r="NO324" s="33"/>
      <c r="NP324" s="33"/>
      <c r="NQ324" s="33"/>
      <c r="NR324" s="33"/>
      <c r="NS324" s="33"/>
      <c r="NT324" s="33"/>
      <c r="NU324" s="33"/>
      <c r="NV324" s="33"/>
      <c r="NW324" s="33"/>
      <c r="NX324" s="33"/>
      <c r="NY324" s="33"/>
      <c r="NZ324" s="33"/>
      <c r="OA324" s="33"/>
      <c r="OB324" s="33"/>
      <c r="OC324" s="33"/>
      <c r="OD324" s="33"/>
      <c r="OE324" s="33"/>
      <c r="OF324" s="33"/>
      <c r="OG324" s="33"/>
      <c r="OH324" s="33"/>
      <c r="OI324" s="33"/>
      <c r="OJ324" s="33"/>
      <c r="OK324" s="33"/>
      <c r="OL324" s="33"/>
      <c r="OM324" s="33"/>
      <c r="ON324" s="33"/>
      <c r="OO324" s="33"/>
      <c r="OP324" s="33"/>
      <c r="OQ324" s="33"/>
      <c r="OR324" s="33"/>
      <c r="OS324" s="33"/>
      <c r="OT324" s="33"/>
      <c r="OU324" s="33"/>
      <c r="OV324" s="33"/>
      <c r="OW324" s="33"/>
      <c r="OX324" s="33"/>
      <c r="OY324" s="33"/>
      <c r="OZ324" s="33"/>
      <c r="PA324" s="33"/>
      <c r="PB324" s="33"/>
      <c r="PC324" s="33"/>
      <c r="PD324" s="33"/>
      <c r="PE324" s="33"/>
      <c r="PF324" s="33"/>
      <c r="PG324" s="33"/>
      <c r="PH324" s="33"/>
      <c r="PI324" s="33"/>
      <c r="PJ324" s="33"/>
      <c r="PK324" s="33"/>
      <c r="PL324" s="33"/>
      <c r="PM324" s="33"/>
      <c r="PN324" s="33"/>
      <c r="PO324" s="33"/>
      <c r="PP324" s="33"/>
      <c r="PQ324" s="33"/>
      <c r="PR324" s="33"/>
      <c r="PS324" s="33"/>
      <c r="PT324" s="33"/>
      <c r="PU324" s="33"/>
      <c r="PV324" s="33"/>
      <c r="PW324" s="33"/>
      <c r="PX324" s="33"/>
      <c r="PY324" s="33"/>
      <c r="PZ324" s="33"/>
      <c r="QA324" s="33"/>
      <c r="QB324" s="33"/>
      <c r="QC324" s="33"/>
      <c r="QD324" s="33"/>
      <c r="QE324" s="33"/>
      <c r="QF324" s="33"/>
      <c r="QG324" s="33"/>
      <c r="QH324" s="33"/>
      <c r="QI324" s="33"/>
      <c r="QJ324" s="33"/>
      <c r="QK324" s="33"/>
      <c r="QL324" s="33"/>
      <c r="QM324" s="33"/>
      <c r="QN324" s="33"/>
      <c r="QO324" s="33"/>
      <c r="QP324" s="33"/>
      <c r="QQ324" s="33"/>
      <c r="QR324" s="33"/>
      <c r="QS324" s="33"/>
      <c r="QT324" s="33"/>
      <c r="QU324" s="33"/>
      <c r="QV324" s="33"/>
      <c r="QW324" s="33"/>
      <c r="QX324" s="33"/>
      <c r="QY324" s="33"/>
      <c r="QZ324" s="33"/>
      <c r="RA324" s="33"/>
      <c r="RB324" s="33"/>
      <c r="RC324" s="33"/>
      <c r="RD324" s="33"/>
      <c r="RE324" s="33"/>
      <c r="RF324" s="33"/>
      <c r="RG324" s="33"/>
      <c r="RH324" s="33"/>
      <c r="RI324" s="33"/>
      <c r="RJ324" s="33"/>
      <c r="RK324" s="33"/>
      <c r="RL324" s="33"/>
      <c r="RM324" s="33"/>
      <c r="RN324" s="33"/>
      <c r="RO324" s="33"/>
      <c r="RP324" s="33"/>
      <c r="RQ324" s="33"/>
      <c r="RR324" s="33"/>
      <c r="RS324" s="33"/>
      <c r="RT324" s="33"/>
      <c r="RU324" s="33"/>
      <c r="RV324" s="33"/>
      <c r="RW324" s="33"/>
      <c r="RX324" s="33"/>
      <c r="RY324" s="33"/>
      <c r="RZ324" s="33"/>
      <c r="SA324" s="33"/>
      <c r="SB324" s="33"/>
      <c r="SC324" s="33"/>
      <c r="SD324" s="33"/>
      <c r="SE324" s="33"/>
      <c r="SF324" s="33"/>
      <c r="SG324" s="33"/>
      <c r="SH324" s="33"/>
      <c r="SI324" s="33"/>
      <c r="SJ324" s="33"/>
      <c r="SK324" s="33"/>
      <c r="SL324" s="33"/>
      <c r="SM324" s="33"/>
      <c r="SN324" s="33"/>
      <c r="SO324" s="33"/>
      <c r="SP324" s="33"/>
      <c r="SQ324" s="33"/>
      <c r="SR324" s="33"/>
      <c r="SS324" s="33"/>
      <c r="ST324" s="33"/>
      <c r="SU324" s="33"/>
      <c r="SV324" s="33"/>
      <c r="SW324" s="33"/>
      <c r="SX324" s="33"/>
      <c r="SY324" s="33"/>
      <c r="SZ324" s="33"/>
      <c r="TA324" s="33"/>
      <c r="TB324" s="33"/>
      <c r="TC324" s="33"/>
      <c r="TD324" s="33"/>
      <c r="TE324" s="33"/>
      <c r="TF324" s="33"/>
      <c r="TG324" s="33"/>
    </row>
    <row r="325" spans="1:527" s="34" customFormat="1" ht="37.5" customHeight="1" x14ac:dyDescent="0.25">
      <c r="A325" s="118"/>
      <c r="B325" s="108"/>
      <c r="C325" s="96"/>
      <c r="D325" s="76" t="s">
        <v>402</v>
      </c>
      <c r="E325" s="97">
        <f>E19+E68+E70+E167+E67+E71+E132+E73+E76+E135+E168+E169+E229+E206+E225+E228+E134</f>
        <v>33940606.130000003</v>
      </c>
      <c r="F325" s="97">
        <f t="shared" ref="F325:P325" si="187">F19+F68+F70+F167+F67+F71+F132+F73+F76+F135+F168+F169+F229+F206+F225+F228+F134</f>
        <v>33940606.130000003</v>
      </c>
      <c r="G325" s="97">
        <f t="shared" si="187"/>
        <v>4103499</v>
      </c>
      <c r="H325" s="97">
        <f t="shared" si="187"/>
        <v>0</v>
      </c>
      <c r="I325" s="97">
        <f t="shared" si="187"/>
        <v>0</v>
      </c>
      <c r="J325" s="97">
        <f t="shared" si="187"/>
        <v>31113850.450000003</v>
      </c>
      <c r="K325" s="97">
        <f t="shared" si="187"/>
        <v>19013850.450000003</v>
      </c>
      <c r="L325" s="97">
        <f t="shared" si="187"/>
        <v>12100000</v>
      </c>
      <c r="M325" s="97">
        <f t="shared" si="187"/>
        <v>0</v>
      </c>
      <c r="N325" s="97">
        <f t="shared" si="187"/>
        <v>0</v>
      </c>
      <c r="O325" s="97">
        <f t="shared" si="187"/>
        <v>19013850.450000003</v>
      </c>
      <c r="P325" s="97">
        <f t="shared" si="187"/>
        <v>65054456.580000006</v>
      </c>
      <c r="Q325" s="33"/>
      <c r="R325" s="32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  <c r="HP325" s="33"/>
      <c r="HQ325" s="33"/>
      <c r="HR325" s="33"/>
      <c r="HS325" s="33"/>
      <c r="HT325" s="33"/>
      <c r="HU325" s="33"/>
      <c r="HV325" s="33"/>
      <c r="HW325" s="33"/>
      <c r="HX325" s="33"/>
      <c r="HY325" s="33"/>
      <c r="HZ325" s="33"/>
      <c r="IA325" s="33"/>
      <c r="IB325" s="33"/>
      <c r="IC325" s="33"/>
      <c r="ID325" s="33"/>
      <c r="IE325" s="33"/>
      <c r="IF325" s="33"/>
      <c r="IG325" s="33"/>
      <c r="IH325" s="33"/>
      <c r="II325" s="33"/>
      <c r="IJ325" s="33"/>
      <c r="IK325" s="33"/>
      <c r="IL325" s="33"/>
      <c r="IM325" s="33"/>
      <c r="IN325" s="33"/>
      <c r="IO325" s="33"/>
      <c r="IP325" s="33"/>
      <c r="IQ325" s="33"/>
      <c r="IR325" s="33"/>
      <c r="IS325" s="33"/>
      <c r="IT325" s="33"/>
      <c r="IU325" s="33"/>
      <c r="IV325" s="33"/>
      <c r="IW325" s="33"/>
      <c r="IX325" s="33"/>
      <c r="IY325" s="33"/>
      <c r="IZ325" s="33"/>
      <c r="JA325" s="33"/>
      <c r="JB325" s="33"/>
      <c r="JC325" s="33"/>
      <c r="JD325" s="33"/>
      <c r="JE325" s="33"/>
      <c r="JF325" s="33"/>
      <c r="JG325" s="33"/>
      <c r="JH325" s="33"/>
      <c r="JI325" s="33"/>
      <c r="JJ325" s="33"/>
      <c r="JK325" s="33"/>
      <c r="JL325" s="33"/>
      <c r="JM325" s="33"/>
      <c r="JN325" s="33"/>
      <c r="JO325" s="33"/>
      <c r="JP325" s="33"/>
      <c r="JQ325" s="33"/>
      <c r="JR325" s="33"/>
      <c r="JS325" s="33"/>
      <c r="JT325" s="33"/>
      <c r="JU325" s="33"/>
      <c r="JV325" s="33"/>
      <c r="JW325" s="33"/>
      <c r="JX325" s="33"/>
      <c r="JY325" s="33"/>
      <c r="JZ325" s="33"/>
      <c r="KA325" s="33"/>
      <c r="KB325" s="33"/>
      <c r="KC325" s="33"/>
      <c r="KD325" s="33"/>
      <c r="KE325" s="33"/>
      <c r="KF325" s="33"/>
      <c r="KG325" s="33"/>
      <c r="KH325" s="33"/>
      <c r="KI325" s="33"/>
      <c r="KJ325" s="33"/>
      <c r="KK325" s="33"/>
      <c r="KL325" s="33"/>
      <c r="KM325" s="33"/>
      <c r="KN325" s="33"/>
      <c r="KO325" s="33"/>
      <c r="KP325" s="33"/>
      <c r="KQ325" s="33"/>
      <c r="KR325" s="33"/>
      <c r="KS325" s="33"/>
      <c r="KT325" s="33"/>
      <c r="KU325" s="33"/>
      <c r="KV325" s="33"/>
      <c r="KW325" s="33"/>
      <c r="KX325" s="33"/>
      <c r="KY325" s="33"/>
      <c r="KZ325" s="33"/>
      <c r="LA325" s="33"/>
      <c r="LB325" s="33"/>
      <c r="LC325" s="33"/>
      <c r="LD325" s="33"/>
      <c r="LE325" s="33"/>
      <c r="LF325" s="33"/>
      <c r="LG325" s="33"/>
      <c r="LH325" s="33"/>
      <c r="LI325" s="33"/>
      <c r="LJ325" s="33"/>
      <c r="LK325" s="33"/>
      <c r="LL325" s="33"/>
      <c r="LM325" s="33"/>
      <c r="LN325" s="33"/>
      <c r="LO325" s="33"/>
      <c r="LP325" s="33"/>
      <c r="LQ325" s="33"/>
      <c r="LR325" s="33"/>
      <c r="LS325" s="33"/>
      <c r="LT325" s="33"/>
      <c r="LU325" s="33"/>
      <c r="LV325" s="33"/>
      <c r="LW325" s="33"/>
      <c r="LX325" s="33"/>
      <c r="LY325" s="33"/>
      <c r="LZ325" s="33"/>
      <c r="MA325" s="33"/>
      <c r="MB325" s="33"/>
      <c r="MC325" s="33"/>
      <c r="MD325" s="33"/>
      <c r="ME325" s="33"/>
      <c r="MF325" s="33"/>
      <c r="MG325" s="33"/>
      <c r="MH325" s="33"/>
      <c r="MI325" s="33"/>
      <c r="MJ325" s="33"/>
      <c r="MK325" s="33"/>
      <c r="ML325" s="33"/>
      <c r="MM325" s="33"/>
      <c r="MN325" s="33"/>
      <c r="MO325" s="33"/>
      <c r="MP325" s="33"/>
      <c r="MQ325" s="33"/>
      <c r="MR325" s="33"/>
      <c r="MS325" s="33"/>
      <c r="MT325" s="33"/>
      <c r="MU325" s="33"/>
      <c r="MV325" s="33"/>
      <c r="MW325" s="33"/>
      <c r="MX325" s="33"/>
      <c r="MY325" s="33"/>
      <c r="MZ325" s="33"/>
      <c r="NA325" s="33"/>
      <c r="NB325" s="33"/>
      <c r="NC325" s="33"/>
      <c r="ND325" s="33"/>
      <c r="NE325" s="33"/>
      <c r="NF325" s="33"/>
      <c r="NG325" s="33"/>
      <c r="NH325" s="33"/>
      <c r="NI325" s="33"/>
      <c r="NJ325" s="33"/>
      <c r="NK325" s="33"/>
      <c r="NL325" s="33"/>
      <c r="NM325" s="33"/>
      <c r="NN325" s="33"/>
      <c r="NO325" s="33"/>
      <c r="NP325" s="33"/>
      <c r="NQ325" s="33"/>
      <c r="NR325" s="33"/>
      <c r="NS325" s="33"/>
      <c r="NT325" s="33"/>
      <c r="NU325" s="33"/>
      <c r="NV325" s="33"/>
      <c r="NW325" s="33"/>
      <c r="NX325" s="33"/>
      <c r="NY325" s="33"/>
      <c r="NZ325" s="33"/>
      <c r="OA325" s="33"/>
      <c r="OB325" s="33"/>
      <c r="OC325" s="33"/>
      <c r="OD325" s="33"/>
      <c r="OE325" s="33"/>
      <c r="OF325" s="33"/>
      <c r="OG325" s="33"/>
      <c r="OH325" s="33"/>
      <c r="OI325" s="33"/>
      <c r="OJ325" s="33"/>
      <c r="OK325" s="33"/>
      <c r="OL325" s="33"/>
      <c r="OM325" s="33"/>
      <c r="ON325" s="33"/>
      <c r="OO325" s="33"/>
      <c r="OP325" s="33"/>
      <c r="OQ325" s="33"/>
      <c r="OR325" s="33"/>
      <c r="OS325" s="33"/>
      <c r="OT325" s="33"/>
      <c r="OU325" s="33"/>
      <c r="OV325" s="33"/>
      <c r="OW325" s="33"/>
      <c r="OX325" s="33"/>
      <c r="OY325" s="33"/>
      <c r="OZ325" s="33"/>
      <c r="PA325" s="33"/>
      <c r="PB325" s="33"/>
      <c r="PC325" s="33"/>
      <c r="PD325" s="33"/>
      <c r="PE325" s="33"/>
      <c r="PF325" s="33"/>
      <c r="PG325" s="33"/>
      <c r="PH325" s="33"/>
      <c r="PI325" s="33"/>
      <c r="PJ325" s="33"/>
      <c r="PK325" s="33"/>
      <c r="PL325" s="33"/>
      <c r="PM325" s="33"/>
      <c r="PN325" s="33"/>
      <c r="PO325" s="33"/>
      <c r="PP325" s="33"/>
      <c r="PQ325" s="33"/>
      <c r="PR325" s="33"/>
      <c r="PS325" s="33"/>
      <c r="PT325" s="33"/>
      <c r="PU325" s="33"/>
      <c r="PV325" s="33"/>
      <c r="PW325" s="33"/>
      <c r="PX325" s="33"/>
      <c r="PY325" s="33"/>
      <c r="PZ325" s="33"/>
      <c r="QA325" s="33"/>
      <c r="QB325" s="33"/>
      <c r="QC325" s="33"/>
      <c r="QD325" s="33"/>
      <c r="QE325" s="33"/>
      <c r="QF325" s="33"/>
      <c r="QG325" s="33"/>
      <c r="QH325" s="33"/>
      <c r="QI325" s="33"/>
      <c r="QJ325" s="33"/>
      <c r="QK325" s="33"/>
      <c r="QL325" s="33"/>
      <c r="QM325" s="33"/>
      <c r="QN325" s="33"/>
      <c r="QO325" s="33"/>
      <c r="QP325" s="33"/>
      <c r="QQ325" s="33"/>
      <c r="QR325" s="33"/>
      <c r="QS325" s="33"/>
      <c r="QT325" s="33"/>
      <c r="QU325" s="33"/>
      <c r="QV325" s="33"/>
      <c r="QW325" s="33"/>
      <c r="QX325" s="33"/>
      <c r="QY325" s="33"/>
      <c r="QZ325" s="33"/>
      <c r="RA325" s="33"/>
      <c r="RB325" s="33"/>
      <c r="RC325" s="33"/>
      <c r="RD325" s="33"/>
      <c r="RE325" s="33"/>
      <c r="RF325" s="33"/>
      <c r="RG325" s="33"/>
      <c r="RH325" s="33"/>
      <c r="RI325" s="33"/>
      <c r="RJ325" s="33"/>
      <c r="RK325" s="33"/>
      <c r="RL325" s="33"/>
      <c r="RM325" s="33"/>
      <c r="RN325" s="33"/>
      <c r="RO325" s="33"/>
      <c r="RP325" s="33"/>
      <c r="RQ325" s="33"/>
      <c r="RR325" s="33"/>
      <c r="RS325" s="33"/>
      <c r="RT325" s="33"/>
      <c r="RU325" s="33"/>
      <c r="RV325" s="33"/>
      <c r="RW325" s="33"/>
      <c r="RX325" s="33"/>
      <c r="RY325" s="33"/>
      <c r="RZ325" s="33"/>
      <c r="SA325" s="33"/>
      <c r="SB325" s="33"/>
      <c r="SC325" s="33"/>
      <c r="SD325" s="33"/>
      <c r="SE325" s="33"/>
      <c r="SF325" s="33"/>
      <c r="SG325" s="33"/>
      <c r="SH325" s="33"/>
      <c r="SI325" s="33"/>
      <c r="SJ325" s="33"/>
      <c r="SK325" s="33"/>
      <c r="SL325" s="33"/>
      <c r="SM325" s="33"/>
      <c r="SN325" s="33"/>
      <c r="SO325" s="33"/>
      <c r="SP325" s="33"/>
      <c r="SQ325" s="33"/>
      <c r="SR325" s="33"/>
      <c r="SS325" s="33"/>
      <c r="ST325" s="33"/>
      <c r="SU325" s="33"/>
      <c r="SV325" s="33"/>
      <c r="SW325" s="33"/>
      <c r="SX325" s="33"/>
      <c r="SY325" s="33"/>
      <c r="SZ325" s="33"/>
      <c r="TA325" s="33"/>
      <c r="TB325" s="33"/>
      <c r="TC325" s="33"/>
      <c r="TD325" s="33"/>
      <c r="TE325" s="33"/>
      <c r="TF325" s="33"/>
      <c r="TG325" s="33"/>
    </row>
    <row r="326" spans="1:527" s="34" customFormat="1" ht="26.25" customHeight="1" x14ac:dyDescent="0.25">
      <c r="A326" s="95"/>
      <c r="B326" s="108"/>
      <c r="C326" s="108"/>
      <c r="D326" s="82" t="s">
        <v>419</v>
      </c>
      <c r="E326" s="97">
        <f t="shared" ref="E326:P326" si="188">E136+E273+E230</f>
        <v>0</v>
      </c>
      <c r="F326" s="97">
        <f t="shared" si="188"/>
        <v>0</v>
      </c>
      <c r="G326" s="97">
        <f t="shared" si="188"/>
        <v>0</v>
      </c>
      <c r="H326" s="97">
        <f t="shared" si="188"/>
        <v>0</v>
      </c>
      <c r="I326" s="97">
        <f t="shared" si="188"/>
        <v>0</v>
      </c>
      <c r="J326" s="97">
        <f t="shared" si="188"/>
        <v>127771665.12</v>
      </c>
      <c r="K326" s="97">
        <f t="shared" si="188"/>
        <v>127771665.12</v>
      </c>
      <c r="L326" s="97">
        <f t="shared" si="188"/>
        <v>0</v>
      </c>
      <c r="M326" s="97">
        <f t="shared" si="188"/>
        <v>0</v>
      </c>
      <c r="N326" s="97">
        <f t="shared" si="188"/>
        <v>0</v>
      </c>
      <c r="O326" s="97">
        <f t="shared" si="188"/>
        <v>127771665.12</v>
      </c>
      <c r="P326" s="97">
        <f t="shared" si="188"/>
        <v>127771665.12</v>
      </c>
      <c r="Q326" s="33"/>
      <c r="R326" s="32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  <c r="HP326" s="33"/>
      <c r="HQ326" s="33"/>
      <c r="HR326" s="33"/>
      <c r="HS326" s="33"/>
      <c r="HT326" s="33"/>
      <c r="HU326" s="33"/>
      <c r="HV326" s="33"/>
      <c r="HW326" s="33"/>
      <c r="HX326" s="33"/>
      <c r="HY326" s="33"/>
      <c r="HZ326" s="33"/>
      <c r="IA326" s="33"/>
      <c r="IB326" s="33"/>
      <c r="IC326" s="33"/>
      <c r="ID326" s="33"/>
      <c r="IE326" s="33"/>
      <c r="IF326" s="33"/>
      <c r="IG326" s="33"/>
      <c r="IH326" s="33"/>
      <c r="II326" s="33"/>
      <c r="IJ326" s="33"/>
      <c r="IK326" s="33"/>
      <c r="IL326" s="33"/>
      <c r="IM326" s="33"/>
      <c r="IN326" s="33"/>
      <c r="IO326" s="33"/>
      <c r="IP326" s="33"/>
      <c r="IQ326" s="33"/>
      <c r="IR326" s="33"/>
      <c r="IS326" s="33"/>
      <c r="IT326" s="33"/>
      <c r="IU326" s="33"/>
      <c r="IV326" s="33"/>
      <c r="IW326" s="33"/>
      <c r="IX326" s="33"/>
      <c r="IY326" s="33"/>
      <c r="IZ326" s="33"/>
      <c r="JA326" s="33"/>
      <c r="JB326" s="33"/>
      <c r="JC326" s="33"/>
      <c r="JD326" s="33"/>
      <c r="JE326" s="33"/>
      <c r="JF326" s="33"/>
      <c r="JG326" s="33"/>
      <c r="JH326" s="33"/>
      <c r="JI326" s="33"/>
      <c r="JJ326" s="33"/>
      <c r="JK326" s="33"/>
      <c r="JL326" s="33"/>
      <c r="JM326" s="33"/>
      <c r="JN326" s="33"/>
      <c r="JO326" s="33"/>
      <c r="JP326" s="33"/>
      <c r="JQ326" s="33"/>
      <c r="JR326" s="33"/>
      <c r="JS326" s="33"/>
      <c r="JT326" s="33"/>
      <c r="JU326" s="33"/>
      <c r="JV326" s="33"/>
      <c r="JW326" s="33"/>
      <c r="JX326" s="33"/>
      <c r="JY326" s="33"/>
      <c r="JZ326" s="33"/>
      <c r="KA326" s="33"/>
      <c r="KB326" s="33"/>
      <c r="KC326" s="33"/>
      <c r="KD326" s="33"/>
      <c r="KE326" s="33"/>
      <c r="KF326" s="33"/>
      <c r="KG326" s="33"/>
      <c r="KH326" s="33"/>
      <c r="KI326" s="33"/>
      <c r="KJ326" s="33"/>
      <c r="KK326" s="33"/>
      <c r="KL326" s="33"/>
      <c r="KM326" s="33"/>
      <c r="KN326" s="33"/>
      <c r="KO326" s="33"/>
      <c r="KP326" s="33"/>
      <c r="KQ326" s="33"/>
      <c r="KR326" s="33"/>
      <c r="KS326" s="33"/>
      <c r="KT326" s="33"/>
      <c r="KU326" s="33"/>
      <c r="KV326" s="33"/>
      <c r="KW326" s="33"/>
      <c r="KX326" s="33"/>
      <c r="KY326" s="33"/>
      <c r="KZ326" s="33"/>
      <c r="LA326" s="33"/>
      <c r="LB326" s="33"/>
      <c r="LC326" s="33"/>
      <c r="LD326" s="33"/>
      <c r="LE326" s="33"/>
      <c r="LF326" s="33"/>
      <c r="LG326" s="33"/>
      <c r="LH326" s="33"/>
      <c r="LI326" s="33"/>
      <c r="LJ326" s="33"/>
      <c r="LK326" s="33"/>
      <c r="LL326" s="33"/>
      <c r="LM326" s="33"/>
      <c r="LN326" s="33"/>
      <c r="LO326" s="33"/>
      <c r="LP326" s="33"/>
      <c r="LQ326" s="33"/>
      <c r="LR326" s="33"/>
      <c r="LS326" s="33"/>
      <c r="LT326" s="33"/>
      <c r="LU326" s="33"/>
      <c r="LV326" s="33"/>
      <c r="LW326" s="33"/>
      <c r="LX326" s="33"/>
      <c r="LY326" s="33"/>
      <c r="LZ326" s="33"/>
      <c r="MA326" s="33"/>
      <c r="MB326" s="33"/>
      <c r="MC326" s="33"/>
      <c r="MD326" s="33"/>
      <c r="ME326" s="33"/>
      <c r="MF326" s="33"/>
      <c r="MG326" s="33"/>
      <c r="MH326" s="33"/>
      <c r="MI326" s="33"/>
      <c r="MJ326" s="33"/>
      <c r="MK326" s="33"/>
      <c r="ML326" s="33"/>
      <c r="MM326" s="33"/>
      <c r="MN326" s="33"/>
      <c r="MO326" s="33"/>
      <c r="MP326" s="33"/>
      <c r="MQ326" s="33"/>
      <c r="MR326" s="33"/>
      <c r="MS326" s="33"/>
      <c r="MT326" s="33"/>
      <c r="MU326" s="33"/>
      <c r="MV326" s="33"/>
      <c r="MW326" s="33"/>
      <c r="MX326" s="33"/>
      <c r="MY326" s="33"/>
      <c r="MZ326" s="33"/>
      <c r="NA326" s="33"/>
      <c r="NB326" s="33"/>
      <c r="NC326" s="33"/>
      <c r="ND326" s="33"/>
      <c r="NE326" s="33"/>
      <c r="NF326" s="33"/>
      <c r="NG326" s="33"/>
      <c r="NH326" s="33"/>
      <c r="NI326" s="33"/>
      <c r="NJ326" s="33"/>
      <c r="NK326" s="33"/>
      <c r="NL326" s="33"/>
      <c r="NM326" s="33"/>
      <c r="NN326" s="33"/>
      <c r="NO326" s="33"/>
      <c r="NP326" s="33"/>
      <c r="NQ326" s="33"/>
      <c r="NR326" s="33"/>
      <c r="NS326" s="33"/>
      <c r="NT326" s="33"/>
      <c r="NU326" s="33"/>
      <c r="NV326" s="33"/>
      <c r="NW326" s="33"/>
      <c r="NX326" s="33"/>
      <c r="NY326" s="33"/>
      <c r="NZ326" s="33"/>
      <c r="OA326" s="33"/>
      <c r="OB326" s="33"/>
      <c r="OC326" s="33"/>
      <c r="OD326" s="33"/>
      <c r="OE326" s="33"/>
      <c r="OF326" s="33"/>
      <c r="OG326" s="33"/>
      <c r="OH326" s="33"/>
      <c r="OI326" s="33"/>
      <c r="OJ326" s="33"/>
      <c r="OK326" s="33"/>
      <c r="OL326" s="33"/>
      <c r="OM326" s="33"/>
      <c r="ON326" s="33"/>
      <c r="OO326" s="33"/>
      <c r="OP326" s="33"/>
      <c r="OQ326" s="33"/>
      <c r="OR326" s="33"/>
      <c r="OS326" s="33"/>
      <c r="OT326" s="33"/>
      <c r="OU326" s="33"/>
      <c r="OV326" s="33"/>
      <c r="OW326" s="33"/>
      <c r="OX326" s="33"/>
      <c r="OY326" s="33"/>
      <c r="OZ326" s="33"/>
      <c r="PA326" s="33"/>
      <c r="PB326" s="33"/>
      <c r="PC326" s="33"/>
      <c r="PD326" s="33"/>
      <c r="PE326" s="33"/>
      <c r="PF326" s="33"/>
      <c r="PG326" s="33"/>
      <c r="PH326" s="33"/>
      <c r="PI326" s="33"/>
      <c r="PJ326" s="33"/>
      <c r="PK326" s="33"/>
      <c r="PL326" s="33"/>
      <c r="PM326" s="33"/>
      <c r="PN326" s="33"/>
      <c r="PO326" s="33"/>
      <c r="PP326" s="33"/>
      <c r="PQ326" s="33"/>
      <c r="PR326" s="33"/>
      <c r="PS326" s="33"/>
      <c r="PT326" s="33"/>
      <c r="PU326" s="33"/>
      <c r="PV326" s="33"/>
      <c r="PW326" s="33"/>
      <c r="PX326" s="33"/>
      <c r="PY326" s="33"/>
      <c r="PZ326" s="33"/>
      <c r="QA326" s="33"/>
      <c r="QB326" s="33"/>
      <c r="QC326" s="33"/>
      <c r="QD326" s="33"/>
      <c r="QE326" s="33"/>
      <c r="QF326" s="33"/>
      <c r="QG326" s="33"/>
      <c r="QH326" s="33"/>
      <c r="QI326" s="33"/>
      <c r="QJ326" s="33"/>
      <c r="QK326" s="33"/>
      <c r="QL326" s="33"/>
      <c r="QM326" s="33"/>
      <c r="QN326" s="33"/>
      <c r="QO326" s="33"/>
      <c r="QP326" s="33"/>
      <c r="QQ326" s="33"/>
      <c r="QR326" s="33"/>
      <c r="QS326" s="33"/>
      <c r="QT326" s="33"/>
      <c r="QU326" s="33"/>
      <c r="QV326" s="33"/>
      <c r="QW326" s="33"/>
      <c r="QX326" s="33"/>
      <c r="QY326" s="33"/>
      <c r="QZ326" s="33"/>
      <c r="RA326" s="33"/>
      <c r="RB326" s="33"/>
      <c r="RC326" s="33"/>
      <c r="RD326" s="33"/>
      <c r="RE326" s="33"/>
      <c r="RF326" s="33"/>
      <c r="RG326" s="33"/>
      <c r="RH326" s="33"/>
      <c r="RI326" s="33"/>
      <c r="RJ326" s="33"/>
      <c r="RK326" s="33"/>
      <c r="RL326" s="33"/>
      <c r="RM326" s="33"/>
      <c r="RN326" s="33"/>
      <c r="RO326" s="33"/>
      <c r="RP326" s="33"/>
      <c r="RQ326" s="33"/>
      <c r="RR326" s="33"/>
      <c r="RS326" s="33"/>
      <c r="RT326" s="33"/>
      <c r="RU326" s="33"/>
      <c r="RV326" s="33"/>
      <c r="RW326" s="33"/>
      <c r="RX326" s="33"/>
      <c r="RY326" s="33"/>
      <c r="RZ326" s="33"/>
      <c r="SA326" s="33"/>
      <c r="SB326" s="33"/>
      <c r="SC326" s="33"/>
      <c r="SD326" s="33"/>
      <c r="SE326" s="33"/>
      <c r="SF326" s="33"/>
      <c r="SG326" s="33"/>
      <c r="SH326" s="33"/>
      <c r="SI326" s="33"/>
      <c r="SJ326" s="33"/>
      <c r="SK326" s="33"/>
      <c r="SL326" s="33"/>
      <c r="SM326" s="33"/>
      <c r="SN326" s="33"/>
      <c r="SO326" s="33"/>
      <c r="SP326" s="33"/>
      <c r="SQ326" s="33"/>
      <c r="SR326" s="33"/>
      <c r="SS326" s="33"/>
      <c r="ST326" s="33"/>
      <c r="SU326" s="33"/>
      <c r="SV326" s="33"/>
      <c r="SW326" s="33"/>
      <c r="SX326" s="33"/>
      <c r="SY326" s="33"/>
      <c r="SZ326" s="33"/>
      <c r="TA326" s="33"/>
      <c r="TB326" s="33"/>
      <c r="TC326" s="33"/>
      <c r="TD326" s="33"/>
      <c r="TE326" s="33"/>
      <c r="TF326" s="33"/>
      <c r="TG326" s="33"/>
    </row>
    <row r="327" spans="1:527" s="27" customFormat="1" ht="30" customHeight="1" x14ac:dyDescent="0.25">
      <c r="A327" s="66"/>
      <c r="B327" s="67"/>
      <c r="C327" s="68"/>
      <c r="D327" s="69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  <c r="FK327" s="32"/>
      <c r="FL327" s="32"/>
      <c r="FM327" s="32"/>
      <c r="FN327" s="32"/>
      <c r="FO327" s="32"/>
      <c r="FP327" s="32"/>
      <c r="FQ327" s="32"/>
      <c r="FR327" s="32"/>
      <c r="FS327" s="32"/>
      <c r="FT327" s="32"/>
      <c r="FU327" s="32"/>
      <c r="FV327" s="32"/>
      <c r="FW327" s="32"/>
      <c r="FX327" s="32"/>
      <c r="FY327" s="32"/>
      <c r="FZ327" s="32"/>
      <c r="GA327" s="32"/>
      <c r="GB327" s="32"/>
      <c r="GC327" s="32"/>
      <c r="GD327" s="32"/>
      <c r="GE327" s="32"/>
      <c r="GF327" s="32"/>
      <c r="GG327" s="32"/>
      <c r="GH327" s="32"/>
      <c r="GI327" s="32"/>
      <c r="GJ327" s="32"/>
      <c r="GK327" s="32"/>
      <c r="GL327" s="32"/>
      <c r="GM327" s="32"/>
      <c r="GN327" s="32"/>
      <c r="GO327" s="32"/>
      <c r="GP327" s="32"/>
      <c r="GQ327" s="32"/>
      <c r="GR327" s="32"/>
      <c r="GS327" s="32"/>
      <c r="GT327" s="32"/>
      <c r="GU327" s="32"/>
      <c r="GV327" s="32"/>
      <c r="GW327" s="32"/>
      <c r="GX327" s="32"/>
      <c r="GY327" s="32"/>
      <c r="GZ327" s="32"/>
      <c r="HA327" s="32"/>
      <c r="HB327" s="32"/>
      <c r="HC327" s="32"/>
      <c r="HD327" s="32"/>
      <c r="HE327" s="32"/>
      <c r="HF327" s="32"/>
      <c r="HG327" s="32"/>
      <c r="HH327" s="32"/>
      <c r="HI327" s="32"/>
      <c r="HJ327" s="32"/>
      <c r="HK327" s="32"/>
      <c r="HL327" s="32"/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2"/>
      <c r="IC327" s="32"/>
      <c r="ID327" s="32"/>
      <c r="IE327" s="32"/>
      <c r="IF327" s="32"/>
      <c r="IG327" s="32"/>
      <c r="IH327" s="32"/>
      <c r="II327" s="32"/>
      <c r="IJ327" s="32"/>
      <c r="IK327" s="32"/>
      <c r="IL327" s="32"/>
      <c r="IM327" s="32"/>
      <c r="IN327" s="32"/>
      <c r="IO327" s="32"/>
      <c r="IP327" s="32"/>
      <c r="IQ327" s="32"/>
      <c r="IR327" s="32"/>
      <c r="IS327" s="32"/>
      <c r="IT327" s="32"/>
      <c r="IU327" s="32"/>
      <c r="IV327" s="32"/>
      <c r="IW327" s="32"/>
      <c r="IX327" s="32"/>
      <c r="IY327" s="32"/>
      <c r="IZ327" s="32"/>
      <c r="JA327" s="32"/>
      <c r="JB327" s="32"/>
      <c r="JC327" s="32"/>
      <c r="JD327" s="32"/>
      <c r="JE327" s="32"/>
      <c r="JF327" s="32"/>
      <c r="JG327" s="32"/>
      <c r="JH327" s="32"/>
      <c r="JI327" s="32"/>
      <c r="JJ327" s="32"/>
      <c r="JK327" s="32"/>
      <c r="JL327" s="32"/>
      <c r="JM327" s="32"/>
      <c r="JN327" s="32"/>
      <c r="JO327" s="32"/>
      <c r="JP327" s="32"/>
      <c r="JQ327" s="32"/>
      <c r="JR327" s="32"/>
      <c r="JS327" s="32"/>
      <c r="JT327" s="32"/>
      <c r="JU327" s="32"/>
      <c r="JV327" s="32"/>
      <c r="JW327" s="32"/>
      <c r="JX327" s="32"/>
      <c r="JY327" s="32"/>
      <c r="JZ327" s="32"/>
      <c r="KA327" s="32"/>
      <c r="KB327" s="32"/>
      <c r="KC327" s="32"/>
      <c r="KD327" s="32"/>
      <c r="KE327" s="32"/>
      <c r="KF327" s="32"/>
      <c r="KG327" s="32"/>
      <c r="KH327" s="32"/>
      <c r="KI327" s="32"/>
      <c r="KJ327" s="32"/>
      <c r="KK327" s="32"/>
      <c r="KL327" s="32"/>
      <c r="KM327" s="32"/>
      <c r="KN327" s="32"/>
      <c r="KO327" s="32"/>
      <c r="KP327" s="32"/>
      <c r="KQ327" s="32"/>
      <c r="KR327" s="32"/>
      <c r="KS327" s="32"/>
      <c r="KT327" s="32"/>
      <c r="KU327" s="32"/>
      <c r="KV327" s="32"/>
      <c r="KW327" s="32"/>
      <c r="KX327" s="32"/>
      <c r="KY327" s="32"/>
      <c r="KZ327" s="32"/>
      <c r="LA327" s="32"/>
      <c r="LB327" s="32"/>
      <c r="LC327" s="32"/>
      <c r="LD327" s="32"/>
      <c r="LE327" s="32"/>
      <c r="LF327" s="32"/>
      <c r="LG327" s="32"/>
      <c r="LH327" s="32"/>
      <c r="LI327" s="32"/>
      <c r="LJ327" s="32"/>
      <c r="LK327" s="32"/>
      <c r="LL327" s="32"/>
      <c r="LM327" s="32"/>
      <c r="LN327" s="32"/>
      <c r="LO327" s="32"/>
      <c r="LP327" s="32"/>
      <c r="LQ327" s="32"/>
      <c r="LR327" s="32"/>
      <c r="LS327" s="32"/>
      <c r="LT327" s="32"/>
      <c r="LU327" s="32"/>
      <c r="LV327" s="32"/>
      <c r="LW327" s="32"/>
      <c r="LX327" s="32"/>
      <c r="LY327" s="32"/>
      <c r="LZ327" s="32"/>
      <c r="MA327" s="32"/>
      <c r="MB327" s="32"/>
      <c r="MC327" s="32"/>
      <c r="MD327" s="32"/>
      <c r="ME327" s="32"/>
      <c r="MF327" s="32"/>
      <c r="MG327" s="32"/>
      <c r="MH327" s="32"/>
      <c r="MI327" s="32"/>
      <c r="MJ327" s="32"/>
      <c r="MK327" s="32"/>
      <c r="ML327" s="32"/>
      <c r="MM327" s="32"/>
      <c r="MN327" s="32"/>
      <c r="MO327" s="32"/>
      <c r="MP327" s="32"/>
      <c r="MQ327" s="32"/>
      <c r="MR327" s="32"/>
      <c r="MS327" s="32"/>
      <c r="MT327" s="32"/>
      <c r="MU327" s="32"/>
      <c r="MV327" s="32"/>
      <c r="MW327" s="32"/>
      <c r="MX327" s="32"/>
      <c r="MY327" s="32"/>
      <c r="MZ327" s="32"/>
      <c r="NA327" s="32"/>
      <c r="NB327" s="32"/>
      <c r="NC327" s="32"/>
      <c r="ND327" s="32"/>
      <c r="NE327" s="32"/>
      <c r="NF327" s="32"/>
      <c r="NG327" s="32"/>
      <c r="NH327" s="32"/>
      <c r="NI327" s="32"/>
      <c r="NJ327" s="32"/>
      <c r="NK327" s="32"/>
      <c r="NL327" s="32"/>
      <c r="NM327" s="32"/>
      <c r="NN327" s="32"/>
      <c r="NO327" s="32"/>
      <c r="NP327" s="32"/>
      <c r="NQ327" s="32"/>
      <c r="NR327" s="32"/>
      <c r="NS327" s="32"/>
      <c r="NT327" s="32"/>
      <c r="NU327" s="32"/>
      <c r="NV327" s="32"/>
      <c r="NW327" s="32"/>
      <c r="NX327" s="32"/>
      <c r="NY327" s="32"/>
      <c r="NZ327" s="32"/>
      <c r="OA327" s="32"/>
      <c r="OB327" s="32"/>
      <c r="OC327" s="32"/>
      <c r="OD327" s="32"/>
      <c r="OE327" s="32"/>
      <c r="OF327" s="32"/>
      <c r="OG327" s="32"/>
      <c r="OH327" s="32"/>
      <c r="OI327" s="32"/>
      <c r="OJ327" s="32"/>
      <c r="OK327" s="32"/>
      <c r="OL327" s="32"/>
      <c r="OM327" s="32"/>
      <c r="ON327" s="32"/>
      <c r="OO327" s="32"/>
      <c r="OP327" s="32"/>
      <c r="OQ327" s="32"/>
      <c r="OR327" s="32"/>
      <c r="OS327" s="32"/>
      <c r="OT327" s="32"/>
      <c r="OU327" s="32"/>
      <c r="OV327" s="32"/>
      <c r="OW327" s="32"/>
      <c r="OX327" s="32"/>
      <c r="OY327" s="32"/>
      <c r="OZ327" s="32"/>
      <c r="PA327" s="32"/>
      <c r="PB327" s="32"/>
      <c r="PC327" s="32"/>
      <c r="PD327" s="32"/>
      <c r="PE327" s="32"/>
      <c r="PF327" s="32"/>
      <c r="PG327" s="32"/>
      <c r="PH327" s="32"/>
      <c r="PI327" s="32"/>
      <c r="PJ327" s="32"/>
      <c r="PK327" s="32"/>
      <c r="PL327" s="32"/>
      <c r="PM327" s="32"/>
      <c r="PN327" s="32"/>
      <c r="PO327" s="32"/>
      <c r="PP327" s="32"/>
      <c r="PQ327" s="32"/>
      <c r="PR327" s="32"/>
      <c r="PS327" s="32"/>
      <c r="PT327" s="32"/>
      <c r="PU327" s="32"/>
      <c r="PV327" s="32"/>
      <c r="PW327" s="32"/>
      <c r="PX327" s="32"/>
      <c r="PY327" s="32"/>
      <c r="PZ327" s="32"/>
      <c r="QA327" s="32"/>
      <c r="QB327" s="32"/>
      <c r="QC327" s="32"/>
      <c r="QD327" s="32"/>
      <c r="QE327" s="32"/>
      <c r="QF327" s="32"/>
      <c r="QG327" s="32"/>
      <c r="QH327" s="32"/>
      <c r="QI327" s="32"/>
      <c r="QJ327" s="32"/>
      <c r="QK327" s="32"/>
      <c r="QL327" s="32"/>
      <c r="QM327" s="32"/>
      <c r="QN327" s="32"/>
      <c r="QO327" s="32"/>
      <c r="QP327" s="32"/>
      <c r="QQ327" s="32"/>
      <c r="QR327" s="32"/>
      <c r="QS327" s="32"/>
      <c r="QT327" s="32"/>
      <c r="QU327" s="32"/>
      <c r="QV327" s="32"/>
      <c r="QW327" s="32"/>
      <c r="QX327" s="32"/>
      <c r="QY327" s="32"/>
      <c r="QZ327" s="32"/>
      <c r="RA327" s="32"/>
      <c r="RB327" s="32"/>
      <c r="RC327" s="32"/>
      <c r="RD327" s="32"/>
      <c r="RE327" s="32"/>
      <c r="RF327" s="32"/>
      <c r="RG327" s="32"/>
      <c r="RH327" s="32"/>
      <c r="RI327" s="32"/>
      <c r="RJ327" s="32"/>
      <c r="RK327" s="32"/>
      <c r="RL327" s="32"/>
      <c r="RM327" s="32"/>
      <c r="RN327" s="32"/>
      <c r="RO327" s="32"/>
      <c r="RP327" s="32"/>
      <c r="RQ327" s="32"/>
      <c r="RR327" s="32"/>
      <c r="RS327" s="32"/>
      <c r="RT327" s="32"/>
      <c r="RU327" s="32"/>
      <c r="RV327" s="32"/>
      <c r="RW327" s="32"/>
      <c r="RX327" s="32"/>
      <c r="RY327" s="32"/>
      <c r="RZ327" s="32"/>
      <c r="SA327" s="32"/>
      <c r="SB327" s="32"/>
      <c r="SC327" s="32"/>
      <c r="SD327" s="32"/>
      <c r="SE327" s="32"/>
      <c r="SF327" s="32"/>
      <c r="SG327" s="32"/>
      <c r="SH327" s="32"/>
      <c r="SI327" s="32"/>
      <c r="SJ327" s="32"/>
      <c r="SK327" s="32"/>
      <c r="SL327" s="32"/>
      <c r="SM327" s="32"/>
      <c r="SN327" s="32"/>
      <c r="SO327" s="32"/>
      <c r="SP327" s="32"/>
      <c r="SQ327" s="32"/>
      <c r="SR327" s="32"/>
      <c r="SS327" s="32"/>
      <c r="ST327" s="32"/>
      <c r="SU327" s="32"/>
      <c r="SV327" s="32"/>
      <c r="SW327" s="32"/>
      <c r="SX327" s="32"/>
      <c r="SY327" s="32"/>
      <c r="SZ327" s="32"/>
      <c r="TA327" s="32"/>
      <c r="TB327" s="32"/>
      <c r="TC327" s="32"/>
      <c r="TD327" s="32"/>
      <c r="TE327" s="32"/>
      <c r="TF327" s="32"/>
      <c r="TG327" s="32"/>
    </row>
    <row r="328" spans="1:527" s="27" customFormat="1" ht="30" customHeight="1" x14ac:dyDescent="0.25">
      <c r="A328" s="66"/>
      <c r="B328" s="67"/>
      <c r="C328" s="68"/>
      <c r="D328" s="69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  <c r="GH328" s="32"/>
      <c r="GI328" s="32"/>
      <c r="GJ328" s="32"/>
      <c r="GK328" s="32"/>
      <c r="GL328" s="32"/>
      <c r="GM328" s="32"/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2"/>
      <c r="IC328" s="32"/>
      <c r="ID328" s="32"/>
      <c r="IE328" s="32"/>
      <c r="IF328" s="32"/>
      <c r="IG328" s="32"/>
      <c r="IH328" s="32"/>
      <c r="II328" s="32"/>
      <c r="IJ328" s="32"/>
      <c r="IK328" s="32"/>
      <c r="IL328" s="32"/>
      <c r="IM328" s="32"/>
      <c r="IN328" s="32"/>
      <c r="IO328" s="32"/>
      <c r="IP328" s="32"/>
      <c r="IQ328" s="32"/>
      <c r="IR328" s="32"/>
      <c r="IS328" s="32"/>
      <c r="IT328" s="32"/>
      <c r="IU328" s="32"/>
      <c r="IV328" s="32"/>
      <c r="IW328" s="32"/>
      <c r="IX328" s="32"/>
      <c r="IY328" s="32"/>
      <c r="IZ328" s="32"/>
      <c r="JA328" s="32"/>
      <c r="JB328" s="32"/>
      <c r="JC328" s="32"/>
      <c r="JD328" s="32"/>
      <c r="JE328" s="32"/>
      <c r="JF328" s="32"/>
      <c r="JG328" s="32"/>
      <c r="JH328" s="32"/>
      <c r="JI328" s="32"/>
      <c r="JJ328" s="32"/>
      <c r="JK328" s="32"/>
      <c r="JL328" s="32"/>
      <c r="JM328" s="32"/>
      <c r="JN328" s="32"/>
      <c r="JO328" s="32"/>
      <c r="JP328" s="32"/>
      <c r="JQ328" s="32"/>
      <c r="JR328" s="32"/>
      <c r="JS328" s="32"/>
      <c r="JT328" s="32"/>
      <c r="JU328" s="32"/>
      <c r="JV328" s="32"/>
      <c r="JW328" s="32"/>
      <c r="JX328" s="32"/>
      <c r="JY328" s="32"/>
      <c r="JZ328" s="32"/>
      <c r="KA328" s="32"/>
      <c r="KB328" s="32"/>
      <c r="KC328" s="32"/>
      <c r="KD328" s="32"/>
      <c r="KE328" s="32"/>
      <c r="KF328" s="32"/>
      <c r="KG328" s="32"/>
      <c r="KH328" s="32"/>
      <c r="KI328" s="32"/>
      <c r="KJ328" s="32"/>
      <c r="KK328" s="32"/>
      <c r="KL328" s="32"/>
      <c r="KM328" s="32"/>
      <c r="KN328" s="32"/>
      <c r="KO328" s="32"/>
      <c r="KP328" s="32"/>
      <c r="KQ328" s="32"/>
      <c r="KR328" s="32"/>
      <c r="KS328" s="32"/>
      <c r="KT328" s="32"/>
      <c r="KU328" s="32"/>
      <c r="KV328" s="32"/>
      <c r="KW328" s="32"/>
      <c r="KX328" s="32"/>
      <c r="KY328" s="32"/>
      <c r="KZ328" s="32"/>
      <c r="LA328" s="32"/>
      <c r="LB328" s="32"/>
      <c r="LC328" s="32"/>
      <c r="LD328" s="32"/>
      <c r="LE328" s="32"/>
      <c r="LF328" s="32"/>
      <c r="LG328" s="32"/>
      <c r="LH328" s="32"/>
      <c r="LI328" s="32"/>
      <c r="LJ328" s="32"/>
      <c r="LK328" s="32"/>
      <c r="LL328" s="32"/>
      <c r="LM328" s="32"/>
      <c r="LN328" s="32"/>
      <c r="LO328" s="32"/>
      <c r="LP328" s="32"/>
      <c r="LQ328" s="32"/>
      <c r="LR328" s="32"/>
      <c r="LS328" s="32"/>
      <c r="LT328" s="32"/>
      <c r="LU328" s="32"/>
      <c r="LV328" s="32"/>
      <c r="LW328" s="32"/>
      <c r="LX328" s="32"/>
      <c r="LY328" s="32"/>
      <c r="LZ328" s="32"/>
      <c r="MA328" s="32"/>
      <c r="MB328" s="32"/>
      <c r="MC328" s="32"/>
      <c r="MD328" s="32"/>
      <c r="ME328" s="32"/>
      <c r="MF328" s="32"/>
      <c r="MG328" s="32"/>
      <c r="MH328" s="32"/>
      <c r="MI328" s="32"/>
      <c r="MJ328" s="32"/>
      <c r="MK328" s="32"/>
      <c r="ML328" s="32"/>
      <c r="MM328" s="32"/>
      <c r="MN328" s="32"/>
      <c r="MO328" s="32"/>
      <c r="MP328" s="32"/>
      <c r="MQ328" s="32"/>
      <c r="MR328" s="32"/>
      <c r="MS328" s="32"/>
      <c r="MT328" s="32"/>
      <c r="MU328" s="32"/>
      <c r="MV328" s="32"/>
      <c r="MW328" s="32"/>
      <c r="MX328" s="32"/>
      <c r="MY328" s="32"/>
      <c r="MZ328" s="32"/>
      <c r="NA328" s="32"/>
      <c r="NB328" s="32"/>
      <c r="NC328" s="32"/>
      <c r="ND328" s="32"/>
      <c r="NE328" s="32"/>
      <c r="NF328" s="32"/>
      <c r="NG328" s="32"/>
      <c r="NH328" s="32"/>
      <c r="NI328" s="32"/>
      <c r="NJ328" s="32"/>
      <c r="NK328" s="32"/>
      <c r="NL328" s="32"/>
      <c r="NM328" s="32"/>
      <c r="NN328" s="32"/>
      <c r="NO328" s="32"/>
      <c r="NP328" s="32"/>
      <c r="NQ328" s="32"/>
      <c r="NR328" s="32"/>
      <c r="NS328" s="32"/>
      <c r="NT328" s="32"/>
      <c r="NU328" s="32"/>
      <c r="NV328" s="32"/>
      <c r="NW328" s="32"/>
      <c r="NX328" s="32"/>
      <c r="NY328" s="32"/>
      <c r="NZ328" s="32"/>
      <c r="OA328" s="32"/>
      <c r="OB328" s="32"/>
      <c r="OC328" s="32"/>
      <c r="OD328" s="32"/>
      <c r="OE328" s="32"/>
      <c r="OF328" s="32"/>
      <c r="OG328" s="32"/>
      <c r="OH328" s="32"/>
      <c r="OI328" s="32"/>
      <c r="OJ328" s="32"/>
      <c r="OK328" s="32"/>
      <c r="OL328" s="32"/>
      <c r="OM328" s="32"/>
      <c r="ON328" s="32"/>
      <c r="OO328" s="32"/>
      <c r="OP328" s="32"/>
      <c r="OQ328" s="32"/>
      <c r="OR328" s="32"/>
      <c r="OS328" s="32"/>
      <c r="OT328" s="32"/>
      <c r="OU328" s="32"/>
      <c r="OV328" s="32"/>
      <c r="OW328" s="32"/>
      <c r="OX328" s="32"/>
      <c r="OY328" s="32"/>
      <c r="OZ328" s="32"/>
      <c r="PA328" s="32"/>
      <c r="PB328" s="32"/>
      <c r="PC328" s="32"/>
      <c r="PD328" s="32"/>
      <c r="PE328" s="32"/>
      <c r="PF328" s="32"/>
      <c r="PG328" s="32"/>
      <c r="PH328" s="32"/>
      <c r="PI328" s="32"/>
      <c r="PJ328" s="32"/>
      <c r="PK328" s="32"/>
      <c r="PL328" s="32"/>
      <c r="PM328" s="32"/>
      <c r="PN328" s="32"/>
      <c r="PO328" s="32"/>
      <c r="PP328" s="32"/>
      <c r="PQ328" s="32"/>
      <c r="PR328" s="32"/>
      <c r="PS328" s="32"/>
      <c r="PT328" s="32"/>
      <c r="PU328" s="32"/>
      <c r="PV328" s="32"/>
      <c r="PW328" s="32"/>
      <c r="PX328" s="32"/>
      <c r="PY328" s="32"/>
      <c r="PZ328" s="32"/>
      <c r="QA328" s="32"/>
      <c r="QB328" s="32"/>
      <c r="QC328" s="32"/>
      <c r="QD328" s="32"/>
      <c r="QE328" s="32"/>
      <c r="QF328" s="32"/>
      <c r="QG328" s="32"/>
      <c r="QH328" s="32"/>
      <c r="QI328" s="32"/>
      <c r="QJ328" s="32"/>
      <c r="QK328" s="32"/>
      <c r="QL328" s="32"/>
      <c r="QM328" s="32"/>
      <c r="QN328" s="32"/>
      <c r="QO328" s="32"/>
      <c r="QP328" s="32"/>
      <c r="QQ328" s="32"/>
      <c r="QR328" s="32"/>
      <c r="QS328" s="32"/>
      <c r="QT328" s="32"/>
      <c r="QU328" s="32"/>
      <c r="QV328" s="32"/>
      <c r="QW328" s="32"/>
      <c r="QX328" s="32"/>
      <c r="QY328" s="32"/>
      <c r="QZ328" s="32"/>
      <c r="RA328" s="32"/>
      <c r="RB328" s="32"/>
      <c r="RC328" s="32"/>
      <c r="RD328" s="32"/>
      <c r="RE328" s="32"/>
      <c r="RF328" s="32"/>
      <c r="RG328" s="32"/>
      <c r="RH328" s="32"/>
      <c r="RI328" s="32"/>
      <c r="RJ328" s="32"/>
      <c r="RK328" s="32"/>
      <c r="RL328" s="32"/>
      <c r="RM328" s="32"/>
      <c r="RN328" s="32"/>
      <c r="RO328" s="32"/>
      <c r="RP328" s="32"/>
      <c r="RQ328" s="32"/>
      <c r="RR328" s="32"/>
      <c r="RS328" s="32"/>
      <c r="RT328" s="32"/>
      <c r="RU328" s="32"/>
      <c r="RV328" s="32"/>
      <c r="RW328" s="32"/>
      <c r="RX328" s="32"/>
      <c r="RY328" s="32"/>
      <c r="RZ328" s="32"/>
      <c r="SA328" s="32"/>
      <c r="SB328" s="32"/>
      <c r="SC328" s="32"/>
      <c r="SD328" s="32"/>
      <c r="SE328" s="32"/>
      <c r="SF328" s="32"/>
      <c r="SG328" s="32"/>
      <c r="SH328" s="32"/>
      <c r="SI328" s="32"/>
      <c r="SJ328" s="32"/>
      <c r="SK328" s="32"/>
      <c r="SL328" s="32"/>
      <c r="SM328" s="32"/>
      <c r="SN328" s="32"/>
      <c r="SO328" s="32"/>
      <c r="SP328" s="32"/>
      <c r="SQ328" s="32"/>
      <c r="SR328" s="32"/>
      <c r="SS328" s="32"/>
      <c r="ST328" s="32"/>
      <c r="SU328" s="32"/>
      <c r="SV328" s="32"/>
      <c r="SW328" s="32"/>
      <c r="SX328" s="32"/>
      <c r="SY328" s="32"/>
      <c r="SZ328" s="32"/>
      <c r="TA328" s="32"/>
      <c r="TB328" s="32"/>
      <c r="TC328" s="32"/>
      <c r="TD328" s="32"/>
      <c r="TE328" s="32"/>
      <c r="TF328" s="32"/>
      <c r="TG328" s="32"/>
    </row>
    <row r="329" spans="1:527" s="27" customFormat="1" ht="30" customHeight="1" x14ac:dyDescent="0.25">
      <c r="A329" s="66"/>
      <c r="B329" s="67"/>
      <c r="C329" s="68"/>
      <c r="D329" s="69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  <c r="EH329" s="32"/>
      <c r="EI329" s="32"/>
      <c r="EJ329" s="32"/>
      <c r="EK329" s="32"/>
      <c r="EL329" s="32"/>
      <c r="EM329" s="32"/>
      <c r="EN329" s="32"/>
      <c r="EO329" s="32"/>
      <c r="EP329" s="32"/>
      <c r="EQ329" s="32"/>
      <c r="ER329" s="32"/>
      <c r="ES329" s="32"/>
      <c r="ET329" s="32"/>
      <c r="EU329" s="32"/>
      <c r="EV329" s="32"/>
      <c r="EW329" s="32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2"/>
      <c r="FK329" s="32"/>
      <c r="FL329" s="32"/>
      <c r="FM329" s="32"/>
      <c r="FN329" s="32"/>
      <c r="FO329" s="32"/>
      <c r="FP329" s="32"/>
      <c r="FQ329" s="32"/>
      <c r="FR329" s="32"/>
      <c r="FS329" s="32"/>
      <c r="FT329" s="32"/>
      <c r="FU329" s="32"/>
      <c r="FV329" s="32"/>
      <c r="FW329" s="32"/>
      <c r="FX329" s="32"/>
      <c r="FY329" s="32"/>
      <c r="FZ329" s="32"/>
      <c r="GA329" s="32"/>
      <c r="GB329" s="32"/>
      <c r="GC329" s="32"/>
      <c r="GD329" s="32"/>
      <c r="GE329" s="32"/>
      <c r="GF329" s="32"/>
      <c r="GG329" s="32"/>
      <c r="GH329" s="32"/>
      <c r="GI329" s="32"/>
      <c r="GJ329" s="32"/>
      <c r="GK329" s="32"/>
      <c r="GL329" s="32"/>
      <c r="GM329" s="32"/>
      <c r="GN329" s="32"/>
      <c r="GO329" s="32"/>
      <c r="GP329" s="32"/>
      <c r="GQ329" s="32"/>
      <c r="GR329" s="32"/>
      <c r="GS329" s="32"/>
      <c r="GT329" s="32"/>
      <c r="GU329" s="32"/>
      <c r="GV329" s="32"/>
      <c r="GW329" s="32"/>
      <c r="GX329" s="32"/>
      <c r="GY329" s="32"/>
      <c r="GZ329" s="32"/>
      <c r="HA329" s="32"/>
      <c r="HB329" s="32"/>
      <c r="HC329" s="32"/>
      <c r="HD329" s="32"/>
      <c r="HE329" s="32"/>
      <c r="HF329" s="32"/>
      <c r="HG329" s="32"/>
      <c r="HH329" s="32"/>
      <c r="HI329" s="32"/>
      <c r="HJ329" s="32"/>
      <c r="HK329" s="32"/>
      <c r="HL329" s="32"/>
      <c r="HM329" s="32"/>
      <c r="HN329" s="32"/>
      <c r="HO329" s="32"/>
      <c r="HP329" s="32"/>
      <c r="HQ329" s="32"/>
      <c r="HR329" s="32"/>
      <c r="HS329" s="32"/>
      <c r="HT329" s="32"/>
      <c r="HU329" s="32"/>
      <c r="HV329" s="32"/>
      <c r="HW329" s="32"/>
      <c r="HX329" s="32"/>
      <c r="HY329" s="32"/>
      <c r="HZ329" s="32"/>
      <c r="IA329" s="32"/>
      <c r="IB329" s="32"/>
      <c r="IC329" s="32"/>
      <c r="ID329" s="32"/>
      <c r="IE329" s="32"/>
      <c r="IF329" s="32"/>
      <c r="IG329" s="32"/>
      <c r="IH329" s="32"/>
      <c r="II329" s="32"/>
      <c r="IJ329" s="32"/>
      <c r="IK329" s="32"/>
      <c r="IL329" s="32"/>
      <c r="IM329" s="32"/>
      <c r="IN329" s="32"/>
      <c r="IO329" s="32"/>
      <c r="IP329" s="32"/>
      <c r="IQ329" s="32"/>
      <c r="IR329" s="32"/>
      <c r="IS329" s="32"/>
      <c r="IT329" s="32"/>
      <c r="IU329" s="32"/>
      <c r="IV329" s="32"/>
      <c r="IW329" s="32"/>
      <c r="IX329" s="32"/>
      <c r="IY329" s="32"/>
      <c r="IZ329" s="32"/>
      <c r="JA329" s="32"/>
      <c r="JB329" s="32"/>
      <c r="JC329" s="32"/>
      <c r="JD329" s="32"/>
      <c r="JE329" s="32"/>
      <c r="JF329" s="32"/>
      <c r="JG329" s="32"/>
      <c r="JH329" s="32"/>
      <c r="JI329" s="32"/>
      <c r="JJ329" s="32"/>
      <c r="JK329" s="32"/>
      <c r="JL329" s="32"/>
      <c r="JM329" s="32"/>
      <c r="JN329" s="32"/>
      <c r="JO329" s="32"/>
      <c r="JP329" s="32"/>
      <c r="JQ329" s="32"/>
      <c r="JR329" s="32"/>
      <c r="JS329" s="32"/>
      <c r="JT329" s="32"/>
      <c r="JU329" s="32"/>
      <c r="JV329" s="32"/>
      <c r="JW329" s="32"/>
      <c r="JX329" s="32"/>
      <c r="JY329" s="32"/>
      <c r="JZ329" s="32"/>
      <c r="KA329" s="32"/>
      <c r="KB329" s="32"/>
      <c r="KC329" s="32"/>
      <c r="KD329" s="32"/>
      <c r="KE329" s="32"/>
      <c r="KF329" s="32"/>
      <c r="KG329" s="32"/>
      <c r="KH329" s="32"/>
      <c r="KI329" s="32"/>
      <c r="KJ329" s="32"/>
      <c r="KK329" s="32"/>
      <c r="KL329" s="32"/>
      <c r="KM329" s="32"/>
      <c r="KN329" s="32"/>
      <c r="KO329" s="32"/>
      <c r="KP329" s="32"/>
      <c r="KQ329" s="32"/>
      <c r="KR329" s="32"/>
      <c r="KS329" s="32"/>
      <c r="KT329" s="32"/>
      <c r="KU329" s="32"/>
      <c r="KV329" s="32"/>
      <c r="KW329" s="32"/>
      <c r="KX329" s="32"/>
      <c r="KY329" s="32"/>
      <c r="KZ329" s="32"/>
      <c r="LA329" s="32"/>
      <c r="LB329" s="32"/>
      <c r="LC329" s="32"/>
      <c r="LD329" s="32"/>
      <c r="LE329" s="32"/>
      <c r="LF329" s="32"/>
      <c r="LG329" s="32"/>
      <c r="LH329" s="32"/>
      <c r="LI329" s="32"/>
      <c r="LJ329" s="32"/>
      <c r="LK329" s="32"/>
      <c r="LL329" s="32"/>
      <c r="LM329" s="32"/>
      <c r="LN329" s="32"/>
      <c r="LO329" s="32"/>
      <c r="LP329" s="32"/>
      <c r="LQ329" s="32"/>
      <c r="LR329" s="32"/>
      <c r="LS329" s="32"/>
      <c r="LT329" s="32"/>
      <c r="LU329" s="32"/>
      <c r="LV329" s="32"/>
      <c r="LW329" s="32"/>
      <c r="LX329" s="32"/>
      <c r="LY329" s="32"/>
      <c r="LZ329" s="32"/>
      <c r="MA329" s="32"/>
      <c r="MB329" s="32"/>
      <c r="MC329" s="32"/>
      <c r="MD329" s="32"/>
      <c r="ME329" s="32"/>
      <c r="MF329" s="32"/>
      <c r="MG329" s="32"/>
      <c r="MH329" s="32"/>
      <c r="MI329" s="32"/>
      <c r="MJ329" s="32"/>
      <c r="MK329" s="32"/>
      <c r="ML329" s="32"/>
      <c r="MM329" s="32"/>
      <c r="MN329" s="32"/>
      <c r="MO329" s="32"/>
      <c r="MP329" s="32"/>
      <c r="MQ329" s="32"/>
      <c r="MR329" s="32"/>
      <c r="MS329" s="32"/>
      <c r="MT329" s="32"/>
      <c r="MU329" s="32"/>
      <c r="MV329" s="32"/>
      <c r="MW329" s="32"/>
      <c r="MX329" s="32"/>
      <c r="MY329" s="32"/>
      <c r="MZ329" s="32"/>
      <c r="NA329" s="32"/>
      <c r="NB329" s="32"/>
      <c r="NC329" s="32"/>
      <c r="ND329" s="32"/>
      <c r="NE329" s="32"/>
      <c r="NF329" s="32"/>
      <c r="NG329" s="32"/>
      <c r="NH329" s="32"/>
      <c r="NI329" s="32"/>
      <c r="NJ329" s="32"/>
      <c r="NK329" s="32"/>
      <c r="NL329" s="32"/>
      <c r="NM329" s="32"/>
      <c r="NN329" s="32"/>
      <c r="NO329" s="32"/>
      <c r="NP329" s="32"/>
      <c r="NQ329" s="32"/>
      <c r="NR329" s="32"/>
      <c r="NS329" s="32"/>
      <c r="NT329" s="32"/>
      <c r="NU329" s="32"/>
      <c r="NV329" s="32"/>
      <c r="NW329" s="32"/>
      <c r="NX329" s="32"/>
      <c r="NY329" s="32"/>
      <c r="NZ329" s="32"/>
      <c r="OA329" s="32"/>
      <c r="OB329" s="32"/>
      <c r="OC329" s="32"/>
      <c r="OD329" s="32"/>
      <c r="OE329" s="32"/>
      <c r="OF329" s="32"/>
      <c r="OG329" s="32"/>
      <c r="OH329" s="32"/>
      <c r="OI329" s="32"/>
      <c r="OJ329" s="32"/>
      <c r="OK329" s="32"/>
      <c r="OL329" s="32"/>
      <c r="OM329" s="32"/>
      <c r="ON329" s="32"/>
      <c r="OO329" s="32"/>
      <c r="OP329" s="32"/>
      <c r="OQ329" s="32"/>
      <c r="OR329" s="32"/>
      <c r="OS329" s="32"/>
      <c r="OT329" s="32"/>
      <c r="OU329" s="32"/>
      <c r="OV329" s="32"/>
      <c r="OW329" s="32"/>
      <c r="OX329" s="32"/>
      <c r="OY329" s="32"/>
      <c r="OZ329" s="32"/>
      <c r="PA329" s="32"/>
      <c r="PB329" s="32"/>
      <c r="PC329" s="32"/>
      <c r="PD329" s="32"/>
      <c r="PE329" s="32"/>
      <c r="PF329" s="32"/>
      <c r="PG329" s="32"/>
      <c r="PH329" s="32"/>
      <c r="PI329" s="32"/>
      <c r="PJ329" s="32"/>
      <c r="PK329" s="32"/>
      <c r="PL329" s="32"/>
      <c r="PM329" s="32"/>
      <c r="PN329" s="32"/>
      <c r="PO329" s="32"/>
      <c r="PP329" s="32"/>
      <c r="PQ329" s="32"/>
      <c r="PR329" s="32"/>
      <c r="PS329" s="32"/>
      <c r="PT329" s="32"/>
      <c r="PU329" s="32"/>
      <c r="PV329" s="32"/>
      <c r="PW329" s="32"/>
      <c r="PX329" s="32"/>
      <c r="PY329" s="32"/>
      <c r="PZ329" s="32"/>
      <c r="QA329" s="32"/>
      <c r="QB329" s="32"/>
      <c r="QC329" s="32"/>
      <c r="QD329" s="32"/>
      <c r="QE329" s="32"/>
      <c r="QF329" s="32"/>
      <c r="QG329" s="32"/>
      <c r="QH329" s="32"/>
      <c r="QI329" s="32"/>
      <c r="QJ329" s="32"/>
      <c r="QK329" s="32"/>
      <c r="QL329" s="32"/>
      <c r="QM329" s="32"/>
      <c r="QN329" s="32"/>
      <c r="QO329" s="32"/>
      <c r="QP329" s="32"/>
      <c r="QQ329" s="32"/>
      <c r="QR329" s="32"/>
      <c r="QS329" s="32"/>
      <c r="QT329" s="32"/>
      <c r="QU329" s="32"/>
      <c r="QV329" s="32"/>
      <c r="QW329" s="32"/>
      <c r="QX329" s="32"/>
      <c r="QY329" s="32"/>
      <c r="QZ329" s="32"/>
      <c r="RA329" s="32"/>
      <c r="RB329" s="32"/>
      <c r="RC329" s="32"/>
      <c r="RD329" s="32"/>
      <c r="RE329" s="32"/>
      <c r="RF329" s="32"/>
      <c r="RG329" s="32"/>
      <c r="RH329" s="32"/>
      <c r="RI329" s="32"/>
      <c r="RJ329" s="32"/>
      <c r="RK329" s="32"/>
      <c r="RL329" s="32"/>
      <c r="RM329" s="32"/>
      <c r="RN329" s="32"/>
      <c r="RO329" s="32"/>
      <c r="RP329" s="32"/>
      <c r="RQ329" s="32"/>
      <c r="RR329" s="32"/>
      <c r="RS329" s="32"/>
      <c r="RT329" s="32"/>
      <c r="RU329" s="32"/>
      <c r="RV329" s="32"/>
      <c r="RW329" s="32"/>
      <c r="RX329" s="32"/>
      <c r="RY329" s="32"/>
      <c r="RZ329" s="32"/>
      <c r="SA329" s="32"/>
      <c r="SB329" s="32"/>
      <c r="SC329" s="32"/>
      <c r="SD329" s="32"/>
      <c r="SE329" s="32"/>
      <c r="SF329" s="32"/>
      <c r="SG329" s="32"/>
      <c r="SH329" s="32"/>
      <c r="SI329" s="32"/>
      <c r="SJ329" s="32"/>
      <c r="SK329" s="32"/>
      <c r="SL329" s="32"/>
      <c r="SM329" s="32"/>
      <c r="SN329" s="32"/>
      <c r="SO329" s="32"/>
      <c r="SP329" s="32"/>
      <c r="SQ329" s="32"/>
      <c r="SR329" s="32"/>
      <c r="SS329" s="32"/>
      <c r="ST329" s="32"/>
      <c r="SU329" s="32"/>
      <c r="SV329" s="32"/>
      <c r="SW329" s="32"/>
      <c r="SX329" s="32"/>
      <c r="SY329" s="32"/>
      <c r="SZ329" s="32"/>
      <c r="TA329" s="32"/>
      <c r="TB329" s="32"/>
      <c r="TC329" s="32"/>
      <c r="TD329" s="32"/>
      <c r="TE329" s="32"/>
      <c r="TF329" s="32"/>
      <c r="TG329" s="32"/>
    </row>
    <row r="330" spans="1:527" s="27" customFormat="1" ht="30" customHeight="1" x14ac:dyDescent="0.25">
      <c r="A330" s="66"/>
      <c r="B330" s="67"/>
      <c r="C330" s="68"/>
      <c r="D330" s="69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  <c r="IO330" s="32"/>
      <c r="IP330" s="32"/>
      <c r="IQ330" s="32"/>
      <c r="IR330" s="32"/>
      <c r="IS330" s="32"/>
      <c r="IT330" s="32"/>
      <c r="IU330" s="32"/>
      <c r="IV330" s="32"/>
      <c r="IW330" s="32"/>
      <c r="IX330" s="32"/>
      <c r="IY330" s="32"/>
      <c r="IZ330" s="32"/>
      <c r="JA330" s="32"/>
      <c r="JB330" s="32"/>
      <c r="JC330" s="32"/>
      <c r="JD330" s="32"/>
      <c r="JE330" s="32"/>
      <c r="JF330" s="32"/>
      <c r="JG330" s="32"/>
      <c r="JH330" s="32"/>
      <c r="JI330" s="32"/>
      <c r="JJ330" s="32"/>
      <c r="JK330" s="32"/>
      <c r="JL330" s="32"/>
      <c r="JM330" s="32"/>
      <c r="JN330" s="32"/>
      <c r="JO330" s="32"/>
      <c r="JP330" s="32"/>
      <c r="JQ330" s="32"/>
      <c r="JR330" s="32"/>
      <c r="JS330" s="32"/>
      <c r="JT330" s="32"/>
      <c r="JU330" s="32"/>
      <c r="JV330" s="32"/>
      <c r="JW330" s="32"/>
      <c r="JX330" s="32"/>
      <c r="JY330" s="32"/>
      <c r="JZ330" s="32"/>
      <c r="KA330" s="32"/>
      <c r="KB330" s="32"/>
      <c r="KC330" s="32"/>
      <c r="KD330" s="32"/>
      <c r="KE330" s="32"/>
      <c r="KF330" s="32"/>
      <c r="KG330" s="32"/>
      <c r="KH330" s="32"/>
      <c r="KI330" s="32"/>
      <c r="KJ330" s="32"/>
      <c r="KK330" s="32"/>
      <c r="KL330" s="32"/>
      <c r="KM330" s="32"/>
      <c r="KN330" s="32"/>
      <c r="KO330" s="32"/>
      <c r="KP330" s="32"/>
      <c r="KQ330" s="32"/>
      <c r="KR330" s="32"/>
      <c r="KS330" s="32"/>
      <c r="KT330" s="32"/>
      <c r="KU330" s="32"/>
      <c r="KV330" s="32"/>
      <c r="KW330" s="32"/>
      <c r="KX330" s="32"/>
      <c r="KY330" s="32"/>
      <c r="KZ330" s="32"/>
      <c r="LA330" s="32"/>
      <c r="LB330" s="32"/>
      <c r="LC330" s="32"/>
      <c r="LD330" s="32"/>
      <c r="LE330" s="32"/>
      <c r="LF330" s="32"/>
      <c r="LG330" s="32"/>
      <c r="LH330" s="32"/>
      <c r="LI330" s="32"/>
      <c r="LJ330" s="32"/>
      <c r="LK330" s="32"/>
      <c r="LL330" s="32"/>
      <c r="LM330" s="32"/>
      <c r="LN330" s="32"/>
      <c r="LO330" s="32"/>
      <c r="LP330" s="32"/>
      <c r="LQ330" s="32"/>
      <c r="LR330" s="32"/>
      <c r="LS330" s="32"/>
      <c r="LT330" s="32"/>
      <c r="LU330" s="32"/>
      <c r="LV330" s="32"/>
      <c r="LW330" s="32"/>
      <c r="LX330" s="32"/>
      <c r="LY330" s="32"/>
      <c r="LZ330" s="32"/>
      <c r="MA330" s="32"/>
      <c r="MB330" s="32"/>
      <c r="MC330" s="32"/>
      <c r="MD330" s="32"/>
      <c r="ME330" s="32"/>
      <c r="MF330" s="32"/>
      <c r="MG330" s="32"/>
      <c r="MH330" s="32"/>
      <c r="MI330" s="32"/>
      <c r="MJ330" s="32"/>
      <c r="MK330" s="32"/>
      <c r="ML330" s="32"/>
      <c r="MM330" s="32"/>
      <c r="MN330" s="32"/>
      <c r="MO330" s="32"/>
      <c r="MP330" s="32"/>
      <c r="MQ330" s="32"/>
      <c r="MR330" s="32"/>
      <c r="MS330" s="32"/>
      <c r="MT330" s="32"/>
      <c r="MU330" s="32"/>
      <c r="MV330" s="32"/>
      <c r="MW330" s="32"/>
      <c r="MX330" s="32"/>
      <c r="MY330" s="32"/>
      <c r="MZ330" s="32"/>
      <c r="NA330" s="32"/>
      <c r="NB330" s="32"/>
      <c r="NC330" s="32"/>
      <c r="ND330" s="32"/>
      <c r="NE330" s="32"/>
      <c r="NF330" s="32"/>
      <c r="NG330" s="32"/>
      <c r="NH330" s="32"/>
      <c r="NI330" s="32"/>
      <c r="NJ330" s="32"/>
      <c r="NK330" s="32"/>
      <c r="NL330" s="32"/>
      <c r="NM330" s="32"/>
      <c r="NN330" s="32"/>
      <c r="NO330" s="32"/>
      <c r="NP330" s="32"/>
      <c r="NQ330" s="32"/>
      <c r="NR330" s="32"/>
      <c r="NS330" s="32"/>
      <c r="NT330" s="32"/>
      <c r="NU330" s="32"/>
      <c r="NV330" s="32"/>
      <c r="NW330" s="32"/>
      <c r="NX330" s="32"/>
      <c r="NY330" s="32"/>
      <c r="NZ330" s="32"/>
      <c r="OA330" s="32"/>
      <c r="OB330" s="32"/>
      <c r="OC330" s="32"/>
      <c r="OD330" s="32"/>
      <c r="OE330" s="32"/>
      <c r="OF330" s="32"/>
      <c r="OG330" s="32"/>
      <c r="OH330" s="32"/>
      <c r="OI330" s="32"/>
      <c r="OJ330" s="32"/>
      <c r="OK330" s="32"/>
      <c r="OL330" s="32"/>
      <c r="OM330" s="32"/>
      <c r="ON330" s="32"/>
      <c r="OO330" s="32"/>
      <c r="OP330" s="32"/>
      <c r="OQ330" s="32"/>
      <c r="OR330" s="32"/>
      <c r="OS330" s="32"/>
      <c r="OT330" s="32"/>
      <c r="OU330" s="32"/>
      <c r="OV330" s="32"/>
      <c r="OW330" s="32"/>
      <c r="OX330" s="32"/>
      <c r="OY330" s="32"/>
      <c r="OZ330" s="32"/>
      <c r="PA330" s="32"/>
      <c r="PB330" s="32"/>
      <c r="PC330" s="32"/>
      <c r="PD330" s="32"/>
      <c r="PE330" s="32"/>
      <c r="PF330" s="32"/>
      <c r="PG330" s="32"/>
      <c r="PH330" s="32"/>
      <c r="PI330" s="32"/>
      <c r="PJ330" s="32"/>
      <c r="PK330" s="32"/>
      <c r="PL330" s="32"/>
      <c r="PM330" s="32"/>
      <c r="PN330" s="32"/>
      <c r="PO330" s="32"/>
      <c r="PP330" s="32"/>
      <c r="PQ330" s="32"/>
      <c r="PR330" s="32"/>
      <c r="PS330" s="32"/>
      <c r="PT330" s="32"/>
      <c r="PU330" s="32"/>
      <c r="PV330" s="32"/>
      <c r="PW330" s="32"/>
      <c r="PX330" s="32"/>
      <c r="PY330" s="32"/>
      <c r="PZ330" s="32"/>
      <c r="QA330" s="32"/>
      <c r="QB330" s="32"/>
      <c r="QC330" s="32"/>
      <c r="QD330" s="32"/>
      <c r="QE330" s="32"/>
      <c r="QF330" s="32"/>
      <c r="QG330" s="32"/>
      <c r="QH330" s="32"/>
      <c r="QI330" s="32"/>
      <c r="QJ330" s="32"/>
      <c r="QK330" s="32"/>
      <c r="QL330" s="32"/>
      <c r="QM330" s="32"/>
      <c r="QN330" s="32"/>
      <c r="QO330" s="32"/>
      <c r="QP330" s="32"/>
      <c r="QQ330" s="32"/>
      <c r="QR330" s="32"/>
      <c r="QS330" s="32"/>
      <c r="QT330" s="32"/>
      <c r="QU330" s="32"/>
      <c r="QV330" s="32"/>
      <c r="QW330" s="32"/>
      <c r="QX330" s="32"/>
      <c r="QY330" s="32"/>
      <c r="QZ330" s="32"/>
      <c r="RA330" s="32"/>
      <c r="RB330" s="32"/>
      <c r="RC330" s="32"/>
      <c r="RD330" s="32"/>
      <c r="RE330" s="32"/>
      <c r="RF330" s="32"/>
      <c r="RG330" s="32"/>
      <c r="RH330" s="32"/>
      <c r="RI330" s="32"/>
      <c r="RJ330" s="32"/>
      <c r="RK330" s="32"/>
      <c r="RL330" s="32"/>
      <c r="RM330" s="32"/>
      <c r="RN330" s="32"/>
      <c r="RO330" s="32"/>
      <c r="RP330" s="32"/>
      <c r="RQ330" s="32"/>
      <c r="RR330" s="32"/>
      <c r="RS330" s="32"/>
      <c r="RT330" s="32"/>
      <c r="RU330" s="32"/>
      <c r="RV330" s="32"/>
      <c r="RW330" s="32"/>
      <c r="RX330" s="32"/>
      <c r="RY330" s="32"/>
      <c r="RZ330" s="32"/>
      <c r="SA330" s="32"/>
      <c r="SB330" s="32"/>
      <c r="SC330" s="32"/>
      <c r="SD330" s="32"/>
      <c r="SE330" s="32"/>
      <c r="SF330" s="32"/>
      <c r="SG330" s="32"/>
      <c r="SH330" s="32"/>
      <c r="SI330" s="32"/>
      <c r="SJ330" s="32"/>
      <c r="SK330" s="32"/>
      <c r="SL330" s="32"/>
      <c r="SM330" s="32"/>
      <c r="SN330" s="32"/>
      <c r="SO330" s="32"/>
      <c r="SP330" s="32"/>
      <c r="SQ330" s="32"/>
      <c r="SR330" s="32"/>
      <c r="SS330" s="32"/>
      <c r="ST330" s="32"/>
      <c r="SU330" s="32"/>
      <c r="SV330" s="32"/>
      <c r="SW330" s="32"/>
      <c r="SX330" s="32"/>
      <c r="SY330" s="32"/>
      <c r="SZ330" s="32"/>
      <c r="TA330" s="32"/>
      <c r="TB330" s="32"/>
      <c r="TC330" s="32"/>
      <c r="TD330" s="32"/>
      <c r="TE330" s="32"/>
      <c r="TF330" s="32"/>
      <c r="TG330" s="32"/>
    </row>
    <row r="331" spans="1:527" s="140" customFormat="1" ht="45" customHeight="1" x14ac:dyDescent="0.55000000000000004">
      <c r="A331" s="137" t="s">
        <v>614</v>
      </c>
      <c r="B331" s="138"/>
      <c r="C331" s="139"/>
      <c r="D331" s="129"/>
      <c r="E331" s="143"/>
      <c r="F331" s="129"/>
      <c r="G331" s="129"/>
      <c r="H331" s="129"/>
      <c r="I331" s="129"/>
      <c r="J331" s="129"/>
      <c r="M331" s="129"/>
      <c r="N331" s="129" t="s">
        <v>616</v>
      </c>
      <c r="O331" s="130"/>
      <c r="P331" s="130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141"/>
      <c r="AO331" s="141"/>
      <c r="AP331" s="141"/>
      <c r="AQ331" s="141"/>
      <c r="AR331" s="141"/>
      <c r="AS331" s="141"/>
      <c r="AT331" s="141"/>
      <c r="AU331" s="141"/>
      <c r="AV331" s="141"/>
      <c r="AW331" s="141"/>
      <c r="AX331" s="141"/>
      <c r="AY331" s="141"/>
      <c r="AZ331" s="141"/>
      <c r="BA331" s="141"/>
      <c r="BB331" s="141"/>
      <c r="BC331" s="141"/>
      <c r="BD331" s="141"/>
      <c r="BE331" s="141"/>
      <c r="BF331" s="141"/>
      <c r="BG331" s="141"/>
      <c r="BH331" s="141"/>
      <c r="BI331" s="141"/>
      <c r="BJ331" s="141"/>
      <c r="BK331" s="141"/>
      <c r="BL331" s="141"/>
      <c r="BM331" s="141"/>
      <c r="BN331" s="141"/>
      <c r="BO331" s="141"/>
      <c r="BP331" s="141"/>
      <c r="BQ331" s="141"/>
      <c r="BR331" s="141"/>
      <c r="BS331" s="141"/>
      <c r="BT331" s="141"/>
      <c r="BU331" s="141"/>
      <c r="BV331" s="141"/>
      <c r="BW331" s="141"/>
      <c r="BX331" s="141"/>
      <c r="BY331" s="141"/>
      <c r="BZ331" s="141"/>
      <c r="CA331" s="141"/>
      <c r="CB331" s="141"/>
      <c r="CC331" s="141"/>
      <c r="CD331" s="141"/>
      <c r="CE331" s="141"/>
      <c r="CF331" s="141"/>
      <c r="CG331" s="141"/>
      <c r="CH331" s="141"/>
      <c r="CI331" s="141"/>
      <c r="CJ331" s="141"/>
      <c r="CK331" s="141"/>
      <c r="CL331" s="141"/>
      <c r="CM331" s="141"/>
      <c r="CN331" s="141"/>
      <c r="CO331" s="141"/>
      <c r="CP331" s="141"/>
      <c r="CQ331" s="141"/>
      <c r="CR331" s="141"/>
      <c r="CS331" s="141"/>
      <c r="CT331" s="141"/>
      <c r="CU331" s="141"/>
      <c r="CV331" s="141"/>
      <c r="CW331" s="141"/>
      <c r="CX331" s="141"/>
      <c r="CY331" s="141"/>
      <c r="CZ331" s="141"/>
      <c r="DA331" s="141"/>
      <c r="DB331" s="141"/>
      <c r="DC331" s="141"/>
      <c r="DD331" s="141"/>
      <c r="DE331" s="141"/>
      <c r="DF331" s="141"/>
      <c r="DG331" s="141"/>
      <c r="DH331" s="141"/>
      <c r="DI331" s="141"/>
      <c r="DJ331" s="141"/>
      <c r="DK331" s="141"/>
      <c r="DL331" s="141"/>
      <c r="DM331" s="141"/>
      <c r="DN331" s="141"/>
      <c r="DO331" s="141"/>
      <c r="DP331" s="141"/>
      <c r="DQ331" s="141"/>
      <c r="DR331" s="141"/>
      <c r="DS331" s="141"/>
      <c r="DT331" s="141"/>
      <c r="DU331" s="141"/>
      <c r="DV331" s="141"/>
      <c r="DW331" s="141"/>
      <c r="DX331" s="141"/>
      <c r="DY331" s="141"/>
      <c r="DZ331" s="141"/>
      <c r="EA331" s="141"/>
      <c r="EB331" s="141"/>
      <c r="EC331" s="141"/>
      <c r="ED331" s="141"/>
      <c r="EE331" s="141"/>
      <c r="EF331" s="141"/>
      <c r="EG331" s="141"/>
      <c r="EH331" s="141"/>
      <c r="EI331" s="141"/>
      <c r="EJ331" s="141"/>
      <c r="EK331" s="141"/>
      <c r="EL331" s="141"/>
      <c r="EM331" s="141"/>
      <c r="EN331" s="141"/>
      <c r="EO331" s="141"/>
      <c r="EP331" s="141"/>
      <c r="EQ331" s="141"/>
      <c r="ER331" s="141"/>
      <c r="ES331" s="141"/>
      <c r="ET331" s="141"/>
      <c r="EU331" s="141"/>
      <c r="EV331" s="141"/>
      <c r="EW331" s="141"/>
      <c r="EX331" s="141"/>
      <c r="EY331" s="141"/>
      <c r="EZ331" s="141"/>
      <c r="FA331" s="141"/>
      <c r="FB331" s="141"/>
      <c r="FC331" s="141"/>
      <c r="FD331" s="141"/>
      <c r="FE331" s="141"/>
      <c r="FF331" s="141"/>
      <c r="FG331" s="141"/>
      <c r="FH331" s="141"/>
      <c r="FI331" s="141"/>
      <c r="FJ331" s="141"/>
      <c r="FK331" s="141"/>
      <c r="FL331" s="141"/>
      <c r="FM331" s="141"/>
      <c r="FN331" s="141"/>
      <c r="FO331" s="141"/>
      <c r="FP331" s="141"/>
      <c r="FQ331" s="141"/>
      <c r="FR331" s="141"/>
      <c r="FS331" s="141"/>
      <c r="FT331" s="141"/>
      <c r="FU331" s="141"/>
      <c r="FV331" s="141"/>
      <c r="FW331" s="141"/>
      <c r="FX331" s="141"/>
      <c r="FY331" s="141"/>
      <c r="FZ331" s="141"/>
      <c r="GA331" s="141"/>
      <c r="GB331" s="141"/>
      <c r="GC331" s="141"/>
      <c r="GD331" s="141"/>
      <c r="GE331" s="141"/>
      <c r="GF331" s="141"/>
      <c r="GG331" s="141"/>
      <c r="GH331" s="141"/>
      <c r="GI331" s="141"/>
      <c r="GJ331" s="141"/>
      <c r="GK331" s="141"/>
      <c r="GL331" s="141"/>
      <c r="GM331" s="141"/>
      <c r="GN331" s="141"/>
      <c r="GO331" s="141"/>
      <c r="GP331" s="141"/>
      <c r="GQ331" s="141"/>
      <c r="GR331" s="141"/>
      <c r="GS331" s="141"/>
      <c r="GT331" s="141"/>
      <c r="GU331" s="141"/>
      <c r="GV331" s="141"/>
      <c r="GW331" s="141"/>
      <c r="GX331" s="141"/>
      <c r="GY331" s="141"/>
      <c r="GZ331" s="141"/>
      <c r="HA331" s="141"/>
      <c r="HB331" s="141"/>
      <c r="HC331" s="141"/>
      <c r="HD331" s="141"/>
      <c r="HE331" s="141"/>
      <c r="HF331" s="141"/>
      <c r="HG331" s="141"/>
      <c r="HH331" s="141"/>
      <c r="HI331" s="141"/>
      <c r="HJ331" s="141"/>
      <c r="HK331" s="141"/>
      <c r="HL331" s="141"/>
      <c r="HM331" s="141"/>
      <c r="HN331" s="141"/>
      <c r="HO331" s="141"/>
      <c r="HP331" s="141"/>
      <c r="HQ331" s="141"/>
      <c r="HR331" s="141"/>
      <c r="HS331" s="141"/>
      <c r="HT331" s="141"/>
      <c r="HU331" s="141"/>
      <c r="HV331" s="141"/>
      <c r="HW331" s="141"/>
      <c r="HX331" s="141"/>
      <c r="HY331" s="141"/>
      <c r="HZ331" s="141"/>
      <c r="IA331" s="141"/>
      <c r="IB331" s="141"/>
      <c r="IC331" s="141"/>
      <c r="ID331" s="141"/>
      <c r="IE331" s="141"/>
      <c r="IF331" s="141"/>
      <c r="IG331" s="141"/>
      <c r="IH331" s="141"/>
      <c r="II331" s="141"/>
      <c r="IJ331" s="141"/>
      <c r="IK331" s="141"/>
      <c r="IL331" s="141"/>
      <c r="IM331" s="141"/>
      <c r="IN331" s="141"/>
      <c r="IO331" s="141"/>
      <c r="IP331" s="141"/>
      <c r="IQ331" s="141"/>
      <c r="IR331" s="141"/>
      <c r="IS331" s="141"/>
      <c r="IT331" s="141"/>
      <c r="IU331" s="141"/>
      <c r="IV331" s="141"/>
      <c r="IW331" s="141"/>
      <c r="IX331" s="141"/>
      <c r="IY331" s="141"/>
      <c r="IZ331" s="141"/>
      <c r="JA331" s="141"/>
      <c r="JB331" s="141"/>
      <c r="JC331" s="141"/>
      <c r="JD331" s="141"/>
      <c r="JE331" s="141"/>
      <c r="JF331" s="141"/>
      <c r="JG331" s="141"/>
      <c r="JH331" s="141"/>
      <c r="JI331" s="141"/>
      <c r="JJ331" s="141"/>
      <c r="JK331" s="141"/>
      <c r="JL331" s="141"/>
      <c r="JM331" s="141"/>
      <c r="JN331" s="141"/>
      <c r="JO331" s="141"/>
      <c r="JP331" s="141"/>
      <c r="JQ331" s="141"/>
      <c r="JR331" s="141"/>
      <c r="JS331" s="141"/>
      <c r="JT331" s="141"/>
      <c r="JU331" s="141"/>
      <c r="JV331" s="141"/>
      <c r="JW331" s="141"/>
      <c r="JX331" s="141"/>
      <c r="JY331" s="141"/>
      <c r="JZ331" s="141"/>
      <c r="KA331" s="141"/>
      <c r="KB331" s="141"/>
      <c r="KC331" s="141"/>
      <c r="KD331" s="141"/>
      <c r="KE331" s="141"/>
      <c r="KF331" s="141"/>
      <c r="KG331" s="141"/>
      <c r="KH331" s="141"/>
      <c r="KI331" s="141"/>
      <c r="KJ331" s="141"/>
      <c r="KK331" s="141"/>
      <c r="KL331" s="141"/>
      <c r="KM331" s="141"/>
      <c r="KN331" s="141"/>
      <c r="KO331" s="141"/>
      <c r="KP331" s="141"/>
      <c r="KQ331" s="141"/>
      <c r="KR331" s="141"/>
      <c r="KS331" s="141"/>
      <c r="KT331" s="141"/>
      <c r="KU331" s="141"/>
      <c r="KV331" s="141"/>
      <c r="KW331" s="141"/>
      <c r="KX331" s="141"/>
      <c r="KY331" s="141"/>
      <c r="KZ331" s="141"/>
      <c r="LA331" s="141"/>
      <c r="LB331" s="141"/>
      <c r="LC331" s="141"/>
      <c r="LD331" s="141"/>
      <c r="LE331" s="141"/>
      <c r="LF331" s="141"/>
      <c r="LG331" s="141"/>
      <c r="LH331" s="141"/>
      <c r="LI331" s="141"/>
      <c r="LJ331" s="141"/>
      <c r="LK331" s="141"/>
      <c r="LL331" s="141"/>
      <c r="LM331" s="141"/>
      <c r="LN331" s="141"/>
      <c r="LO331" s="141"/>
      <c r="LP331" s="141"/>
      <c r="LQ331" s="141"/>
      <c r="LR331" s="141"/>
      <c r="LS331" s="141"/>
      <c r="LT331" s="141"/>
      <c r="LU331" s="141"/>
      <c r="LV331" s="141"/>
      <c r="LW331" s="141"/>
      <c r="LX331" s="141"/>
      <c r="LY331" s="141"/>
      <c r="LZ331" s="141"/>
      <c r="MA331" s="141"/>
      <c r="MB331" s="141"/>
      <c r="MC331" s="141"/>
      <c r="MD331" s="141"/>
      <c r="ME331" s="141"/>
      <c r="MF331" s="141"/>
      <c r="MG331" s="141"/>
      <c r="MH331" s="141"/>
      <c r="MI331" s="141"/>
      <c r="MJ331" s="141"/>
      <c r="MK331" s="141"/>
      <c r="ML331" s="141"/>
      <c r="MM331" s="141"/>
      <c r="MN331" s="141"/>
      <c r="MO331" s="141"/>
      <c r="MP331" s="141"/>
      <c r="MQ331" s="141"/>
      <c r="MR331" s="141"/>
      <c r="MS331" s="141"/>
      <c r="MT331" s="141"/>
      <c r="MU331" s="141"/>
      <c r="MV331" s="141"/>
      <c r="MW331" s="141"/>
      <c r="MX331" s="141"/>
      <c r="MY331" s="141"/>
      <c r="MZ331" s="141"/>
      <c r="NA331" s="141"/>
      <c r="NB331" s="141"/>
      <c r="NC331" s="141"/>
      <c r="ND331" s="141"/>
      <c r="NE331" s="141"/>
      <c r="NF331" s="141"/>
      <c r="NG331" s="141"/>
      <c r="NH331" s="141"/>
      <c r="NI331" s="141"/>
      <c r="NJ331" s="141"/>
      <c r="NK331" s="141"/>
      <c r="NL331" s="141"/>
      <c r="NM331" s="141"/>
      <c r="NN331" s="141"/>
      <c r="NO331" s="141"/>
      <c r="NP331" s="141"/>
      <c r="NQ331" s="141"/>
      <c r="NR331" s="141"/>
      <c r="NS331" s="141"/>
      <c r="NT331" s="141"/>
      <c r="NU331" s="141"/>
      <c r="NV331" s="141"/>
      <c r="NW331" s="141"/>
      <c r="NX331" s="141"/>
      <c r="NY331" s="141"/>
      <c r="NZ331" s="141"/>
      <c r="OA331" s="141"/>
      <c r="OB331" s="141"/>
      <c r="OC331" s="141"/>
      <c r="OD331" s="141"/>
      <c r="OE331" s="141"/>
      <c r="OF331" s="141"/>
      <c r="OG331" s="141"/>
      <c r="OH331" s="141"/>
      <c r="OI331" s="141"/>
      <c r="OJ331" s="141"/>
      <c r="OK331" s="141"/>
      <c r="OL331" s="141"/>
      <c r="OM331" s="141"/>
      <c r="ON331" s="141"/>
      <c r="OO331" s="141"/>
      <c r="OP331" s="141"/>
      <c r="OQ331" s="141"/>
      <c r="OR331" s="141"/>
      <c r="OS331" s="141"/>
      <c r="OT331" s="141"/>
      <c r="OU331" s="141"/>
      <c r="OV331" s="141"/>
      <c r="OW331" s="141"/>
      <c r="OX331" s="141"/>
      <c r="OY331" s="141"/>
      <c r="OZ331" s="141"/>
      <c r="PA331" s="141"/>
      <c r="PB331" s="141"/>
      <c r="PC331" s="141"/>
      <c r="PD331" s="141"/>
      <c r="PE331" s="141"/>
      <c r="PF331" s="141"/>
      <c r="PG331" s="141"/>
      <c r="PH331" s="141"/>
      <c r="PI331" s="141"/>
      <c r="PJ331" s="141"/>
      <c r="PK331" s="141"/>
      <c r="PL331" s="141"/>
      <c r="PM331" s="141"/>
      <c r="PN331" s="141"/>
      <c r="PO331" s="141"/>
      <c r="PP331" s="141"/>
      <c r="PQ331" s="141"/>
      <c r="PR331" s="141"/>
      <c r="PS331" s="141"/>
      <c r="PT331" s="141"/>
      <c r="PU331" s="141"/>
      <c r="PV331" s="141"/>
      <c r="PW331" s="141"/>
      <c r="PX331" s="141"/>
      <c r="PY331" s="141"/>
      <c r="PZ331" s="141"/>
      <c r="QA331" s="141"/>
      <c r="QB331" s="141"/>
      <c r="QC331" s="141"/>
      <c r="QD331" s="141"/>
      <c r="QE331" s="141"/>
      <c r="QF331" s="141"/>
      <c r="QG331" s="141"/>
      <c r="QH331" s="141"/>
      <c r="QI331" s="141"/>
      <c r="QJ331" s="141"/>
      <c r="QK331" s="141"/>
      <c r="QL331" s="141"/>
      <c r="QM331" s="141"/>
      <c r="QN331" s="141"/>
      <c r="QO331" s="141"/>
      <c r="QP331" s="141"/>
      <c r="QQ331" s="141"/>
      <c r="QR331" s="141"/>
      <c r="QS331" s="141"/>
      <c r="QT331" s="141"/>
      <c r="QU331" s="141"/>
      <c r="QV331" s="141"/>
      <c r="QW331" s="141"/>
      <c r="QX331" s="141"/>
      <c r="QY331" s="141"/>
      <c r="QZ331" s="141"/>
      <c r="RA331" s="141"/>
      <c r="RB331" s="141"/>
      <c r="RC331" s="141"/>
      <c r="RD331" s="141"/>
      <c r="RE331" s="141"/>
      <c r="RF331" s="141"/>
      <c r="RG331" s="141"/>
      <c r="RH331" s="141"/>
      <c r="RI331" s="141"/>
      <c r="RJ331" s="141"/>
      <c r="RK331" s="141"/>
      <c r="RL331" s="141"/>
      <c r="RM331" s="141"/>
      <c r="RN331" s="141"/>
      <c r="RO331" s="141"/>
      <c r="RP331" s="141"/>
      <c r="RQ331" s="141"/>
      <c r="RR331" s="141"/>
      <c r="RS331" s="141"/>
      <c r="RT331" s="141"/>
      <c r="RU331" s="141"/>
      <c r="RV331" s="141"/>
      <c r="RW331" s="141"/>
      <c r="RX331" s="141"/>
      <c r="RY331" s="141"/>
      <c r="RZ331" s="141"/>
      <c r="SA331" s="141"/>
      <c r="SB331" s="141"/>
      <c r="SC331" s="141"/>
      <c r="SD331" s="141"/>
      <c r="SE331" s="141"/>
      <c r="SF331" s="141"/>
      <c r="SG331" s="141"/>
      <c r="SH331" s="141"/>
      <c r="SI331" s="141"/>
      <c r="SJ331" s="141"/>
      <c r="SK331" s="141"/>
      <c r="SL331" s="141"/>
      <c r="SM331" s="141"/>
      <c r="SN331" s="141"/>
      <c r="SO331" s="141"/>
      <c r="SP331" s="141"/>
      <c r="SQ331" s="141"/>
      <c r="SR331" s="141"/>
      <c r="SS331" s="141"/>
      <c r="ST331" s="141"/>
      <c r="SU331" s="141"/>
      <c r="SV331" s="141"/>
      <c r="SW331" s="141"/>
      <c r="SX331" s="141"/>
      <c r="SY331" s="141"/>
      <c r="SZ331" s="141"/>
      <c r="TA331" s="141"/>
      <c r="TB331" s="141"/>
      <c r="TC331" s="141"/>
      <c r="TD331" s="141"/>
      <c r="TE331" s="141"/>
      <c r="TF331" s="141"/>
      <c r="TG331" s="141"/>
    </row>
    <row r="332" spans="1:527" s="28" customFormat="1" ht="18.75" customHeight="1" x14ac:dyDescent="0.25">
      <c r="A332" s="56"/>
      <c r="B332" s="61"/>
      <c r="C332" s="61"/>
      <c r="D332" s="3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152"/>
    </row>
    <row r="333" spans="1:527" s="133" customFormat="1" ht="41.25" customHeight="1" x14ac:dyDescent="0.45">
      <c r="A333" s="131" t="s">
        <v>627</v>
      </c>
      <c r="B333" s="131"/>
      <c r="C333" s="131"/>
      <c r="D333" s="131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</row>
    <row r="334" spans="1:527" s="125" customFormat="1" ht="39.75" customHeight="1" x14ac:dyDescent="0.4">
      <c r="A334" s="159" t="s">
        <v>628</v>
      </c>
      <c r="B334" s="159"/>
      <c r="C334" s="159"/>
      <c r="D334" s="159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1:527" s="28" customFormat="1" ht="21.75" customHeight="1" x14ac:dyDescent="0.25">
      <c r="A335" s="56"/>
      <c r="B335" s="61"/>
      <c r="C335" s="61"/>
      <c r="D335" s="3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>
        <v>750038085.50999999</v>
      </c>
      <c r="P335" s="47"/>
    </row>
    <row r="336" spans="1:527" s="28" customFormat="1" x14ac:dyDescent="0.25">
      <c r="A336" s="56"/>
      <c r="B336" s="61"/>
      <c r="C336" s="61"/>
      <c r="D336" s="3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149">
        <f>O323-O335</f>
        <v>0</v>
      </c>
      <c r="P336" s="47"/>
    </row>
    <row r="337" spans="1:16" s="28" customFormat="1" x14ac:dyDescent="0.25">
      <c r="A337" s="56"/>
      <c r="B337" s="61"/>
      <c r="C337" s="61"/>
      <c r="D337" s="3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</row>
    <row r="338" spans="1:16" s="28" customFormat="1" x14ac:dyDescent="0.25">
      <c r="A338" s="56"/>
      <c r="B338" s="61"/>
      <c r="C338" s="61"/>
      <c r="D338" s="3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</row>
    <row r="339" spans="1:16" s="28" customFormat="1" x14ac:dyDescent="0.25">
      <c r="A339" s="56"/>
      <c r="B339" s="61"/>
      <c r="C339" s="61"/>
      <c r="D339" s="3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152"/>
    </row>
    <row r="340" spans="1:16" s="28" customFormat="1" x14ac:dyDescent="0.25">
      <c r="A340" s="56"/>
      <c r="B340" s="61"/>
      <c r="C340" s="61"/>
      <c r="D340" s="3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152"/>
    </row>
    <row r="341" spans="1:16" s="28" customFormat="1" x14ac:dyDescent="0.25">
      <c r="A341" s="56"/>
      <c r="B341" s="61"/>
      <c r="C341" s="61"/>
      <c r="D341" s="3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152"/>
    </row>
    <row r="342" spans="1:16" s="28" customFormat="1" x14ac:dyDescent="0.25">
      <c r="A342" s="56"/>
      <c r="B342" s="61"/>
      <c r="C342" s="61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152"/>
    </row>
    <row r="343" spans="1:16" s="28" customFormat="1" x14ac:dyDescent="0.25">
      <c r="A343" s="56"/>
      <c r="B343" s="61"/>
      <c r="C343" s="61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152"/>
    </row>
    <row r="344" spans="1:16" s="28" customFormat="1" x14ac:dyDescent="0.25">
      <c r="A344" s="56"/>
      <c r="B344" s="61"/>
      <c r="C344" s="61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152"/>
    </row>
    <row r="345" spans="1:16" s="28" customFormat="1" x14ac:dyDescent="0.25">
      <c r="A345" s="56"/>
      <c r="B345" s="61"/>
      <c r="C345" s="61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152"/>
    </row>
    <row r="346" spans="1:16" s="28" customFormat="1" x14ac:dyDescent="0.25">
      <c r="A346" s="56"/>
      <c r="B346" s="61"/>
      <c r="C346" s="61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152"/>
    </row>
    <row r="347" spans="1:16" s="28" customFormat="1" x14ac:dyDescent="0.25">
      <c r="A347" s="56"/>
      <c r="B347" s="61"/>
      <c r="C347" s="61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152"/>
    </row>
    <row r="348" spans="1:16" s="28" customFormat="1" x14ac:dyDescent="0.25">
      <c r="A348" s="56"/>
      <c r="B348" s="61"/>
      <c r="C348" s="61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152"/>
    </row>
    <row r="349" spans="1:16" s="28" customFormat="1" x14ac:dyDescent="0.25">
      <c r="A349" s="56"/>
      <c r="B349" s="61"/>
      <c r="C349" s="61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152"/>
    </row>
    <row r="350" spans="1:16" s="28" customFormat="1" x14ac:dyDescent="0.25">
      <c r="A350" s="56"/>
      <c r="B350" s="61"/>
      <c r="C350" s="61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152"/>
    </row>
    <row r="351" spans="1:16" s="28" customFormat="1" x14ac:dyDescent="0.25">
      <c r="A351" s="56"/>
      <c r="B351" s="61"/>
      <c r="C351" s="61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152"/>
    </row>
    <row r="352" spans="1:16" s="28" customFormat="1" x14ac:dyDescent="0.25">
      <c r="A352" s="56"/>
      <c r="B352" s="61"/>
      <c r="C352" s="61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152"/>
    </row>
    <row r="353" spans="1:16" s="28" customFormat="1" x14ac:dyDescent="0.25">
      <c r="A353" s="56"/>
      <c r="B353" s="61"/>
      <c r="C353" s="61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152"/>
    </row>
    <row r="354" spans="1:16" s="28" customFormat="1" x14ac:dyDescent="0.25">
      <c r="A354" s="56"/>
      <c r="B354" s="61"/>
      <c r="C354" s="61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152"/>
    </row>
    <row r="355" spans="1:16" s="28" customFormat="1" x14ac:dyDescent="0.25">
      <c r="A355" s="56"/>
      <c r="B355" s="61"/>
      <c r="C355" s="61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152"/>
    </row>
    <row r="356" spans="1:16" s="28" customFormat="1" x14ac:dyDescent="0.25">
      <c r="A356" s="56"/>
      <c r="B356" s="61"/>
      <c r="C356" s="61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152"/>
    </row>
    <row r="357" spans="1:16" s="28" customFormat="1" x14ac:dyDescent="0.25">
      <c r="A357" s="56"/>
      <c r="B357" s="61"/>
      <c r="C357" s="61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152"/>
    </row>
    <row r="358" spans="1:16" s="28" customFormat="1" x14ac:dyDescent="0.25">
      <c r="A358" s="56"/>
      <c r="B358" s="61"/>
      <c r="C358" s="61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152"/>
    </row>
    <row r="359" spans="1:16" s="28" customFormat="1" x14ac:dyDescent="0.25">
      <c r="A359" s="56"/>
      <c r="B359" s="61"/>
      <c r="C359" s="61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152"/>
    </row>
    <row r="360" spans="1:16" s="28" customFormat="1" x14ac:dyDescent="0.25">
      <c r="A360" s="56"/>
      <c r="B360" s="61"/>
      <c r="C360" s="61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152"/>
    </row>
    <row r="361" spans="1:16" s="28" customFormat="1" x14ac:dyDescent="0.25">
      <c r="A361" s="56"/>
      <c r="B361" s="61"/>
      <c r="C361" s="61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152"/>
    </row>
    <row r="362" spans="1:16" s="28" customFormat="1" x14ac:dyDescent="0.25">
      <c r="A362" s="56"/>
      <c r="B362" s="61"/>
      <c r="C362" s="61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152"/>
    </row>
    <row r="363" spans="1:16" s="28" customFormat="1" x14ac:dyDescent="0.25">
      <c r="A363" s="56"/>
      <c r="B363" s="61"/>
      <c r="C363" s="61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152"/>
    </row>
    <row r="364" spans="1:16" s="28" customFormat="1" x14ac:dyDescent="0.25">
      <c r="A364" s="56"/>
      <c r="B364" s="61"/>
      <c r="C364" s="61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152"/>
    </row>
    <row r="365" spans="1:16" s="28" customFormat="1" x14ac:dyDescent="0.25">
      <c r="A365" s="56"/>
      <c r="B365" s="61"/>
      <c r="C365" s="61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152"/>
    </row>
    <row r="366" spans="1:16" s="28" customFormat="1" x14ac:dyDescent="0.25">
      <c r="A366" s="56"/>
      <c r="B366" s="61"/>
      <c r="C366" s="61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152"/>
    </row>
    <row r="367" spans="1:16" s="28" customFormat="1" x14ac:dyDescent="0.25">
      <c r="A367" s="56"/>
      <c r="B367" s="61"/>
      <c r="C367" s="61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152"/>
    </row>
    <row r="368" spans="1:16" s="28" customFormat="1" x14ac:dyDescent="0.25">
      <c r="A368" s="56"/>
      <c r="B368" s="61"/>
      <c r="C368" s="61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152"/>
    </row>
    <row r="369" spans="1:16" s="28" customFormat="1" x14ac:dyDescent="0.25">
      <c r="A369" s="56"/>
      <c r="B369" s="61"/>
      <c r="C369" s="61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152"/>
    </row>
    <row r="370" spans="1:16" s="28" customFormat="1" x14ac:dyDescent="0.25">
      <c r="A370" s="56"/>
      <c r="B370" s="61"/>
      <c r="C370" s="61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152"/>
    </row>
    <row r="371" spans="1:16" s="28" customFormat="1" x14ac:dyDescent="0.25">
      <c r="A371" s="56"/>
      <c r="B371" s="61"/>
      <c r="C371" s="61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152"/>
    </row>
    <row r="372" spans="1:16" s="28" customFormat="1" x14ac:dyDescent="0.25">
      <c r="A372" s="56"/>
      <c r="B372" s="61"/>
      <c r="C372" s="61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152"/>
    </row>
    <row r="373" spans="1:16" s="28" customFormat="1" x14ac:dyDescent="0.25">
      <c r="A373" s="56"/>
      <c r="B373" s="61"/>
      <c r="C373" s="61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152"/>
    </row>
    <row r="374" spans="1:16" s="28" customFormat="1" x14ac:dyDescent="0.25">
      <c r="A374" s="56"/>
      <c r="B374" s="61"/>
      <c r="C374" s="61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152"/>
    </row>
    <row r="375" spans="1:16" s="28" customFormat="1" x14ac:dyDescent="0.25">
      <c r="A375" s="56"/>
      <c r="B375" s="61"/>
      <c r="C375" s="61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152"/>
    </row>
    <row r="376" spans="1:16" s="28" customFormat="1" x14ac:dyDescent="0.25">
      <c r="A376" s="56"/>
      <c r="B376" s="61"/>
      <c r="C376" s="61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152"/>
    </row>
    <row r="377" spans="1:16" s="28" customFormat="1" x14ac:dyDescent="0.25">
      <c r="A377" s="56"/>
      <c r="B377" s="61"/>
      <c r="C377" s="61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152"/>
    </row>
    <row r="378" spans="1:16" s="28" customFormat="1" x14ac:dyDescent="0.25">
      <c r="A378" s="56"/>
      <c r="B378" s="61"/>
      <c r="C378" s="61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152"/>
    </row>
    <row r="379" spans="1:16" s="28" customFormat="1" x14ac:dyDescent="0.25">
      <c r="A379" s="56"/>
      <c r="B379" s="61"/>
      <c r="C379" s="61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152"/>
    </row>
    <row r="380" spans="1:16" s="28" customFormat="1" x14ac:dyDescent="0.25">
      <c r="A380" s="56"/>
      <c r="B380" s="61"/>
      <c r="C380" s="61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152"/>
    </row>
    <row r="381" spans="1:16" s="28" customFormat="1" x14ac:dyDescent="0.25">
      <c r="A381" s="56"/>
      <c r="B381" s="61"/>
      <c r="C381" s="61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152"/>
    </row>
    <row r="382" spans="1:16" s="28" customFormat="1" x14ac:dyDescent="0.25">
      <c r="A382" s="56"/>
      <c r="B382" s="61"/>
      <c r="C382" s="61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152"/>
    </row>
    <row r="383" spans="1:16" s="28" customFormat="1" x14ac:dyDescent="0.25">
      <c r="A383" s="56"/>
      <c r="B383" s="61"/>
      <c r="C383" s="61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152"/>
    </row>
    <row r="384" spans="1:16" s="28" customFormat="1" x14ac:dyDescent="0.25">
      <c r="A384" s="56"/>
      <c r="B384" s="61"/>
      <c r="C384" s="61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152"/>
    </row>
    <row r="385" spans="1:16" s="28" customFormat="1" x14ac:dyDescent="0.25">
      <c r="A385" s="56"/>
      <c r="B385" s="61"/>
      <c r="C385" s="61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152"/>
    </row>
    <row r="386" spans="1:16" s="28" customFormat="1" x14ac:dyDescent="0.25">
      <c r="A386" s="56"/>
      <c r="B386" s="61"/>
      <c r="C386" s="61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152"/>
    </row>
    <row r="387" spans="1:16" s="28" customFormat="1" x14ac:dyDescent="0.25">
      <c r="A387" s="56"/>
      <c r="B387" s="61"/>
      <c r="C387" s="61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152"/>
    </row>
    <row r="388" spans="1:16" s="28" customFormat="1" x14ac:dyDescent="0.25">
      <c r="A388" s="56"/>
      <c r="B388" s="61"/>
      <c r="C388" s="61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152"/>
    </row>
    <row r="389" spans="1:16" s="28" customFormat="1" x14ac:dyDescent="0.25">
      <c r="A389" s="56"/>
      <c r="B389" s="61"/>
      <c r="C389" s="61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152"/>
    </row>
    <row r="390" spans="1:16" s="28" customFormat="1" x14ac:dyDescent="0.25">
      <c r="A390" s="56"/>
      <c r="B390" s="61"/>
      <c r="C390" s="61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152"/>
    </row>
    <row r="391" spans="1:16" s="28" customFormat="1" x14ac:dyDescent="0.25">
      <c r="A391" s="56"/>
      <c r="B391" s="61"/>
      <c r="C391" s="61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152"/>
    </row>
    <row r="392" spans="1:16" s="28" customFormat="1" x14ac:dyDescent="0.25">
      <c r="A392" s="56"/>
      <c r="B392" s="61"/>
      <c r="C392" s="61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152"/>
    </row>
    <row r="393" spans="1:16" s="28" customFormat="1" x14ac:dyDescent="0.25">
      <c r="A393" s="56"/>
      <c r="B393" s="61"/>
      <c r="C393" s="61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152"/>
    </row>
    <row r="394" spans="1:16" s="28" customFormat="1" x14ac:dyDescent="0.25">
      <c r="A394" s="56"/>
      <c r="B394" s="61"/>
      <c r="C394" s="61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152"/>
    </row>
    <row r="395" spans="1:16" s="28" customFormat="1" x14ac:dyDescent="0.25">
      <c r="A395" s="56"/>
      <c r="B395" s="61"/>
      <c r="C395" s="61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152"/>
    </row>
    <row r="396" spans="1:16" s="28" customFormat="1" x14ac:dyDescent="0.25">
      <c r="A396" s="56"/>
      <c r="B396" s="61"/>
      <c r="C396" s="61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152"/>
    </row>
    <row r="397" spans="1:16" s="28" customFormat="1" x14ac:dyDescent="0.25">
      <c r="A397" s="56"/>
      <c r="B397" s="61"/>
      <c r="C397" s="61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152"/>
    </row>
    <row r="398" spans="1:16" s="28" customFormat="1" x14ac:dyDescent="0.25">
      <c r="A398" s="56"/>
      <c r="B398" s="61"/>
      <c r="C398" s="61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152"/>
    </row>
    <row r="399" spans="1:16" s="28" customFormat="1" x14ac:dyDescent="0.25">
      <c r="A399" s="56"/>
      <c r="B399" s="61"/>
      <c r="C399" s="61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152"/>
    </row>
    <row r="400" spans="1:16" s="28" customFormat="1" x14ac:dyDescent="0.25">
      <c r="A400" s="56"/>
      <c r="B400" s="61"/>
      <c r="C400" s="61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152"/>
    </row>
    <row r="401" spans="1:16" s="28" customFormat="1" x14ac:dyDescent="0.25">
      <c r="A401" s="56"/>
      <c r="B401" s="61"/>
      <c r="C401" s="61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152"/>
    </row>
    <row r="402" spans="1:16" s="28" customFormat="1" x14ac:dyDescent="0.25">
      <c r="A402" s="56"/>
      <c r="B402" s="61"/>
      <c r="C402" s="61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152"/>
    </row>
    <row r="403" spans="1:16" s="28" customFormat="1" x14ac:dyDescent="0.25">
      <c r="A403" s="56"/>
      <c r="B403" s="61"/>
      <c r="C403" s="61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152"/>
    </row>
    <row r="404" spans="1:16" s="28" customFormat="1" x14ac:dyDescent="0.25">
      <c r="A404" s="56"/>
      <c r="B404" s="61"/>
      <c r="C404" s="61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152"/>
    </row>
    <row r="405" spans="1:16" s="28" customFormat="1" x14ac:dyDescent="0.25">
      <c r="A405" s="56"/>
      <c r="B405" s="61"/>
      <c r="C405" s="61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152"/>
    </row>
    <row r="406" spans="1:16" s="28" customFormat="1" x14ac:dyDescent="0.25">
      <c r="A406" s="56"/>
      <c r="B406" s="61"/>
      <c r="C406" s="61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152"/>
    </row>
    <row r="407" spans="1:16" s="28" customFormat="1" x14ac:dyDescent="0.25">
      <c r="A407" s="56"/>
      <c r="B407" s="61"/>
      <c r="C407" s="61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152"/>
    </row>
    <row r="408" spans="1:16" s="28" customFormat="1" x14ac:dyDescent="0.25">
      <c r="A408" s="56"/>
      <c r="B408" s="61"/>
      <c r="C408" s="61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152"/>
    </row>
    <row r="409" spans="1:16" s="28" customFormat="1" x14ac:dyDescent="0.25">
      <c r="A409" s="56"/>
      <c r="B409" s="61"/>
      <c r="C409" s="61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152"/>
    </row>
    <row r="410" spans="1:16" s="28" customFormat="1" x14ac:dyDescent="0.25">
      <c r="A410" s="56"/>
      <c r="B410" s="61"/>
      <c r="C410" s="61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152"/>
    </row>
    <row r="411" spans="1:16" s="28" customFormat="1" x14ac:dyDescent="0.25">
      <c r="A411" s="56"/>
      <c r="B411" s="61"/>
      <c r="C411" s="61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152"/>
    </row>
    <row r="412" spans="1:16" s="28" customFormat="1" x14ac:dyDescent="0.25">
      <c r="A412" s="56"/>
      <c r="B412" s="61"/>
      <c r="C412" s="61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152"/>
    </row>
    <row r="413" spans="1:16" s="28" customFormat="1" x14ac:dyDescent="0.25">
      <c r="A413" s="56"/>
      <c r="B413" s="61"/>
      <c r="C413" s="61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152"/>
    </row>
    <row r="414" spans="1:16" s="28" customFormat="1" x14ac:dyDescent="0.25">
      <c r="A414" s="56"/>
      <c r="B414" s="61"/>
      <c r="C414" s="61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152"/>
    </row>
    <row r="415" spans="1:16" s="28" customFormat="1" x14ac:dyDescent="0.25">
      <c r="A415" s="56"/>
      <c r="B415" s="61"/>
      <c r="C415" s="61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152"/>
    </row>
    <row r="416" spans="1:16" s="28" customFormat="1" x14ac:dyDescent="0.25">
      <c r="A416" s="56"/>
      <c r="B416" s="61"/>
      <c r="C416" s="61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152"/>
    </row>
    <row r="417" spans="1:16" s="28" customFormat="1" x14ac:dyDescent="0.25">
      <c r="A417" s="56"/>
      <c r="B417" s="61"/>
      <c r="C417" s="61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152"/>
    </row>
    <row r="418" spans="1:16" s="28" customFormat="1" x14ac:dyDescent="0.25">
      <c r="A418" s="56"/>
      <c r="B418" s="61"/>
      <c r="C418" s="61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152"/>
    </row>
    <row r="419" spans="1:16" s="28" customFormat="1" x14ac:dyDescent="0.25">
      <c r="A419" s="56"/>
      <c r="B419" s="61"/>
      <c r="C419" s="61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152"/>
    </row>
    <row r="420" spans="1:16" s="28" customFormat="1" x14ac:dyDescent="0.25">
      <c r="A420" s="56"/>
      <c r="B420" s="61"/>
      <c r="C420" s="61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152"/>
    </row>
    <row r="421" spans="1:16" s="28" customFormat="1" x14ac:dyDescent="0.25">
      <c r="A421" s="56"/>
      <c r="B421" s="61"/>
      <c r="C421" s="61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152"/>
    </row>
    <row r="422" spans="1:16" s="28" customFormat="1" x14ac:dyDescent="0.25">
      <c r="A422" s="56"/>
      <c r="B422" s="61"/>
      <c r="C422" s="61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152"/>
    </row>
    <row r="423" spans="1:16" s="28" customFormat="1" x14ac:dyDescent="0.25">
      <c r="A423" s="56"/>
      <c r="B423" s="61"/>
      <c r="C423" s="61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152"/>
    </row>
    <row r="424" spans="1:16" s="28" customFormat="1" x14ac:dyDescent="0.25">
      <c r="A424" s="56"/>
      <c r="B424" s="61"/>
      <c r="C424" s="61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152"/>
    </row>
    <row r="425" spans="1:16" s="28" customFormat="1" x14ac:dyDescent="0.25">
      <c r="A425" s="56"/>
      <c r="B425" s="61"/>
      <c r="C425" s="61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152"/>
    </row>
    <row r="426" spans="1:16" s="28" customFormat="1" x14ac:dyDescent="0.25">
      <c r="A426" s="56"/>
      <c r="B426" s="61"/>
      <c r="C426" s="61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152"/>
    </row>
    <row r="427" spans="1:16" s="28" customFormat="1" x14ac:dyDescent="0.25">
      <c r="A427" s="56"/>
      <c r="B427" s="61"/>
      <c r="C427" s="61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152"/>
    </row>
    <row r="428" spans="1:16" s="28" customFormat="1" x14ac:dyDescent="0.25">
      <c r="A428" s="56"/>
      <c r="B428" s="61"/>
      <c r="C428" s="61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152"/>
    </row>
    <row r="429" spans="1:16" s="28" customFormat="1" x14ac:dyDescent="0.25">
      <c r="A429" s="56"/>
      <c r="B429" s="61"/>
      <c r="C429" s="61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152"/>
    </row>
    <row r="430" spans="1:16" s="28" customFormat="1" x14ac:dyDescent="0.25">
      <c r="A430" s="56"/>
      <c r="B430" s="61"/>
      <c r="C430" s="61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152"/>
    </row>
    <row r="431" spans="1:16" s="28" customFormat="1" x14ac:dyDescent="0.25">
      <c r="A431" s="56"/>
      <c r="B431" s="61"/>
      <c r="C431" s="61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152"/>
    </row>
    <row r="432" spans="1:16" s="28" customFormat="1" x14ac:dyDescent="0.25">
      <c r="A432" s="56"/>
      <c r="B432" s="61"/>
      <c r="C432" s="61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152"/>
    </row>
    <row r="433" spans="1:16" s="28" customFormat="1" x14ac:dyDescent="0.25">
      <c r="A433" s="56"/>
      <c r="B433" s="61"/>
      <c r="C433" s="61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152"/>
    </row>
    <row r="434" spans="1:16" s="28" customFormat="1" x14ac:dyDescent="0.25">
      <c r="A434" s="56"/>
      <c r="B434" s="61"/>
      <c r="C434" s="61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152"/>
    </row>
    <row r="435" spans="1:16" s="28" customFormat="1" x14ac:dyDescent="0.25">
      <c r="A435" s="56"/>
      <c r="B435" s="61"/>
      <c r="C435" s="61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152"/>
    </row>
    <row r="436" spans="1:16" s="28" customFormat="1" x14ac:dyDescent="0.25">
      <c r="A436" s="56"/>
      <c r="B436" s="61"/>
      <c r="C436" s="61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152"/>
    </row>
    <row r="437" spans="1:16" s="28" customFormat="1" x14ac:dyDescent="0.25">
      <c r="A437" s="56"/>
      <c r="B437" s="61"/>
      <c r="C437" s="61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152"/>
    </row>
    <row r="438" spans="1:16" s="28" customFormat="1" x14ac:dyDescent="0.25">
      <c r="A438" s="56"/>
      <c r="B438" s="61"/>
      <c r="C438" s="61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152"/>
    </row>
    <row r="439" spans="1:16" s="28" customFormat="1" x14ac:dyDescent="0.25">
      <c r="A439" s="56"/>
      <c r="B439" s="61"/>
      <c r="C439" s="61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152"/>
    </row>
    <row r="440" spans="1:16" s="28" customFormat="1" x14ac:dyDescent="0.25">
      <c r="A440" s="56"/>
      <c r="B440" s="61"/>
      <c r="C440" s="61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152"/>
    </row>
    <row r="441" spans="1:16" s="28" customFormat="1" x14ac:dyDescent="0.25">
      <c r="A441" s="56"/>
      <c r="B441" s="61"/>
      <c r="C441" s="61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152"/>
    </row>
    <row r="442" spans="1:16" s="28" customFormat="1" x14ac:dyDescent="0.25">
      <c r="A442" s="56"/>
      <c r="B442" s="61"/>
      <c r="C442" s="61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152"/>
    </row>
    <row r="443" spans="1:16" s="28" customFormat="1" x14ac:dyDescent="0.25">
      <c r="A443" s="56"/>
      <c r="B443" s="61"/>
      <c r="C443" s="61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152"/>
    </row>
    <row r="444" spans="1:16" s="28" customFormat="1" x14ac:dyDescent="0.25">
      <c r="A444" s="56"/>
      <c r="B444" s="61"/>
      <c r="C444" s="61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152"/>
    </row>
    <row r="445" spans="1:16" s="28" customFormat="1" x14ac:dyDescent="0.25">
      <c r="A445" s="56"/>
      <c r="B445" s="61"/>
      <c r="C445" s="61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152"/>
    </row>
    <row r="446" spans="1:16" s="28" customFormat="1" x14ac:dyDescent="0.25">
      <c r="A446" s="56"/>
      <c r="B446" s="61"/>
      <c r="C446" s="61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152"/>
    </row>
    <row r="447" spans="1:16" s="28" customFormat="1" x14ac:dyDescent="0.25">
      <c r="A447" s="56"/>
      <c r="B447" s="61"/>
      <c r="C447" s="61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152"/>
    </row>
    <row r="448" spans="1:16" s="28" customFormat="1" x14ac:dyDescent="0.25">
      <c r="A448" s="56"/>
      <c r="B448" s="61"/>
      <c r="C448" s="61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152"/>
    </row>
    <row r="449" spans="1:16" s="28" customFormat="1" x14ac:dyDescent="0.25">
      <c r="A449" s="56"/>
      <c r="B449" s="61"/>
      <c r="C449" s="61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152"/>
    </row>
    <row r="450" spans="1:16" s="28" customFormat="1" x14ac:dyDescent="0.25">
      <c r="A450" s="56"/>
      <c r="B450" s="61"/>
      <c r="C450" s="61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152"/>
    </row>
    <row r="451" spans="1:16" s="28" customFormat="1" x14ac:dyDescent="0.25">
      <c r="A451" s="56"/>
      <c r="B451" s="61"/>
      <c r="C451" s="61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152"/>
    </row>
    <row r="452" spans="1:16" s="28" customFormat="1" x14ac:dyDescent="0.25">
      <c r="A452" s="56"/>
      <c r="B452" s="61"/>
      <c r="C452" s="61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152"/>
    </row>
    <row r="453" spans="1:16" s="28" customFormat="1" x14ac:dyDescent="0.25">
      <c r="A453" s="56"/>
      <c r="B453" s="61"/>
      <c r="C453" s="61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152"/>
    </row>
    <row r="454" spans="1:16" s="28" customFormat="1" x14ac:dyDescent="0.25">
      <c r="A454" s="56"/>
      <c r="B454" s="61"/>
      <c r="C454" s="61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152"/>
    </row>
    <row r="455" spans="1:16" s="28" customFormat="1" x14ac:dyDescent="0.25">
      <c r="A455" s="56"/>
      <c r="B455" s="61"/>
      <c r="C455" s="61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152"/>
    </row>
    <row r="456" spans="1:16" s="28" customFormat="1" x14ac:dyDescent="0.25">
      <c r="A456" s="56"/>
      <c r="B456" s="61"/>
      <c r="C456" s="61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152"/>
    </row>
    <row r="457" spans="1:16" s="28" customFormat="1" x14ac:dyDescent="0.25">
      <c r="A457" s="56"/>
      <c r="B457" s="61"/>
      <c r="C457" s="61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152"/>
    </row>
    <row r="458" spans="1:16" s="28" customFormat="1" x14ac:dyDescent="0.25">
      <c r="A458" s="56"/>
      <c r="B458" s="61"/>
      <c r="C458" s="61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152"/>
    </row>
    <row r="459" spans="1:16" s="28" customFormat="1" x14ac:dyDescent="0.25">
      <c r="A459" s="56"/>
      <c r="B459" s="61"/>
      <c r="C459" s="61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152"/>
    </row>
    <row r="460" spans="1:16" s="28" customFormat="1" x14ac:dyDescent="0.25">
      <c r="A460" s="56"/>
      <c r="B460" s="61"/>
      <c r="C460" s="61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152"/>
    </row>
    <row r="461" spans="1:16" s="28" customFormat="1" x14ac:dyDescent="0.25">
      <c r="A461" s="56"/>
      <c r="B461" s="61"/>
      <c r="C461" s="61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152"/>
    </row>
    <row r="462" spans="1:16" s="28" customFormat="1" x14ac:dyDescent="0.25">
      <c r="A462" s="56"/>
      <c r="B462" s="61"/>
      <c r="C462" s="61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152"/>
    </row>
    <row r="463" spans="1:16" s="28" customFormat="1" x14ac:dyDescent="0.25">
      <c r="A463" s="56"/>
      <c r="B463" s="61"/>
      <c r="C463" s="61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152"/>
    </row>
    <row r="464" spans="1:16" s="28" customFormat="1" x14ac:dyDescent="0.25">
      <c r="A464" s="56"/>
      <c r="B464" s="61"/>
      <c r="C464" s="61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152"/>
    </row>
    <row r="465" spans="1:16" s="28" customFormat="1" x14ac:dyDescent="0.25">
      <c r="A465" s="56"/>
      <c r="B465" s="61"/>
      <c r="C465" s="61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152"/>
    </row>
    <row r="466" spans="1:16" s="28" customFormat="1" x14ac:dyDescent="0.25">
      <c r="A466" s="56"/>
      <c r="B466" s="61"/>
      <c r="C466" s="61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152"/>
    </row>
    <row r="467" spans="1:16" s="28" customFormat="1" x14ac:dyDescent="0.25">
      <c r="A467" s="56"/>
      <c r="B467" s="61"/>
      <c r="C467" s="61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152"/>
    </row>
    <row r="468" spans="1:16" s="28" customFormat="1" x14ac:dyDescent="0.25">
      <c r="A468" s="56"/>
      <c r="B468" s="61"/>
      <c r="C468" s="61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152"/>
    </row>
    <row r="469" spans="1:16" s="28" customFormat="1" x14ac:dyDescent="0.25">
      <c r="A469" s="56"/>
      <c r="B469" s="61"/>
      <c r="C469" s="61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152"/>
    </row>
    <row r="470" spans="1:16" s="28" customFormat="1" x14ac:dyDescent="0.25">
      <c r="A470" s="56"/>
      <c r="B470" s="61"/>
      <c r="C470" s="61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152"/>
    </row>
    <row r="471" spans="1:16" s="28" customFormat="1" x14ac:dyDescent="0.25">
      <c r="A471" s="56"/>
      <c r="B471" s="61"/>
      <c r="C471" s="61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152"/>
    </row>
    <row r="472" spans="1:16" s="28" customFormat="1" x14ac:dyDescent="0.25">
      <c r="A472" s="56"/>
      <c r="B472" s="61"/>
      <c r="C472" s="61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152"/>
    </row>
    <row r="473" spans="1:16" s="28" customFormat="1" x14ac:dyDescent="0.25">
      <c r="A473" s="56"/>
      <c r="B473" s="61"/>
      <c r="C473" s="61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152"/>
    </row>
    <row r="474" spans="1:16" s="28" customFormat="1" x14ac:dyDescent="0.25">
      <c r="A474" s="56"/>
      <c r="B474" s="61"/>
      <c r="C474" s="61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152"/>
    </row>
    <row r="475" spans="1:16" s="28" customFormat="1" x14ac:dyDescent="0.25">
      <c r="A475" s="56"/>
      <c r="B475" s="61"/>
      <c r="C475" s="61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152"/>
    </row>
    <row r="476" spans="1:16" s="28" customFormat="1" x14ac:dyDescent="0.25">
      <c r="A476" s="56"/>
      <c r="B476" s="61"/>
      <c r="C476" s="61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152"/>
    </row>
    <row r="477" spans="1:16" s="28" customFormat="1" x14ac:dyDescent="0.25">
      <c r="A477" s="56"/>
      <c r="B477" s="61"/>
      <c r="C477" s="61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152"/>
    </row>
    <row r="478" spans="1:16" s="28" customFormat="1" x14ac:dyDescent="0.25">
      <c r="A478" s="56"/>
      <c r="B478" s="61"/>
      <c r="C478" s="61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152"/>
    </row>
    <row r="479" spans="1:16" s="28" customFormat="1" x14ac:dyDescent="0.25">
      <c r="A479" s="56"/>
      <c r="B479" s="61"/>
      <c r="C479" s="61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152"/>
    </row>
    <row r="480" spans="1:16" s="28" customFormat="1" x14ac:dyDescent="0.25">
      <c r="A480" s="56"/>
      <c r="B480" s="61"/>
      <c r="C480" s="61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152"/>
    </row>
    <row r="481" spans="1:16" s="28" customFormat="1" x14ac:dyDescent="0.25">
      <c r="A481" s="56"/>
      <c r="B481" s="61"/>
      <c r="C481" s="61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152"/>
    </row>
    <row r="482" spans="1:16" s="28" customFormat="1" x14ac:dyDescent="0.25">
      <c r="A482" s="56"/>
      <c r="B482" s="61"/>
      <c r="C482" s="61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152"/>
    </row>
    <row r="483" spans="1:16" s="28" customFormat="1" x14ac:dyDescent="0.25">
      <c r="A483" s="56"/>
      <c r="B483" s="61"/>
      <c r="C483" s="61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152"/>
    </row>
    <row r="484" spans="1:16" s="28" customFormat="1" x14ac:dyDescent="0.25">
      <c r="A484" s="56"/>
      <c r="B484" s="61"/>
      <c r="C484" s="61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152"/>
    </row>
    <row r="485" spans="1:16" s="28" customFormat="1" x14ac:dyDescent="0.25">
      <c r="A485" s="56"/>
      <c r="B485" s="61"/>
      <c r="C485" s="61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152"/>
    </row>
    <row r="486" spans="1:16" s="28" customFormat="1" x14ac:dyDescent="0.25">
      <c r="A486" s="56"/>
      <c r="B486" s="61"/>
      <c r="C486" s="61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152"/>
    </row>
    <row r="487" spans="1:16" s="28" customFormat="1" x14ac:dyDescent="0.25">
      <c r="A487" s="56"/>
      <c r="B487" s="61"/>
      <c r="C487" s="61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152"/>
    </row>
    <row r="488" spans="1:16" s="28" customFormat="1" x14ac:dyDescent="0.25">
      <c r="A488" s="56"/>
      <c r="B488" s="61"/>
      <c r="C488" s="61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152"/>
    </row>
    <row r="489" spans="1:16" s="28" customFormat="1" x14ac:dyDescent="0.25">
      <c r="A489" s="56"/>
      <c r="B489" s="61"/>
      <c r="C489" s="61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152"/>
    </row>
    <row r="490" spans="1:16" s="28" customFormat="1" x14ac:dyDescent="0.25">
      <c r="A490" s="56"/>
      <c r="B490" s="61"/>
      <c r="C490" s="61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152"/>
    </row>
    <row r="491" spans="1:16" s="28" customFormat="1" x14ac:dyDescent="0.25">
      <c r="A491" s="56"/>
      <c r="B491" s="61"/>
      <c r="C491" s="61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152"/>
    </row>
    <row r="492" spans="1:16" s="28" customFormat="1" x14ac:dyDescent="0.25">
      <c r="A492" s="56"/>
      <c r="B492" s="61"/>
      <c r="C492" s="61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152"/>
    </row>
    <row r="493" spans="1:16" s="28" customFormat="1" x14ac:dyDescent="0.25">
      <c r="A493" s="56"/>
      <c r="B493" s="61"/>
      <c r="C493" s="61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152"/>
    </row>
    <row r="494" spans="1:16" s="28" customFormat="1" x14ac:dyDescent="0.25">
      <c r="A494" s="56"/>
      <c r="B494" s="61"/>
      <c r="C494" s="61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152"/>
    </row>
    <row r="495" spans="1:16" s="28" customFormat="1" x14ac:dyDescent="0.25">
      <c r="A495" s="56"/>
      <c r="B495" s="61"/>
      <c r="C495" s="61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152"/>
    </row>
    <row r="496" spans="1:16" s="28" customFormat="1" x14ac:dyDescent="0.25">
      <c r="A496" s="56"/>
      <c r="B496" s="61"/>
      <c r="C496" s="61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152"/>
    </row>
    <row r="497" spans="1:16" s="28" customFormat="1" x14ac:dyDescent="0.25">
      <c r="A497" s="56"/>
      <c r="B497" s="61"/>
      <c r="C497" s="61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152"/>
    </row>
    <row r="498" spans="1:16" s="28" customFormat="1" x14ac:dyDescent="0.25">
      <c r="A498" s="56"/>
      <c r="B498" s="61"/>
      <c r="C498" s="61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152"/>
    </row>
    <row r="499" spans="1:16" s="28" customFormat="1" x14ac:dyDescent="0.25">
      <c r="A499" s="56"/>
      <c r="B499" s="61"/>
      <c r="C499" s="61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152"/>
    </row>
    <row r="500" spans="1:16" s="28" customFormat="1" x14ac:dyDescent="0.25">
      <c r="A500" s="56"/>
      <c r="B500" s="61"/>
      <c r="C500" s="61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152"/>
    </row>
    <row r="501" spans="1:16" s="28" customFormat="1" x14ac:dyDescent="0.25">
      <c r="A501" s="56"/>
      <c r="B501" s="61"/>
      <c r="C501" s="61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152"/>
    </row>
    <row r="502" spans="1:16" s="28" customFormat="1" x14ac:dyDescent="0.25">
      <c r="A502" s="56"/>
      <c r="B502" s="61"/>
      <c r="C502" s="61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152"/>
    </row>
    <row r="503" spans="1:16" s="28" customFormat="1" x14ac:dyDescent="0.25">
      <c r="A503" s="56"/>
      <c r="B503" s="61"/>
      <c r="C503" s="61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152"/>
    </row>
    <row r="504" spans="1:16" s="28" customFormat="1" x14ac:dyDescent="0.25">
      <c r="A504" s="56"/>
      <c r="B504" s="61"/>
      <c r="C504" s="61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152"/>
    </row>
    <row r="505" spans="1:16" s="28" customFormat="1" x14ac:dyDescent="0.25">
      <c r="A505" s="56"/>
      <c r="B505" s="61"/>
      <c r="C505" s="61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152"/>
    </row>
    <row r="506" spans="1:16" s="28" customFormat="1" x14ac:dyDescent="0.25">
      <c r="A506" s="56"/>
      <c r="B506" s="61"/>
      <c r="C506" s="61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152"/>
    </row>
    <row r="507" spans="1:16" s="28" customFormat="1" x14ac:dyDescent="0.25">
      <c r="A507" s="56"/>
      <c r="B507" s="61"/>
      <c r="C507" s="61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152"/>
    </row>
    <row r="508" spans="1:16" s="28" customFormat="1" x14ac:dyDescent="0.25">
      <c r="A508" s="56"/>
      <c r="B508" s="61"/>
      <c r="C508" s="61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152"/>
    </row>
    <row r="509" spans="1:16" s="28" customFormat="1" x14ac:dyDescent="0.25">
      <c r="A509" s="56"/>
      <c r="B509" s="61"/>
      <c r="C509" s="61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152"/>
    </row>
    <row r="510" spans="1:16" s="28" customFormat="1" x14ac:dyDescent="0.25">
      <c r="A510" s="56"/>
      <c r="B510" s="61"/>
      <c r="C510" s="61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152"/>
    </row>
    <row r="511" spans="1:16" s="28" customFormat="1" x14ac:dyDescent="0.25">
      <c r="A511" s="56"/>
      <c r="B511" s="61"/>
      <c r="C511" s="61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152"/>
    </row>
    <row r="512" spans="1:16" s="28" customFormat="1" x14ac:dyDescent="0.25">
      <c r="A512" s="56"/>
      <c r="B512" s="61"/>
      <c r="C512" s="61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152"/>
    </row>
    <row r="513" spans="1:16" s="28" customFormat="1" x14ac:dyDescent="0.25">
      <c r="A513" s="56"/>
      <c r="B513" s="61"/>
      <c r="C513" s="61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152"/>
    </row>
    <row r="514" spans="1:16" s="28" customFormat="1" x14ac:dyDescent="0.25">
      <c r="A514" s="56"/>
      <c r="B514" s="61"/>
      <c r="C514" s="61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152"/>
    </row>
    <row r="515" spans="1:16" s="28" customFormat="1" x14ac:dyDescent="0.25">
      <c r="A515" s="56"/>
      <c r="B515" s="61"/>
      <c r="C515" s="61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152"/>
    </row>
    <row r="516" spans="1:16" s="28" customFormat="1" x14ac:dyDescent="0.25">
      <c r="A516" s="56"/>
      <c r="B516" s="61"/>
      <c r="C516" s="61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152"/>
    </row>
    <row r="517" spans="1:16" s="28" customFormat="1" x14ac:dyDescent="0.25">
      <c r="A517" s="56"/>
      <c r="B517" s="61"/>
      <c r="C517" s="61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152"/>
    </row>
    <row r="518" spans="1:16" s="28" customFormat="1" x14ac:dyDescent="0.25">
      <c r="A518" s="56"/>
      <c r="B518" s="61"/>
      <c r="C518" s="61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152"/>
    </row>
    <row r="519" spans="1:16" s="28" customFormat="1" x14ac:dyDescent="0.25">
      <c r="A519" s="56"/>
      <c r="B519" s="61"/>
      <c r="C519" s="61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152"/>
    </row>
    <row r="520" spans="1:16" s="28" customFormat="1" x14ac:dyDescent="0.25">
      <c r="A520" s="56"/>
      <c r="B520" s="61"/>
      <c r="C520" s="61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152"/>
    </row>
    <row r="521" spans="1:16" s="28" customFormat="1" x14ac:dyDescent="0.25">
      <c r="A521" s="56"/>
      <c r="B521" s="61"/>
      <c r="C521" s="61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152"/>
    </row>
    <row r="522" spans="1:16" s="28" customFormat="1" x14ac:dyDescent="0.25">
      <c r="A522" s="56"/>
      <c r="B522" s="61"/>
      <c r="C522" s="61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152"/>
    </row>
    <row r="523" spans="1:16" s="28" customFormat="1" x14ac:dyDescent="0.25">
      <c r="A523" s="56"/>
      <c r="B523" s="61"/>
      <c r="C523" s="61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152"/>
    </row>
    <row r="524" spans="1:16" s="28" customFormat="1" x14ac:dyDescent="0.25">
      <c r="A524" s="56"/>
      <c r="B524" s="61"/>
      <c r="C524" s="61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152"/>
    </row>
    <row r="525" spans="1:16" s="28" customFormat="1" x14ac:dyDescent="0.25">
      <c r="A525" s="56"/>
      <c r="B525" s="61"/>
      <c r="C525" s="61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152"/>
    </row>
    <row r="526" spans="1:16" s="28" customFormat="1" x14ac:dyDescent="0.25">
      <c r="A526" s="56"/>
      <c r="B526" s="61"/>
      <c r="C526" s="61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152"/>
    </row>
    <row r="527" spans="1:16" s="28" customFormat="1" x14ac:dyDescent="0.25">
      <c r="A527" s="56"/>
      <c r="B527" s="61"/>
      <c r="C527" s="61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152"/>
    </row>
    <row r="528" spans="1:16" s="28" customFormat="1" x14ac:dyDescent="0.25">
      <c r="A528" s="56"/>
      <c r="B528" s="61"/>
      <c r="C528" s="61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152"/>
    </row>
    <row r="529" spans="1:16" s="28" customFormat="1" x14ac:dyDescent="0.25">
      <c r="A529" s="56"/>
      <c r="B529" s="61"/>
      <c r="C529" s="61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152"/>
    </row>
    <row r="530" spans="1:16" s="28" customFormat="1" x14ac:dyDescent="0.25">
      <c r="A530" s="56"/>
      <c r="B530" s="61"/>
      <c r="C530" s="61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152"/>
    </row>
    <row r="531" spans="1:16" s="28" customFormat="1" x14ac:dyDescent="0.25">
      <c r="A531" s="56"/>
      <c r="B531" s="61"/>
      <c r="C531" s="61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152"/>
    </row>
    <row r="532" spans="1:16" s="28" customFormat="1" x14ac:dyDescent="0.25">
      <c r="A532" s="56"/>
      <c r="B532" s="61"/>
      <c r="C532" s="61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152"/>
    </row>
    <row r="533" spans="1:16" s="28" customFormat="1" x14ac:dyDescent="0.25">
      <c r="A533" s="56"/>
      <c r="B533" s="61"/>
      <c r="C533" s="61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152"/>
    </row>
    <row r="534" spans="1:16" s="28" customFormat="1" x14ac:dyDescent="0.25">
      <c r="A534" s="56"/>
      <c r="B534" s="61"/>
      <c r="C534" s="61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152"/>
    </row>
    <row r="535" spans="1:16" s="28" customFormat="1" x14ac:dyDescent="0.25">
      <c r="A535" s="56"/>
      <c r="B535" s="61"/>
      <c r="C535" s="61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152"/>
    </row>
    <row r="536" spans="1:16" s="28" customFormat="1" x14ac:dyDescent="0.25">
      <c r="A536" s="56"/>
      <c r="B536" s="61"/>
      <c r="C536" s="61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152"/>
    </row>
    <row r="537" spans="1:16" s="28" customFormat="1" x14ac:dyDescent="0.25">
      <c r="A537" s="56"/>
      <c r="B537" s="61"/>
      <c r="C537" s="61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152"/>
    </row>
    <row r="538" spans="1:16" s="28" customFormat="1" x14ac:dyDescent="0.25">
      <c r="A538" s="56"/>
      <c r="B538" s="61"/>
      <c r="C538" s="61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152"/>
    </row>
    <row r="539" spans="1:16" s="28" customFormat="1" x14ac:dyDescent="0.25">
      <c r="A539" s="56"/>
      <c r="B539" s="61"/>
      <c r="C539" s="61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152"/>
    </row>
    <row r="540" spans="1:16" s="28" customFormat="1" x14ac:dyDescent="0.25">
      <c r="A540" s="56"/>
      <c r="B540" s="61"/>
      <c r="C540" s="61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152"/>
    </row>
    <row r="541" spans="1:16" s="28" customFormat="1" x14ac:dyDescent="0.25">
      <c r="A541" s="56"/>
      <c r="B541" s="61"/>
      <c r="C541" s="61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152"/>
    </row>
    <row r="542" spans="1:16" s="28" customFormat="1" x14ac:dyDescent="0.25">
      <c r="A542" s="56"/>
      <c r="B542" s="61"/>
      <c r="C542" s="61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152"/>
    </row>
    <row r="543" spans="1:16" s="28" customFormat="1" x14ac:dyDescent="0.25">
      <c r="A543" s="56"/>
      <c r="B543" s="61"/>
      <c r="C543" s="61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152"/>
    </row>
    <row r="544" spans="1:16" s="28" customFormat="1" x14ac:dyDescent="0.25">
      <c r="A544" s="56"/>
      <c r="B544" s="61"/>
      <c r="C544" s="61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152"/>
    </row>
    <row r="545" spans="1:16" s="28" customFormat="1" x14ac:dyDescent="0.25">
      <c r="A545" s="56"/>
      <c r="B545" s="61"/>
      <c r="C545" s="61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152"/>
    </row>
    <row r="546" spans="1:16" s="28" customFormat="1" x14ac:dyDescent="0.25">
      <c r="A546" s="56"/>
      <c r="B546" s="61"/>
      <c r="C546" s="61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152"/>
    </row>
    <row r="547" spans="1:16" s="28" customFormat="1" x14ac:dyDescent="0.25">
      <c r="A547" s="56"/>
      <c r="B547" s="61"/>
      <c r="C547" s="61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152"/>
    </row>
    <row r="548" spans="1:16" s="28" customFormat="1" x14ac:dyDescent="0.25">
      <c r="A548" s="56"/>
      <c r="B548" s="61"/>
      <c r="C548" s="61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152"/>
    </row>
    <row r="549" spans="1:16" s="28" customFormat="1" x14ac:dyDescent="0.25">
      <c r="A549" s="56"/>
      <c r="B549" s="61"/>
      <c r="C549" s="61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152"/>
    </row>
    <row r="550" spans="1:16" s="28" customFormat="1" x14ac:dyDescent="0.25">
      <c r="A550" s="56"/>
      <c r="B550" s="61"/>
      <c r="C550" s="61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152"/>
    </row>
    <row r="551" spans="1:16" s="28" customFormat="1" x14ac:dyDescent="0.25">
      <c r="A551" s="56"/>
      <c r="B551" s="61"/>
      <c r="C551" s="61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152"/>
    </row>
    <row r="552" spans="1:16" s="28" customFormat="1" x14ac:dyDescent="0.25">
      <c r="A552" s="56"/>
      <c r="B552" s="61"/>
      <c r="C552" s="61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152"/>
    </row>
    <row r="553" spans="1:16" s="28" customFormat="1" x14ac:dyDescent="0.25">
      <c r="A553" s="56"/>
      <c r="B553" s="61"/>
      <c r="C553" s="61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152"/>
    </row>
    <row r="554" spans="1:16" s="28" customFormat="1" x14ac:dyDescent="0.25">
      <c r="A554" s="56"/>
      <c r="B554" s="61"/>
      <c r="C554" s="61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152"/>
    </row>
    <row r="555" spans="1:16" s="28" customFormat="1" x14ac:dyDescent="0.25">
      <c r="A555" s="56"/>
      <c r="B555" s="61"/>
      <c r="C555" s="61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152"/>
    </row>
    <row r="556" spans="1:16" s="28" customFormat="1" x14ac:dyDescent="0.25">
      <c r="A556" s="56"/>
      <c r="B556" s="61"/>
      <c r="C556" s="61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152"/>
    </row>
    <row r="557" spans="1:16" s="28" customFormat="1" x14ac:dyDescent="0.25">
      <c r="A557" s="56"/>
      <c r="B557" s="61"/>
      <c r="C557" s="61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152"/>
    </row>
    <row r="558" spans="1:16" s="28" customFormat="1" x14ac:dyDescent="0.25">
      <c r="A558" s="56"/>
      <c r="B558" s="61"/>
      <c r="C558" s="61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152"/>
    </row>
    <row r="559" spans="1:16" s="28" customFormat="1" x14ac:dyDescent="0.25">
      <c r="A559" s="56"/>
      <c r="B559" s="61"/>
      <c r="C559" s="61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152"/>
    </row>
    <row r="560" spans="1:16" s="28" customFormat="1" x14ac:dyDescent="0.25">
      <c r="A560" s="56"/>
      <c r="B560" s="61"/>
      <c r="C560" s="61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152"/>
    </row>
    <row r="561" spans="1:16" s="28" customFormat="1" x14ac:dyDescent="0.25">
      <c r="A561" s="56"/>
      <c r="B561" s="61"/>
      <c r="C561" s="61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152"/>
    </row>
    <row r="562" spans="1:16" s="28" customFormat="1" x14ac:dyDescent="0.25">
      <c r="A562" s="56"/>
      <c r="B562" s="61"/>
      <c r="C562" s="61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152"/>
    </row>
    <row r="563" spans="1:16" s="28" customFormat="1" x14ac:dyDescent="0.25">
      <c r="A563" s="56"/>
      <c r="B563" s="61"/>
      <c r="C563" s="61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152"/>
    </row>
    <row r="564" spans="1:16" s="28" customFormat="1" x14ac:dyDescent="0.25">
      <c r="A564" s="56"/>
      <c r="B564" s="61"/>
      <c r="C564" s="61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152"/>
    </row>
    <row r="565" spans="1:16" s="28" customFormat="1" x14ac:dyDescent="0.25">
      <c r="A565" s="56"/>
      <c r="B565" s="61"/>
      <c r="C565" s="61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152"/>
    </row>
    <row r="566" spans="1:16" s="28" customFormat="1" x14ac:dyDescent="0.25">
      <c r="A566" s="56"/>
      <c r="B566" s="61"/>
      <c r="C566" s="61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152"/>
    </row>
    <row r="567" spans="1:16" s="28" customFormat="1" x14ac:dyDescent="0.25">
      <c r="A567" s="56"/>
      <c r="B567" s="61"/>
      <c r="C567" s="61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152"/>
    </row>
    <row r="568" spans="1:16" s="28" customFormat="1" x14ac:dyDescent="0.25">
      <c r="A568" s="56"/>
      <c r="B568" s="61"/>
      <c r="C568" s="61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152"/>
    </row>
    <row r="569" spans="1:16" s="28" customFormat="1" x14ac:dyDescent="0.25">
      <c r="A569" s="56"/>
      <c r="B569" s="61"/>
      <c r="C569" s="61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152"/>
    </row>
    <row r="570" spans="1:16" s="28" customFormat="1" x14ac:dyDescent="0.25">
      <c r="A570" s="56"/>
      <c r="B570" s="61"/>
      <c r="C570" s="61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152"/>
    </row>
    <row r="571" spans="1:16" s="28" customFormat="1" x14ac:dyDescent="0.25">
      <c r="A571" s="56"/>
      <c r="B571" s="61"/>
      <c r="C571" s="61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152"/>
    </row>
    <row r="572" spans="1:16" s="28" customFormat="1" x14ac:dyDescent="0.25">
      <c r="A572" s="56"/>
      <c r="B572" s="61"/>
      <c r="C572" s="61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152"/>
    </row>
    <row r="573" spans="1:16" s="28" customFormat="1" x14ac:dyDescent="0.25">
      <c r="A573" s="56"/>
      <c r="B573" s="61"/>
      <c r="C573" s="61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152"/>
    </row>
    <row r="574" spans="1:16" s="28" customFormat="1" x14ac:dyDescent="0.25">
      <c r="A574" s="56"/>
      <c r="B574" s="61"/>
      <c r="C574" s="61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152"/>
    </row>
    <row r="575" spans="1:16" s="28" customFormat="1" x14ac:dyDescent="0.25">
      <c r="A575" s="56"/>
      <c r="B575" s="61"/>
      <c r="C575" s="61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152"/>
    </row>
    <row r="576" spans="1:16" s="28" customFormat="1" x14ac:dyDescent="0.25">
      <c r="A576" s="56"/>
      <c r="B576" s="61"/>
      <c r="C576" s="61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152"/>
    </row>
    <row r="577" spans="1:16" s="28" customFormat="1" x14ac:dyDescent="0.25">
      <c r="A577" s="56"/>
      <c r="B577" s="61"/>
      <c r="C577" s="61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152"/>
    </row>
    <row r="578" spans="1:16" s="28" customFormat="1" x14ac:dyDescent="0.25">
      <c r="A578" s="56"/>
      <c r="B578" s="61"/>
      <c r="C578" s="61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152"/>
    </row>
    <row r="579" spans="1:16" s="28" customFormat="1" x14ac:dyDescent="0.25">
      <c r="A579" s="56"/>
      <c r="B579" s="61"/>
      <c r="C579" s="61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152"/>
    </row>
    <row r="580" spans="1:16" s="28" customFormat="1" x14ac:dyDescent="0.25">
      <c r="A580" s="56"/>
      <c r="B580" s="61"/>
      <c r="C580" s="61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152"/>
    </row>
    <row r="581" spans="1:16" s="28" customFormat="1" x14ac:dyDescent="0.25">
      <c r="A581" s="56"/>
      <c r="B581" s="61"/>
      <c r="C581" s="61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152"/>
    </row>
    <row r="582" spans="1:16" s="28" customFormat="1" x14ac:dyDescent="0.25">
      <c r="A582" s="56"/>
      <c r="B582" s="61"/>
      <c r="C582" s="61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152"/>
    </row>
    <row r="583" spans="1:16" s="28" customFormat="1" x14ac:dyDescent="0.25">
      <c r="A583" s="56"/>
      <c r="B583" s="61"/>
      <c r="C583" s="61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152"/>
    </row>
    <row r="584" spans="1:16" s="28" customFormat="1" x14ac:dyDescent="0.25">
      <c r="A584" s="56"/>
      <c r="B584" s="61"/>
      <c r="C584" s="61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152"/>
    </row>
    <row r="585" spans="1:16" s="28" customFormat="1" x14ac:dyDescent="0.25">
      <c r="A585" s="56"/>
      <c r="B585" s="61"/>
      <c r="C585" s="61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152"/>
    </row>
    <row r="586" spans="1:16" s="28" customFormat="1" x14ac:dyDescent="0.25">
      <c r="A586" s="56"/>
      <c r="B586" s="61"/>
      <c r="C586" s="61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152"/>
    </row>
    <row r="587" spans="1:16" s="28" customFormat="1" x14ac:dyDescent="0.25">
      <c r="A587" s="56"/>
      <c r="B587" s="61"/>
      <c r="C587" s="61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152"/>
    </row>
    <row r="588" spans="1:16" s="28" customFormat="1" x14ac:dyDescent="0.25">
      <c r="A588" s="56"/>
      <c r="B588" s="61"/>
      <c r="C588" s="61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152"/>
    </row>
    <row r="589" spans="1:16" s="28" customFormat="1" x14ac:dyDescent="0.25">
      <c r="A589" s="56"/>
      <c r="B589" s="61"/>
      <c r="C589" s="61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152"/>
    </row>
    <row r="590" spans="1:16" s="28" customFormat="1" x14ac:dyDescent="0.25">
      <c r="A590" s="56"/>
      <c r="B590" s="61"/>
      <c r="C590" s="61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152"/>
    </row>
    <row r="591" spans="1:16" s="28" customFormat="1" x14ac:dyDescent="0.25">
      <c r="A591" s="56"/>
      <c r="B591" s="61"/>
      <c r="C591" s="61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152"/>
    </row>
    <row r="592" spans="1:16" s="28" customFormat="1" x14ac:dyDescent="0.25">
      <c r="A592" s="56"/>
      <c r="B592" s="61"/>
      <c r="C592" s="61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152"/>
    </row>
    <row r="593" spans="1:16" s="28" customFormat="1" x14ac:dyDescent="0.25">
      <c r="A593" s="56"/>
      <c r="B593" s="61"/>
      <c r="C593" s="61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152"/>
    </row>
    <row r="594" spans="1:16" s="28" customFormat="1" x14ac:dyDescent="0.25">
      <c r="A594" s="56"/>
      <c r="B594" s="61"/>
      <c r="C594" s="61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152"/>
    </row>
    <row r="595" spans="1:16" s="28" customFormat="1" x14ac:dyDescent="0.25">
      <c r="A595" s="56"/>
      <c r="B595" s="61"/>
      <c r="C595" s="61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152"/>
    </row>
    <row r="596" spans="1:16" s="28" customFormat="1" x14ac:dyDescent="0.25">
      <c r="A596" s="56"/>
      <c r="B596" s="61"/>
      <c r="C596" s="61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152"/>
    </row>
    <row r="597" spans="1:16" s="28" customFormat="1" x14ac:dyDescent="0.25">
      <c r="A597" s="56"/>
      <c r="B597" s="61"/>
      <c r="C597" s="61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152"/>
    </row>
    <row r="598" spans="1:16" s="28" customFormat="1" x14ac:dyDescent="0.25">
      <c r="A598" s="56"/>
      <c r="B598" s="61"/>
      <c r="C598" s="61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152"/>
    </row>
    <row r="599" spans="1:16" s="28" customFormat="1" x14ac:dyDescent="0.25">
      <c r="A599" s="56"/>
      <c r="B599" s="61"/>
      <c r="C599" s="61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152"/>
    </row>
    <row r="600" spans="1:16" s="28" customFormat="1" x14ac:dyDescent="0.25">
      <c r="A600" s="56"/>
      <c r="B600" s="61"/>
      <c r="C600" s="61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152"/>
    </row>
    <row r="601" spans="1:16" s="28" customFormat="1" x14ac:dyDescent="0.25">
      <c r="A601" s="56"/>
      <c r="B601" s="61"/>
      <c r="C601" s="61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152"/>
    </row>
    <row r="602" spans="1:16" s="28" customFormat="1" x14ac:dyDescent="0.25">
      <c r="A602" s="56"/>
      <c r="B602" s="61"/>
      <c r="C602" s="61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152"/>
    </row>
    <row r="603" spans="1:16" s="28" customFormat="1" x14ac:dyDescent="0.25">
      <c r="A603" s="56"/>
      <c r="B603" s="61"/>
      <c r="C603" s="61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152"/>
    </row>
    <row r="604" spans="1:16" s="28" customFormat="1" x14ac:dyDescent="0.25">
      <c r="A604" s="56"/>
      <c r="B604" s="61"/>
      <c r="C604" s="61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152"/>
    </row>
    <row r="605" spans="1:16" s="28" customFormat="1" x14ac:dyDescent="0.25">
      <c r="A605" s="56"/>
      <c r="B605" s="61"/>
      <c r="C605" s="61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152"/>
    </row>
    <row r="606" spans="1:16" s="28" customFormat="1" x14ac:dyDescent="0.25">
      <c r="A606" s="56"/>
      <c r="B606" s="61"/>
      <c r="C606" s="61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152"/>
    </row>
    <row r="607" spans="1:16" s="28" customFormat="1" x14ac:dyDescent="0.25">
      <c r="A607" s="56"/>
      <c r="B607" s="61"/>
      <c r="C607" s="61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152"/>
    </row>
    <row r="608" spans="1:16" s="28" customFormat="1" x14ac:dyDescent="0.25">
      <c r="A608" s="56"/>
      <c r="B608" s="61"/>
      <c r="C608" s="61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152"/>
    </row>
    <row r="609" spans="1:16" s="28" customFormat="1" x14ac:dyDescent="0.25">
      <c r="A609" s="56"/>
      <c r="B609" s="61"/>
      <c r="C609" s="61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152"/>
    </row>
    <row r="610" spans="1:16" s="28" customFormat="1" x14ac:dyDescent="0.25">
      <c r="A610" s="56"/>
      <c r="B610" s="61"/>
      <c r="C610" s="61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152"/>
    </row>
    <row r="611" spans="1:16" s="28" customFormat="1" x14ac:dyDescent="0.25">
      <c r="A611" s="56"/>
      <c r="B611" s="61"/>
      <c r="C611" s="61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152"/>
    </row>
    <row r="612" spans="1:16" s="28" customFormat="1" x14ac:dyDescent="0.25">
      <c r="A612" s="56"/>
      <c r="B612" s="61"/>
      <c r="C612" s="61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152"/>
    </row>
    <row r="613" spans="1:16" s="28" customFormat="1" x14ac:dyDescent="0.25">
      <c r="A613" s="56"/>
      <c r="B613" s="61"/>
      <c r="C613" s="61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152"/>
    </row>
    <row r="614" spans="1:16" s="28" customFormat="1" x14ac:dyDescent="0.25">
      <c r="A614" s="56"/>
      <c r="B614" s="61"/>
      <c r="C614" s="61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152"/>
    </row>
    <row r="615" spans="1:16" s="28" customFormat="1" x14ac:dyDescent="0.25">
      <c r="A615" s="56"/>
      <c r="B615" s="61"/>
      <c r="C615" s="61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152"/>
    </row>
    <row r="616" spans="1:16" s="28" customFormat="1" x14ac:dyDescent="0.25">
      <c r="A616" s="56"/>
      <c r="B616" s="61"/>
      <c r="C616" s="61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152"/>
    </row>
    <row r="617" spans="1:16" s="28" customFormat="1" x14ac:dyDescent="0.25">
      <c r="A617" s="56"/>
      <c r="B617" s="61"/>
      <c r="C617" s="61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152"/>
    </row>
    <row r="618" spans="1:16" s="28" customFormat="1" x14ac:dyDescent="0.25">
      <c r="A618" s="56"/>
      <c r="B618" s="61"/>
      <c r="C618" s="61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152"/>
    </row>
    <row r="619" spans="1:16" s="28" customFormat="1" x14ac:dyDescent="0.25">
      <c r="A619" s="56"/>
      <c r="B619" s="61"/>
      <c r="C619" s="61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152"/>
    </row>
    <row r="620" spans="1:16" s="28" customFormat="1" x14ac:dyDescent="0.25">
      <c r="A620" s="56"/>
      <c r="B620" s="61"/>
      <c r="C620" s="61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152"/>
    </row>
    <row r="621" spans="1:16" s="28" customFormat="1" x14ac:dyDescent="0.25">
      <c r="A621" s="56"/>
      <c r="B621" s="61"/>
      <c r="C621" s="61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152"/>
    </row>
    <row r="622" spans="1:16" s="28" customFormat="1" x14ac:dyDescent="0.25">
      <c r="A622" s="56"/>
      <c r="B622" s="61"/>
      <c r="C622" s="61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152"/>
    </row>
    <row r="623" spans="1:16" s="28" customFormat="1" x14ac:dyDescent="0.25">
      <c r="A623" s="56"/>
      <c r="B623" s="61"/>
      <c r="C623" s="61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152"/>
    </row>
    <row r="624" spans="1:16" s="28" customFormat="1" x14ac:dyDescent="0.25">
      <c r="A624" s="56"/>
      <c r="B624" s="61"/>
      <c r="C624" s="61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152"/>
    </row>
    <row r="625" spans="1:16" s="28" customFormat="1" x14ac:dyDescent="0.25">
      <c r="A625" s="56"/>
      <c r="B625" s="61"/>
      <c r="C625" s="61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152"/>
    </row>
    <row r="626" spans="1:16" s="28" customFormat="1" x14ac:dyDescent="0.25">
      <c r="A626" s="56"/>
      <c r="B626" s="61"/>
      <c r="C626" s="61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152"/>
    </row>
    <row r="627" spans="1:16" s="28" customFormat="1" x14ac:dyDescent="0.25">
      <c r="A627" s="56"/>
      <c r="B627" s="61"/>
      <c r="C627" s="61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152"/>
    </row>
    <row r="628" spans="1:16" s="28" customFormat="1" x14ac:dyDescent="0.25">
      <c r="A628" s="56"/>
      <c r="B628" s="61"/>
      <c r="C628" s="61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152"/>
    </row>
    <row r="629" spans="1:16" s="28" customFormat="1" x14ac:dyDescent="0.25">
      <c r="A629" s="56"/>
      <c r="B629" s="61"/>
      <c r="C629" s="61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152"/>
    </row>
    <row r="630" spans="1:16" s="28" customFormat="1" x14ac:dyDescent="0.25">
      <c r="A630" s="56"/>
      <c r="B630" s="61"/>
      <c r="C630" s="61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152"/>
    </row>
    <row r="631" spans="1:16" s="28" customFormat="1" x14ac:dyDescent="0.25">
      <c r="A631" s="56"/>
      <c r="B631" s="61"/>
      <c r="C631" s="61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152"/>
    </row>
    <row r="632" spans="1:16" s="28" customFormat="1" x14ac:dyDescent="0.25">
      <c r="A632" s="56"/>
      <c r="B632" s="61"/>
      <c r="C632" s="61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152"/>
    </row>
    <row r="633" spans="1:16" s="28" customFormat="1" x14ac:dyDescent="0.25">
      <c r="A633" s="56"/>
      <c r="B633" s="61"/>
      <c r="C633" s="61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152"/>
    </row>
    <row r="634" spans="1:16" s="28" customFormat="1" x14ac:dyDescent="0.25">
      <c r="A634" s="56"/>
      <c r="B634" s="61"/>
      <c r="C634" s="61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152"/>
    </row>
    <row r="635" spans="1:16" s="28" customFormat="1" x14ac:dyDescent="0.25">
      <c r="A635" s="56"/>
      <c r="B635" s="61"/>
      <c r="C635" s="61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152"/>
    </row>
    <row r="636" spans="1:16" s="28" customFormat="1" x14ac:dyDescent="0.25">
      <c r="A636" s="56"/>
      <c r="B636" s="61"/>
      <c r="C636" s="61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152"/>
    </row>
    <row r="637" spans="1:16" s="28" customFormat="1" x14ac:dyDescent="0.25">
      <c r="A637" s="56"/>
      <c r="B637" s="61"/>
      <c r="C637" s="61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152"/>
    </row>
    <row r="638" spans="1:16" s="28" customFormat="1" x14ac:dyDescent="0.25">
      <c r="A638" s="56"/>
      <c r="B638" s="61"/>
      <c r="C638" s="61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152"/>
    </row>
    <row r="639" spans="1:16" s="28" customFormat="1" x14ac:dyDescent="0.25">
      <c r="A639" s="56"/>
      <c r="B639" s="61"/>
      <c r="C639" s="61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152"/>
    </row>
    <row r="640" spans="1:16" s="28" customFormat="1" x14ac:dyDescent="0.25">
      <c r="A640" s="56"/>
      <c r="B640" s="61"/>
      <c r="C640" s="61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152"/>
    </row>
    <row r="641" spans="1:16" s="28" customFormat="1" x14ac:dyDescent="0.25">
      <c r="A641" s="56"/>
      <c r="B641" s="61"/>
      <c r="C641" s="61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152"/>
    </row>
    <row r="642" spans="1:16" s="28" customFormat="1" x14ac:dyDescent="0.25">
      <c r="A642" s="56"/>
      <c r="B642" s="61"/>
      <c r="C642" s="61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152"/>
    </row>
    <row r="643" spans="1:16" s="28" customFormat="1" x14ac:dyDescent="0.25">
      <c r="A643" s="56"/>
      <c r="B643" s="61"/>
      <c r="C643" s="61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152"/>
    </row>
    <row r="644" spans="1:16" s="28" customFormat="1" x14ac:dyDescent="0.25">
      <c r="A644" s="56"/>
      <c r="B644" s="61"/>
      <c r="C644" s="61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152"/>
    </row>
    <row r="645" spans="1:16" s="28" customFormat="1" x14ac:dyDescent="0.25">
      <c r="A645" s="56"/>
      <c r="B645" s="61"/>
      <c r="C645" s="61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152"/>
    </row>
    <row r="646" spans="1:16" s="28" customFormat="1" x14ac:dyDescent="0.25">
      <c r="A646" s="56"/>
      <c r="B646" s="61"/>
      <c r="C646" s="61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152"/>
    </row>
    <row r="647" spans="1:16" s="28" customFormat="1" x14ac:dyDescent="0.25">
      <c r="A647" s="56"/>
      <c r="B647" s="61"/>
      <c r="C647" s="61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152"/>
    </row>
    <row r="648" spans="1:16" s="28" customFormat="1" x14ac:dyDescent="0.25">
      <c r="A648" s="56"/>
      <c r="B648" s="61"/>
      <c r="C648" s="61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152"/>
    </row>
    <row r="649" spans="1:16" s="28" customFormat="1" x14ac:dyDescent="0.25">
      <c r="A649" s="56"/>
      <c r="B649" s="61"/>
      <c r="C649" s="61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152"/>
    </row>
    <row r="650" spans="1:16" s="28" customFormat="1" x14ac:dyDescent="0.25">
      <c r="A650" s="56"/>
      <c r="B650" s="61"/>
      <c r="C650" s="61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152"/>
    </row>
    <row r="651" spans="1:16" s="28" customFormat="1" x14ac:dyDescent="0.25">
      <c r="A651" s="56"/>
      <c r="B651" s="61"/>
      <c r="C651" s="61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152"/>
    </row>
    <row r="652" spans="1:16" s="28" customFormat="1" x14ac:dyDescent="0.25">
      <c r="A652" s="56"/>
      <c r="B652" s="61"/>
      <c r="C652" s="61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152"/>
    </row>
    <row r="653" spans="1:16" s="28" customFormat="1" x14ac:dyDescent="0.25">
      <c r="A653" s="56"/>
      <c r="B653" s="61"/>
      <c r="C653" s="61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152"/>
    </row>
    <row r="654" spans="1:16" s="28" customFormat="1" x14ac:dyDescent="0.25">
      <c r="A654" s="56"/>
      <c r="B654" s="61"/>
      <c r="C654" s="61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152"/>
    </row>
    <row r="655" spans="1:16" s="28" customFormat="1" x14ac:dyDescent="0.25">
      <c r="A655" s="56"/>
      <c r="B655" s="61"/>
      <c r="C655" s="61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152"/>
    </row>
    <row r="656" spans="1:16" s="28" customFormat="1" x14ac:dyDescent="0.25">
      <c r="A656" s="56"/>
      <c r="B656" s="61"/>
      <c r="C656" s="61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152"/>
    </row>
    <row r="657" spans="1:16" s="28" customFormat="1" x14ac:dyDescent="0.25">
      <c r="A657" s="56"/>
      <c r="B657" s="61"/>
      <c r="C657" s="61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152"/>
    </row>
    <row r="658" spans="1:16" s="28" customFormat="1" x14ac:dyDescent="0.25">
      <c r="A658" s="56"/>
      <c r="B658" s="61"/>
      <c r="C658" s="61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152"/>
    </row>
    <row r="659" spans="1:16" s="28" customFormat="1" x14ac:dyDescent="0.25">
      <c r="A659" s="56"/>
      <c r="B659" s="61"/>
      <c r="C659" s="61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152"/>
    </row>
    <row r="660" spans="1:16" s="28" customFormat="1" x14ac:dyDescent="0.25">
      <c r="A660" s="56"/>
      <c r="B660" s="61"/>
      <c r="C660" s="61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152"/>
    </row>
    <row r="661" spans="1:16" s="28" customFormat="1" x14ac:dyDescent="0.25">
      <c r="A661" s="56"/>
      <c r="B661" s="61"/>
      <c r="C661" s="61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152"/>
    </row>
    <row r="662" spans="1:16" s="28" customFormat="1" x14ac:dyDescent="0.25">
      <c r="A662" s="56"/>
      <c r="B662" s="61"/>
      <c r="C662" s="61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152"/>
    </row>
    <row r="663" spans="1:16" s="28" customFormat="1" x14ac:dyDescent="0.25">
      <c r="A663" s="56"/>
      <c r="B663" s="61"/>
      <c r="C663" s="61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152"/>
    </row>
    <row r="664" spans="1:16" s="28" customFormat="1" x14ac:dyDescent="0.25">
      <c r="A664" s="56"/>
      <c r="B664" s="61"/>
      <c r="C664" s="61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152"/>
    </row>
    <row r="665" spans="1:16" s="28" customFormat="1" x14ac:dyDescent="0.25">
      <c r="A665" s="56"/>
      <c r="B665" s="61"/>
      <c r="C665" s="61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152"/>
    </row>
    <row r="666" spans="1:16" s="28" customFormat="1" x14ac:dyDescent="0.25">
      <c r="A666" s="56"/>
      <c r="B666" s="61"/>
      <c r="C666" s="61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152"/>
    </row>
    <row r="667" spans="1:16" s="28" customFormat="1" x14ac:dyDescent="0.25">
      <c r="A667" s="56"/>
      <c r="B667" s="61"/>
      <c r="C667" s="61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152"/>
    </row>
    <row r="668" spans="1:16" s="28" customFormat="1" x14ac:dyDescent="0.25">
      <c r="A668" s="56"/>
      <c r="B668" s="61"/>
      <c r="C668" s="61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152"/>
    </row>
    <row r="669" spans="1:16" s="28" customFormat="1" x14ac:dyDescent="0.25">
      <c r="A669" s="56"/>
      <c r="B669" s="61"/>
      <c r="C669" s="61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152"/>
    </row>
    <row r="670" spans="1:16" s="28" customFormat="1" x14ac:dyDescent="0.25">
      <c r="A670" s="56"/>
      <c r="B670" s="61"/>
      <c r="C670" s="61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152"/>
    </row>
    <row r="671" spans="1:16" s="28" customFormat="1" x14ac:dyDescent="0.25">
      <c r="A671" s="56"/>
      <c r="B671" s="61"/>
      <c r="C671" s="61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152"/>
    </row>
    <row r="672" spans="1:16" s="28" customFormat="1" x14ac:dyDescent="0.25">
      <c r="A672" s="56"/>
      <c r="B672" s="61"/>
      <c r="C672" s="61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152"/>
    </row>
    <row r="673" spans="1:16" s="28" customFormat="1" x14ac:dyDescent="0.25">
      <c r="A673" s="56"/>
      <c r="B673" s="61"/>
      <c r="C673" s="61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152"/>
    </row>
    <row r="674" spans="1:16" s="28" customFormat="1" x14ac:dyDescent="0.25">
      <c r="A674" s="56"/>
      <c r="B674" s="61"/>
      <c r="C674" s="61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152"/>
    </row>
    <row r="675" spans="1:16" s="28" customFormat="1" x14ac:dyDescent="0.25">
      <c r="A675" s="56"/>
      <c r="B675" s="61"/>
      <c r="C675" s="61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152"/>
    </row>
    <row r="676" spans="1:16" s="28" customFormat="1" x14ac:dyDescent="0.25">
      <c r="A676" s="56"/>
      <c r="B676" s="61"/>
      <c r="C676" s="61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152"/>
    </row>
    <row r="677" spans="1:16" s="28" customFormat="1" x14ac:dyDescent="0.25">
      <c r="A677" s="56"/>
      <c r="B677" s="61"/>
      <c r="C677" s="61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152"/>
    </row>
    <row r="678" spans="1:16" s="28" customFormat="1" x14ac:dyDescent="0.25">
      <c r="A678" s="56"/>
      <c r="B678" s="61"/>
      <c r="C678" s="61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152"/>
    </row>
    <row r="679" spans="1:16" s="28" customFormat="1" x14ac:dyDescent="0.25">
      <c r="A679" s="56"/>
      <c r="B679" s="61"/>
      <c r="C679" s="61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152"/>
    </row>
    <row r="680" spans="1:16" s="28" customFormat="1" x14ac:dyDescent="0.25">
      <c r="A680" s="56"/>
      <c r="B680" s="61"/>
      <c r="C680" s="61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152"/>
    </row>
    <row r="681" spans="1:16" s="28" customFormat="1" x14ac:dyDescent="0.25">
      <c r="A681" s="56"/>
      <c r="B681" s="61"/>
      <c r="C681" s="61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152"/>
    </row>
    <row r="682" spans="1:16" s="28" customFormat="1" x14ac:dyDescent="0.25">
      <c r="A682" s="56"/>
      <c r="B682" s="61"/>
      <c r="C682" s="61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152"/>
    </row>
    <row r="683" spans="1:16" s="28" customFormat="1" x14ac:dyDescent="0.25">
      <c r="A683" s="56"/>
      <c r="B683" s="61"/>
      <c r="C683" s="61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152"/>
    </row>
    <row r="684" spans="1:16" s="28" customFormat="1" x14ac:dyDescent="0.25">
      <c r="A684" s="56"/>
      <c r="B684" s="61"/>
      <c r="C684" s="61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152"/>
    </row>
    <row r="685" spans="1:16" s="28" customFormat="1" x14ac:dyDescent="0.25">
      <c r="A685" s="56"/>
      <c r="B685" s="61"/>
      <c r="C685" s="61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152"/>
    </row>
    <row r="686" spans="1:16" s="28" customFormat="1" x14ac:dyDescent="0.25">
      <c r="A686" s="56"/>
      <c r="B686" s="61"/>
      <c r="C686" s="61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152"/>
    </row>
    <row r="687" spans="1:16" s="28" customFormat="1" x14ac:dyDescent="0.25">
      <c r="A687" s="56"/>
      <c r="B687" s="61"/>
      <c r="C687" s="61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152"/>
    </row>
    <row r="688" spans="1:16" s="28" customFormat="1" x14ac:dyDescent="0.25">
      <c r="A688" s="56"/>
      <c r="B688" s="61"/>
      <c r="C688" s="61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152"/>
    </row>
    <row r="689" spans="1:16" s="28" customFormat="1" x14ac:dyDescent="0.25">
      <c r="A689" s="56"/>
      <c r="B689" s="61"/>
      <c r="C689" s="61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152"/>
    </row>
    <row r="690" spans="1:16" s="28" customFormat="1" x14ac:dyDescent="0.25">
      <c r="A690" s="56"/>
      <c r="B690" s="61"/>
      <c r="C690" s="61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152"/>
    </row>
    <row r="691" spans="1:16" s="28" customFormat="1" x14ac:dyDescent="0.25">
      <c r="A691" s="56"/>
      <c r="B691" s="61"/>
      <c r="C691" s="61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152"/>
    </row>
    <row r="692" spans="1:16" s="28" customFormat="1" x14ac:dyDescent="0.25">
      <c r="A692" s="56"/>
      <c r="B692" s="61"/>
      <c r="C692" s="61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152"/>
    </row>
    <row r="693" spans="1:16" s="28" customFormat="1" x14ac:dyDescent="0.25">
      <c r="A693" s="56"/>
      <c r="B693" s="61"/>
      <c r="C693" s="61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152"/>
    </row>
    <row r="694" spans="1:16" s="28" customFormat="1" x14ac:dyDescent="0.25">
      <c r="A694" s="56"/>
      <c r="B694" s="61"/>
      <c r="C694" s="61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152"/>
    </row>
    <row r="695" spans="1:16" s="28" customFormat="1" x14ac:dyDescent="0.25">
      <c r="A695" s="56"/>
      <c r="B695" s="61"/>
      <c r="C695" s="61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152"/>
    </row>
    <row r="696" spans="1:16" s="28" customFormat="1" x14ac:dyDescent="0.25">
      <c r="A696" s="56"/>
      <c r="B696" s="61"/>
      <c r="C696" s="61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152"/>
    </row>
    <row r="697" spans="1:16" s="28" customFormat="1" x14ac:dyDescent="0.25">
      <c r="A697" s="56"/>
      <c r="B697" s="61"/>
      <c r="C697" s="61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152"/>
    </row>
    <row r="698" spans="1:16" s="28" customFormat="1" x14ac:dyDescent="0.25">
      <c r="A698" s="56"/>
      <c r="B698" s="61"/>
      <c r="C698" s="61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152"/>
    </row>
    <row r="699" spans="1:16" s="28" customFormat="1" x14ac:dyDescent="0.25">
      <c r="A699" s="56"/>
      <c r="B699" s="61"/>
      <c r="C699" s="61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152"/>
    </row>
    <row r="700" spans="1:16" s="28" customFormat="1" x14ac:dyDescent="0.25">
      <c r="A700" s="56"/>
      <c r="B700" s="61"/>
      <c r="C700" s="61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152"/>
    </row>
    <row r="701" spans="1:16" s="28" customFormat="1" x14ac:dyDescent="0.25">
      <c r="A701" s="56"/>
      <c r="B701" s="61"/>
      <c r="C701" s="61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152"/>
    </row>
    <row r="702" spans="1:16" s="28" customFormat="1" x14ac:dyDescent="0.25">
      <c r="A702" s="56"/>
      <c r="B702" s="61"/>
      <c r="C702" s="61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152"/>
    </row>
    <row r="703" spans="1:16" s="28" customFormat="1" x14ac:dyDescent="0.25">
      <c r="A703" s="56"/>
      <c r="B703" s="61"/>
      <c r="C703" s="61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152"/>
    </row>
    <row r="704" spans="1:16" s="28" customFormat="1" x14ac:dyDescent="0.25">
      <c r="A704" s="56"/>
      <c r="B704" s="61"/>
      <c r="C704" s="61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152"/>
    </row>
    <row r="705" spans="1:16" s="28" customFormat="1" x14ac:dyDescent="0.25">
      <c r="A705" s="56"/>
      <c r="B705" s="61"/>
      <c r="C705" s="61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152"/>
    </row>
    <row r="706" spans="1:16" s="28" customFormat="1" x14ac:dyDescent="0.25">
      <c r="A706" s="56"/>
      <c r="B706" s="61"/>
      <c r="C706" s="61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152"/>
    </row>
    <row r="707" spans="1:16" s="28" customFormat="1" x14ac:dyDescent="0.25">
      <c r="A707" s="56"/>
      <c r="B707" s="61"/>
      <c r="C707" s="61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152"/>
    </row>
    <row r="708" spans="1:16" s="28" customFormat="1" x14ac:dyDescent="0.25">
      <c r="A708" s="56"/>
      <c r="B708" s="61"/>
      <c r="C708" s="61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152"/>
    </row>
    <row r="709" spans="1:16" s="28" customFormat="1" x14ac:dyDescent="0.25">
      <c r="A709" s="56"/>
      <c r="B709" s="61"/>
      <c r="C709" s="61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152"/>
    </row>
    <row r="710" spans="1:16" s="28" customFormat="1" x14ac:dyDescent="0.25">
      <c r="A710" s="56"/>
      <c r="B710" s="61"/>
      <c r="C710" s="61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152"/>
    </row>
    <row r="711" spans="1:16" s="28" customFormat="1" x14ac:dyDescent="0.25">
      <c r="A711" s="56"/>
      <c r="B711" s="61"/>
      <c r="C711" s="61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152"/>
    </row>
    <row r="712" spans="1:16" s="28" customFormat="1" x14ac:dyDescent="0.25">
      <c r="A712" s="56"/>
      <c r="B712" s="61"/>
      <c r="C712" s="61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152"/>
    </row>
    <row r="713" spans="1:16" s="28" customFormat="1" x14ac:dyDescent="0.25">
      <c r="A713" s="56"/>
      <c r="B713" s="61"/>
      <c r="C713" s="61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152"/>
    </row>
    <row r="714" spans="1:16" s="28" customFormat="1" x14ac:dyDescent="0.25">
      <c r="A714" s="56"/>
      <c r="B714" s="61"/>
      <c r="C714" s="61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152"/>
    </row>
    <row r="715" spans="1:16" s="28" customFormat="1" x14ac:dyDescent="0.25">
      <c r="A715" s="56"/>
      <c r="B715" s="61"/>
      <c r="C715" s="61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152"/>
    </row>
    <row r="716" spans="1:16" s="28" customFormat="1" x14ac:dyDescent="0.25">
      <c r="A716" s="56"/>
      <c r="B716" s="61"/>
      <c r="C716" s="61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152"/>
    </row>
    <row r="717" spans="1:16" s="28" customFormat="1" x14ac:dyDescent="0.25">
      <c r="A717" s="56"/>
      <c r="B717" s="61"/>
      <c r="C717" s="61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152"/>
    </row>
    <row r="718" spans="1:16" s="28" customFormat="1" x14ac:dyDescent="0.25">
      <c r="A718" s="56"/>
      <c r="B718" s="61"/>
      <c r="C718" s="61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152"/>
    </row>
    <row r="719" spans="1:16" s="28" customFormat="1" x14ac:dyDescent="0.25">
      <c r="A719" s="56"/>
      <c r="B719" s="61"/>
      <c r="C719" s="61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152"/>
    </row>
    <row r="720" spans="1:16" s="28" customFormat="1" x14ac:dyDescent="0.25">
      <c r="A720" s="56"/>
      <c r="B720" s="61"/>
      <c r="C720" s="61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152"/>
    </row>
    <row r="721" spans="1:16" s="28" customFormat="1" x14ac:dyDescent="0.25">
      <c r="A721" s="56"/>
      <c r="B721" s="61"/>
      <c r="C721" s="61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152"/>
    </row>
    <row r="722" spans="1:16" s="28" customFormat="1" x14ac:dyDescent="0.25">
      <c r="A722" s="56"/>
      <c r="B722" s="61"/>
      <c r="C722" s="61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152"/>
    </row>
    <row r="723" spans="1:16" s="28" customFormat="1" x14ac:dyDescent="0.25">
      <c r="A723" s="56"/>
      <c r="B723" s="61"/>
      <c r="C723" s="61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152"/>
    </row>
    <row r="724" spans="1:16" s="28" customFormat="1" x14ac:dyDescent="0.25">
      <c r="A724" s="56"/>
      <c r="B724" s="61"/>
      <c r="C724" s="61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152"/>
    </row>
    <row r="725" spans="1:16" s="28" customFormat="1" x14ac:dyDescent="0.25">
      <c r="A725" s="56"/>
      <c r="B725" s="61"/>
      <c r="C725" s="61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152"/>
    </row>
    <row r="726" spans="1:16" s="28" customFormat="1" x14ac:dyDescent="0.25">
      <c r="A726" s="56"/>
      <c r="B726" s="61"/>
      <c r="C726" s="61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152"/>
    </row>
    <row r="727" spans="1:16" s="28" customFormat="1" x14ac:dyDescent="0.25">
      <c r="A727" s="56"/>
      <c r="B727" s="61"/>
      <c r="C727" s="61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152"/>
    </row>
    <row r="728" spans="1:16" s="28" customFormat="1" x14ac:dyDescent="0.25">
      <c r="A728" s="56"/>
      <c r="B728" s="61"/>
      <c r="C728" s="61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152"/>
    </row>
    <row r="729" spans="1:16" s="28" customFormat="1" x14ac:dyDescent="0.25">
      <c r="A729" s="56"/>
      <c r="B729" s="61"/>
      <c r="C729" s="61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152"/>
    </row>
    <row r="730" spans="1:16" s="28" customFormat="1" x14ac:dyDescent="0.25">
      <c r="A730" s="56"/>
      <c r="B730" s="61"/>
      <c r="C730" s="61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152"/>
    </row>
    <row r="731" spans="1:16" s="28" customFormat="1" x14ac:dyDescent="0.25">
      <c r="A731" s="56"/>
      <c r="B731" s="61"/>
      <c r="C731" s="61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152"/>
    </row>
    <row r="732" spans="1:16" s="28" customFormat="1" x14ac:dyDescent="0.25">
      <c r="A732" s="56"/>
      <c r="B732" s="61"/>
      <c r="C732" s="61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152"/>
    </row>
    <row r="733" spans="1:16" s="28" customFormat="1" x14ac:dyDescent="0.25">
      <c r="A733" s="56"/>
      <c r="B733" s="61"/>
      <c r="C733" s="61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152"/>
    </row>
    <row r="734" spans="1:16" s="28" customFormat="1" x14ac:dyDescent="0.25">
      <c r="A734" s="56"/>
      <c r="B734" s="61"/>
      <c r="C734" s="61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152"/>
    </row>
    <row r="735" spans="1:16" s="28" customFormat="1" x14ac:dyDescent="0.25">
      <c r="A735" s="56"/>
      <c r="B735" s="61"/>
      <c r="C735" s="61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152"/>
    </row>
    <row r="736" spans="1:16" s="28" customFormat="1" x14ac:dyDescent="0.25">
      <c r="A736" s="56"/>
      <c r="B736" s="61"/>
      <c r="C736" s="61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152"/>
    </row>
    <row r="737" spans="1:16" s="28" customFormat="1" x14ac:dyDescent="0.25">
      <c r="A737" s="56"/>
      <c r="B737" s="61"/>
      <c r="C737" s="61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152"/>
    </row>
    <row r="738" spans="1:16" s="28" customFormat="1" x14ac:dyDescent="0.25">
      <c r="A738" s="56"/>
      <c r="B738" s="61"/>
      <c r="C738" s="61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152"/>
    </row>
    <row r="739" spans="1:16" s="28" customFormat="1" x14ac:dyDescent="0.25">
      <c r="A739" s="56"/>
      <c r="B739" s="61"/>
      <c r="C739" s="61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152"/>
    </row>
    <row r="740" spans="1:16" s="28" customFormat="1" x14ac:dyDescent="0.25">
      <c r="A740" s="56"/>
      <c r="B740" s="61"/>
      <c r="C740" s="61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152"/>
    </row>
    <row r="741" spans="1:16" s="28" customFormat="1" x14ac:dyDescent="0.25">
      <c r="A741" s="56"/>
      <c r="B741" s="61"/>
      <c r="C741" s="61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152"/>
    </row>
    <row r="742" spans="1:16" s="28" customFormat="1" x14ac:dyDescent="0.25">
      <c r="A742" s="56"/>
      <c r="B742" s="61"/>
      <c r="C742" s="61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152"/>
    </row>
    <row r="743" spans="1:16" s="28" customFormat="1" x14ac:dyDescent="0.25">
      <c r="A743" s="56"/>
      <c r="B743" s="61"/>
      <c r="C743" s="61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152"/>
    </row>
    <row r="744" spans="1:16" s="28" customFormat="1" x14ac:dyDescent="0.25">
      <c r="A744" s="56"/>
      <c r="B744" s="61"/>
      <c r="C744" s="61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152"/>
    </row>
    <row r="745" spans="1:16" s="28" customFormat="1" x14ac:dyDescent="0.25">
      <c r="A745" s="56"/>
      <c r="B745" s="61"/>
      <c r="C745" s="61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152"/>
    </row>
    <row r="746" spans="1:16" s="28" customFormat="1" x14ac:dyDescent="0.25">
      <c r="A746" s="56"/>
      <c r="B746" s="61"/>
      <c r="C746" s="61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152"/>
    </row>
    <row r="747" spans="1:16" s="28" customFormat="1" x14ac:dyDescent="0.25">
      <c r="A747" s="56"/>
      <c r="B747" s="61"/>
      <c r="C747" s="61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152"/>
    </row>
    <row r="748" spans="1:16" s="28" customFormat="1" x14ac:dyDescent="0.25">
      <c r="A748" s="56"/>
      <c r="B748" s="61"/>
      <c r="C748" s="61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152"/>
    </row>
    <row r="749" spans="1:16" s="28" customFormat="1" x14ac:dyDescent="0.25">
      <c r="A749" s="56"/>
      <c r="B749" s="61"/>
      <c r="C749" s="61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152"/>
    </row>
    <row r="750" spans="1:16" s="28" customFormat="1" x14ac:dyDescent="0.25">
      <c r="A750" s="56"/>
      <c r="B750" s="61"/>
      <c r="C750" s="61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152"/>
    </row>
    <row r="751" spans="1:16" s="28" customFormat="1" x14ac:dyDescent="0.25">
      <c r="A751" s="56"/>
      <c r="B751" s="61"/>
      <c r="C751" s="61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152"/>
    </row>
    <row r="752" spans="1:16" s="28" customFormat="1" x14ac:dyDescent="0.25">
      <c r="A752" s="56"/>
      <c r="B752" s="61"/>
      <c r="C752" s="61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152"/>
    </row>
    <row r="753" spans="1:16" s="28" customFormat="1" x14ac:dyDescent="0.25">
      <c r="A753" s="56"/>
      <c r="B753" s="61"/>
      <c r="C753" s="61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152"/>
    </row>
    <row r="754" spans="1:16" s="28" customFormat="1" x14ac:dyDescent="0.25">
      <c r="A754" s="56"/>
      <c r="B754" s="61"/>
      <c r="C754" s="61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152"/>
    </row>
    <row r="755" spans="1:16" s="28" customFormat="1" x14ac:dyDescent="0.25">
      <c r="A755" s="56"/>
      <c r="B755" s="61"/>
      <c r="C755" s="61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152"/>
    </row>
    <row r="756" spans="1:16" s="28" customFormat="1" x14ac:dyDescent="0.25">
      <c r="A756" s="56"/>
      <c r="B756" s="61"/>
      <c r="C756" s="61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152"/>
    </row>
    <row r="757" spans="1:16" s="28" customFormat="1" x14ac:dyDescent="0.25">
      <c r="A757" s="56"/>
      <c r="B757" s="61"/>
      <c r="C757" s="61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152"/>
    </row>
    <row r="758" spans="1:16" s="28" customFormat="1" x14ac:dyDescent="0.25">
      <c r="A758" s="56"/>
      <c r="B758" s="61"/>
      <c r="C758" s="61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152"/>
    </row>
    <row r="759" spans="1:16" s="28" customFormat="1" x14ac:dyDescent="0.25">
      <c r="A759" s="56"/>
      <c r="B759" s="61"/>
      <c r="C759" s="61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152"/>
    </row>
    <row r="760" spans="1:16" s="28" customFormat="1" x14ac:dyDescent="0.25">
      <c r="A760" s="56"/>
      <c r="B760" s="61"/>
      <c r="C760" s="61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152"/>
    </row>
    <row r="761" spans="1:16" s="28" customFormat="1" x14ac:dyDescent="0.25">
      <c r="A761" s="56"/>
      <c r="B761" s="61"/>
      <c r="C761" s="61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152"/>
    </row>
    <row r="762" spans="1:16" s="28" customFormat="1" x14ac:dyDescent="0.25">
      <c r="A762" s="56"/>
      <c r="B762" s="61"/>
      <c r="C762" s="61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152"/>
    </row>
    <row r="763" spans="1:16" s="28" customFormat="1" x14ac:dyDescent="0.25">
      <c r="A763" s="56"/>
      <c r="B763" s="61"/>
      <c r="C763" s="61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152"/>
    </row>
    <row r="764" spans="1:16" s="28" customFormat="1" x14ac:dyDescent="0.25">
      <c r="A764" s="56"/>
      <c r="B764" s="61"/>
      <c r="C764" s="61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152"/>
    </row>
    <row r="765" spans="1:16" s="28" customFormat="1" x14ac:dyDescent="0.25">
      <c r="A765" s="56"/>
      <c r="B765" s="61"/>
      <c r="C765" s="61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152"/>
    </row>
    <row r="766" spans="1:16" s="28" customFormat="1" x14ac:dyDescent="0.25">
      <c r="A766" s="56"/>
      <c r="B766" s="61"/>
      <c r="C766" s="61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152"/>
    </row>
    <row r="767" spans="1:16" s="28" customFormat="1" x14ac:dyDescent="0.25">
      <c r="A767" s="56"/>
      <c r="B767" s="61"/>
      <c r="C767" s="61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152"/>
    </row>
    <row r="768" spans="1:16" s="28" customFormat="1" x14ac:dyDescent="0.25">
      <c r="A768" s="56"/>
      <c r="B768" s="61"/>
      <c r="C768" s="61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152"/>
    </row>
    <row r="769" spans="1:16" s="28" customFormat="1" x14ac:dyDescent="0.25">
      <c r="A769" s="56"/>
      <c r="B769" s="61"/>
      <c r="C769" s="61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152"/>
    </row>
    <row r="770" spans="1:16" s="28" customFormat="1" x14ac:dyDescent="0.25">
      <c r="A770" s="56"/>
      <c r="B770" s="61"/>
      <c r="C770" s="61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152"/>
    </row>
    <row r="771" spans="1:16" s="28" customFormat="1" x14ac:dyDescent="0.25">
      <c r="A771" s="56"/>
      <c r="B771" s="61"/>
      <c r="C771" s="61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152"/>
    </row>
    <row r="772" spans="1:16" s="28" customFormat="1" x14ac:dyDescent="0.25">
      <c r="A772" s="56"/>
      <c r="B772" s="61"/>
      <c r="C772" s="61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152"/>
    </row>
    <row r="773" spans="1:16" s="28" customFormat="1" x14ac:dyDescent="0.25">
      <c r="A773" s="56"/>
      <c r="B773" s="61"/>
      <c r="C773" s="61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152"/>
    </row>
    <row r="774" spans="1:16" s="28" customFormat="1" x14ac:dyDescent="0.25">
      <c r="A774" s="56"/>
      <c r="B774" s="61"/>
      <c r="C774" s="61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152"/>
    </row>
    <row r="775" spans="1:16" s="28" customFormat="1" x14ac:dyDescent="0.25">
      <c r="A775" s="56"/>
      <c r="B775" s="61"/>
      <c r="C775" s="61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152"/>
    </row>
    <row r="776" spans="1:16" s="28" customFormat="1" x14ac:dyDescent="0.25">
      <c r="A776" s="56"/>
      <c r="B776" s="61"/>
      <c r="C776" s="61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152"/>
    </row>
    <row r="777" spans="1:16" s="28" customFormat="1" x14ac:dyDescent="0.25">
      <c r="A777" s="56"/>
      <c r="B777" s="61"/>
      <c r="C777" s="61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152"/>
    </row>
    <row r="778" spans="1:16" s="28" customFormat="1" x14ac:dyDescent="0.25">
      <c r="A778" s="56"/>
      <c r="B778" s="61"/>
      <c r="C778" s="61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152"/>
    </row>
    <row r="779" spans="1:16" s="28" customFormat="1" x14ac:dyDescent="0.25">
      <c r="A779" s="56"/>
      <c r="B779" s="61"/>
      <c r="C779" s="61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152"/>
    </row>
    <row r="780" spans="1:16" s="28" customFormat="1" x14ac:dyDescent="0.25">
      <c r="A780" s="56"/>
      <c r="B780" s="61"/>
      <c r="C780" s="61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152"/>
    </row>
    <row r="781" spans="1:16" s="28" customFormat="1" x14ac:dyDescent="0.25">
      <c r="A781" s="56"/>
      <c r="B781" s="61"/>
      <c r="C781" s="61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152"/>
    </row>
    <row r="782" spans="1:16" s="28" customFormat="1" x14ac:dyDescent="0.25">
      <c r="A782" s="56"/>
      <c r="B782" s="61"/>
      <c r="C782" s="61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152"/>
    </row>
    <row r="783" spans="1:16" s="28" customFormat="1" x14ac:dyDescent="0.25">
      <c r="A783" s="56"/>
      <c r="B783" s="61"/>
      <c r="C783" s="61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152"/>
    </row>
    <row r="784" spans="1:16" s="28" customFormat="1" x14ac:dyDescent="0.25">
      <c r="A784" s="56"/>
      <c r="B784" s="61"/>
      <c r="C784" s="61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152"/>
    </row>
    <row r="785" spans="1:16" s="28" customFormat="1" x14ac:dyDescent="0.25">
      <c r="A785" s="56"/>
      <c r="B785" s="61"/>
      <c r="C785" s="61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152"/>
    </row>
    <row r="786" spans="1:16" s="28" customFormat="1" x14ac:dyDescent="0.25">
      <c r="A786" s="56"/>
      <c r="B786" s="61"/>
      <c r="C786" s="61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152"/>
    </row>
    <row r="787" spans="1:16" s="28" customFormat="1" x14ac:dyDescent="0.25">
      <c r="A787" s="56"/>
      <c r="B787" s="61"/>
      <c r="C787" s="61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152"/>
    </row>
    <row r="788" spans="1:16" s="28" customFormat="1" x14ac:dyDescent="0.25">
      <c r="A788" s="56"/>
      <c r="B788" s="61"/>
      <c r="C788" s="61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152"/>
    </row>
    <row r="789" spans="1:16" s="28" customFormat="1" x14ac:dyDescent="0.25">
      <c r="A789" s="56"/>
      <c r="B789" s="61"/>
      <c r="C789" s="61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152"/>
    </row>
    <row r="790" spans="1:16" s="28" customFormat="1" x14ac:dyDescent="0.25">
      <c r="A790" s="56"/>
      <c r="B790" s="61"/>
      <c r="C790" s="61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152"/>
    </row>
    <row r="791" spans="1:16" s="28" customFormat="1" x14ac:dyDescent="0.25">
      <c r="A791" s="56"/>
      <c r="B791" s="61"/>
      <c r="C791" s="61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152"/>
    </row>
    <row r="792" spans="1:16" s="28" customFormat="1" x14ac:dyDescent="0.25">
      <c r="A792" s="56"/>
      <c r="B792" s="61"/>
      <c r="C792" s="61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152"/>
    </row>
    <row r="793" spans="1:16" s="28" customFormat="1" x14ac:dyDescent="0.25">
      <c r="A793" s="56"/>
      <c r="B793" s="61"/>
      <c r="C793" s="61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152"/>
    </row>
    <row r="794" spans="1:16" s="28" customFormat="1" x14ac:dyDescent="0.25">
      <c r="A794" s="56"/>
      <c r="B794" s="61"/>
      <c r="C794" s="61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152"/>
    </row>
    <row r="795" spans="1:16" s="28" customFormat="1" x14ac:dyDescent="0.25">
      <c r="A795" s="56"/>
      <c r="B795" s="61"/>
      <c r="C795" s="61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152"/>
    </row>
    <row r="796" spans="1:16" s="28" customFormat="1" x14ac:dyDescent="0.25">
      <c r="A796" s="56"/>
      <c r="B796" s="61"/>
      <c r="C796" s="61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152"/>
    </row>
    <row r="797" spans="1:16" s="28" customFormat="1" x14ac:dyDescent="0.25">
      <c r="A797" s="56"/>
      <c r="B797" s="61"/>
      <c r="C797" s="61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152"/>
    </row>
    <row r="798" spans="1:16" s="28" customFormat="1" x14ac:dyDescent="0.25">
      <c r="A798" s="56"/>
      <c r="B798" s="61"/>
      <c r="C798" s="61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152"/>
    </row>
    <row r="799" spans="1:16" s="28" customFormat="1" x14ac:dyDescent="0.25">
      <c r="A799" s="56"/>
      <c r="B799" s="61"/>
      <c r="C799" s="61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152"/>
    </row>
    <row r="800" spans="1:16" s="28" customFormat="1" x14ac:dyDescent="0.25">
      <c r="A800" s="56"/>
      <c r="B800" s="61"/>
      <c r="C800" s="61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152"/>
    </row>
    <row r="801" spans="1:16" s="28" customFormat="1" x14ac:dyDescent="0.25">
      <c r="A801" s="56"/>
      <c r="B801" s="61"/>
      <c r="C801" s="61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152"/>
    </row>
    <row r="802" spans="1:16" s="28" customFormat="1" x14ac:dyDescent="0.25">
      <c r="A802" s="56"/>
      <c r="B802" s="61"/>
      <c r="C802" s="61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152"/>
    </row>
    <row r="803" spans="1:16" s="28" customFormat="1" x14ac:dyDescent="0.25">
      <c r="A803" s="56"/>
      <c r="B803" s="61"/>
      <c r="C803" s="61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152"/>
    </row>
    <row r="804" spans="1:16" s="28" customFormat="1" x14ac:dyDescent="0.25">
      <c r="A804" s="56"/>
      <c r="B804" s="61"/>
      <c r="C804" s="61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152"/>
    </row>
    <row r="805" spans="1:16" s="28" customFormat="1" x14ac:dyDescent="0.25">
      <c r="A805" s="56"/>
      <c r="B805" s="61"/>
      <c r="C805" s="61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152"/>
    </row>
    <row r="806" spans="1:16" s="28" customFormat="1" x14ac:dyDescent="0.25">
      <c r="A806" s="56"/>
      <c r="B806" s="61"/>
      <c r="C806" s="61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152"/>
    </row>
    <row r="807" spans="1:16" s="28" customFormat="1" x14ac:dyDescent="0.25">
      <c r="A807" s="56"/>
      <c r="B807" s="61"/>
      <c r="C807" s="61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152"/>
    </row>
    <row r="808" spans="1:16" s="28" customFormat="1" x14ac:dyDescent="0.25">
      <c r="A808" s="56"/>
      <c r="B808" s="61"/>
      <c r="C808" s="61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152"/>
    </row>
    <row r="809" spans="1:16" s="28" customFormat="1" x14ac:dyDescent="0.25">
      <c r="A809" s="56"/>
      <c r="B809" s="61"/>
      <c r="C809" s="61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152"/>
    </row>
    <row r="810" spans="1:16" s="28" customFormat="1" x14ac:dyDescent="0.25">
      <c r="A810" s="56"/>
      <c r="B810" s="61"/>
      <c r="C810" s="61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152"/>
    </row>
    <row r="811" spans="1:16" s="28" customFormat="1" x14ac:dyDescent="0.25">
      <c r="A811" s="56"/>
      <c r="B811" s="61"/>
      <c r="C811" s="61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152"/>
    </row>
    <row r="812" spans="1:16" s="28" customFormat="1" x14ac:dyDescent="0.25">
      <c r="A812" s="56"/>
      <c r="B812" s="61"/>
      <c r="C812" s="61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152"/>
    </row>
    <row r="813" spans="1:16" s="28" customFormat="1" x14ac:dyDescent="0.25">
      <c r="A813" s="56"/>
      <c r="B813" s="61"/>
      <c r="C813" s="61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152"/>
    </row>
    <row r="814" spans="1:16" s="28" customFormat="1" x14ac:dyDescent="0.25">
      <c r="A814" s="56"/>
      <c r="B814" s="61"/>
      <c r="C814" s="61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152"/>
    </row>
    <row r="815" spans="1:16" s="28" customFormat="1" x14ac:dyDescent="0.25">
      <c r="A815" s="56"/>
      <c r="B815" s="61"/>
      <c r="C815" s="61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152"/>
    </row>
    <row r="816" spans="1:16" s="28" customFormat="1" x14ac:dyDescent="0.25">
      <c r="A816" s="56"/>
      <c r="B816" s="61"/>
      <c r="C816" s="61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152"/>
    </row>
    <row r="817" spans="1:16" s="28" customFormat="1" x14ac:dyDescent="0.25">
      <c r="A817" s="56"/>
      <c r="B817" s="61"/>
      <c r="C817" s="61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152"/>
    </row>
    <row r="818" spans="1:16" s="28" customFormat="1" x14ac:dyDescent="0.25">
      <c r="A818" s="56"/>
      <c r="B818" s="61"/>
      <c r="C818" s="61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152"/>
    </row>
    <row r="819" spans="1:16" s="28" customFormat="1" x14ac:dyDescent="0.25">
      <c r="A819" s="56"/>
      <c r="B819" s="61"/>
      <c r="C819" s="61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152"/>
    </row>
    <row r="820" spans="1:16" s="28" customFormat="1" x14ac:dyDescent="0.25">
      <c r="A820" s="56"/>
      <c r="B820" s="61"/>
      <c r="C820" s="61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152"/>
    </row>
    <row r="821" spans="1:16" s="28" customFormat="1" x14ac:dyDescent="0.25">
      <c r="A821" s="56"/>
      <c r="B821" s="61"/>
      <c r="C821" s="61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152"/>
    </row>
    <row r="822" spans="1:16" s="28" customFormat="1" x14ac:dyDescent="0.25">
      <c r="A822" s="56"/>
      <c r="B822" s="61"/>
      <c r="C822" s="61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152"/>
    </row>
    <row r="823" spans="1:16" s="28" customFormat="1" x14ac:dyDescent="0.25">
      <c r="A823" s="56"/>
      <c r="B823" s="61"/>
      <c r="C823" s="61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152"/>
    </row>
    <row r="824" spans="1:16" s="28" customFormat="1" x14ac:dyDescent="0.25">
      <c r="A824" s="56"/>
      <c r="B824" s="61"/>
      <c r="C824" s="61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152"/>
    </row>
    <row r="825" spans="1:16" s="28" customFormat="1" x14ac:dyDescent="0.25">
      <c r="A825" s="56"/>
      <c r="B825" s="61"/>
      <c r="C825" s="61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152"/>
    </row>
    <row r="826" spans="1:16" s="28" customFormat="1" x14ac:dyDescent="0.25">
      <c r="A826" s="56"/>
      <c r="B826" s="61"/>
      <c r="C826" s="61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152"/>
    </row>
    <row r="827" spans="1:16" s="28" customFormat="1" x14ac:dyDescent="0.25">
      <c r="A827" s="56"/>
      <c r="B827" s="61"/>
      <c r="C827" s="61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152"/>
    </row>
    <row r="828" spans="1:16" s="28" customFormat="1" x14ac:dyDescent="0.25">
      <c r="A828" s="56"/>
      <c r="B828" s="61"/>
      <c r="C828" s="61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152"/>
    </row>
    <row r="829" spans="1:16" s="28" customFormat="1" x14ac:dyDescent="0.25">
      <c r="A829" s="56"/>
      <c r="B829" s="61"/>
      <c r="C829" s="61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152"/>
    </row>
    <row r="830" spans="1:16" s="28" customFormat="1" x14ac:dyDescent="0.25">
      <c r="A830" s="56"/>
      <c r="B830" s="61"/>
      <c r="C830" s="61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152"/>
    </row>
    <row r="831" spans="1:16" s="28" customFormat="1" x14ac:dyDescent="0.25">
      <c r="A831" s="56"/>
      <c r="B831" s="61"/>
      <c r="C831" s="61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152"/>
    </row>
    <row r="832" spans="1:16" s="28" customFormat="1" x14ac:dyDescent="0.25">
      <c r="A832" s="56"/>
      <c r="B832" s="61"/>
      <c r="C832" s="61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152"/>
    </row>
    <row r="833" spans="1:16" s="28" customFormat="1" x14ac:dyDescent="0.25">
      <c r="A833" s="56"/>
      <c r="B833" s="61"/>
      <c r="C833" s="61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152"/>
    </row>
    <row r="834" spans="1:16" s="28" customFormat="1" x14ac:dyDescent="0.25">
      <c r="A834" s="56"/>
      <c r="B834" s="61"/>
      <c r="C834" s="61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152"/>
    </row>
    <row r="835" spans="1:16" s="28" customFormat="1" x14ac:dyDescent="0.25">
      <c r="A835" s="56"/>
      <c r="B835" s="61"/>
      <c r="C835" s="61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152"/>
    </row>
    <row r="836" spans="1:16" s="28" customFormat="1" x14ac:dyDescent="0.25">
      <c r="A836" s="56"/>
      <c r="B836" s="61"/>
      <c r="C836" s="61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152"/>
    </row>
    <row r="837" spans="1:16" s="28" customFormat="1" x14ac:dyDescent="0.25">
      <c r="A837" s="56"/>
      <c r="B837" s="61"/>
      <c r="C837" s="61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152"/>
    </row>
    <row r="838" spans="1:16" s="28" customFormat="1" x14ac:dyDescent="0.25">
      <c r="A838" s="56"/>
      <c r="B838" s="61"/>
      <c r="C838" s="61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152"/>
    </row>
    <row r="839" spans="1:16" s="28" customFormat="1" x14ac:dyDescent="0.25">
      <c r="A839" s="56"/>
      <c r="B839" s="61"/>
      <c r="C839" s="61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152"/>
    </row>
    <row r="840" spans="1:16" s="28" customFormat="1" x14ac:dyDescent="0.25">
      <c r="A840" s="56"/>
      <c r="B840" s="61"/>
      <c r="C840" s="61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152"/>
    </row>
    <row r="841" spans="1:16" s="28" customFormat="1" x14ac:dyDescent="0.25">
      <c r="A841" s="56"/>
      <c r="B841" s="61"/>
      <c r="C841" s="61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152"/>
    </row>
    <row r="842" spans="1:16" s="28" customFormat="1" x14ac:dyDescent="0.25">
      <c r="A842" s="56"/>
      <c r="B842" s="61"/>
      <c r="C842" s="61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152"/>
    </row>
    <row r="843" spans="1:16" s="28" customFormat="1" x14ac:dyDescent="0.25">
      <c r="A843" s="56"/>
      <c r="B843" s="61"/>
      <c r="C843" s="61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152"/>
    </row>
    <row r="844" spans="1:16" s="28" customFormat="1" x14ac:dyDescent="0.25">
      <c r="A844" s="56"/>
      <c r="B844" s="61"/>
      <c r="C844" s="61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152"/>
    </row>
    <row r="845" spans="1:16" s="28" customFormat="1" x14ac:dyDescent="0.25">
      <c r="A845" s="56"/>
      <c r="B845" s="61"/>
      <c r="C845" s="61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152"/>
    </row>
    <row r="846" spans="1:16" s="28" customFormat="1" x14ac:dyDescent="0.25">
      <c r="A846" s="56"/>
      <c r="B846" s="61"/>
      <c r="C846" s="61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152"/>
    </row>
    <row r="847" spans="1:16" s="28" customFormat="1" x14ac:dyDescent="0.25">
      <c r="A847" s="56"/>
      <c r="B847" s="61"/>
      <c r="C847" s="61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152"/>
    </row>
    <row r="848" spans="1:16" s="28" customFormat="1" x14ac:dyDescent="0.25">
      <c r="A848" s="56"/>
      <c r="B848" s="61"/>
      <c r="C848" s="61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152"/>
    </row>
    <row r="849" spans="1:16" s="28" customFormat="1" x14ac:dyDescent="0.25">
      <c r="A849" s="56"/>
      <c r="B849" s="61"/>
      <c r="C849" s="61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152"/>
    </row>
    <row r="850" spans="1:16" s="28" customFormat="1" x14ac:dyDescent="0.25">
      <c r="A850" s="56"/>
      <c r="B850" s="61"/>
      <c r="C850" s="61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152"/>
    </row>
    <row r="851" spans="1:16" s="28" customFormat="1" x14ac:dyDescent="0.25">
      <c r="A851" s="56"/>
      <c r="B851" s="61"/>
      <c r="C851" s="61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152"/>
    </row>
    <row r="852" spans="1:16" s="28" customFormat="1" x14ac:dyDescent="0.25">
      <c r="A852" s="56"/>
      <c r="B852" s="61"/>
      <c r="C852" s="61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152"/>
    </row>
    <row r="853" spans="1:16" s="28" customFormat="1" x14ac:dyDescent="0.25">
      <c r="A853" s="56"/>
      <c r="B853" s="61"/>
      <c r="C853" s="61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152"/>
    </row>
    <row r="854" spans="1:16" s="28" customFormat="1" x14ac:dyDescent="0.25">
      <c r="A854" s="56"/>
      <c r="B854" s="61"/>
      <c r="C854" s="61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152"/>
    </row>
    <row r="855" spans="1:16" s="28" customFormat="1" x14ac:dyDescent="0.25">
      <c r="A855" s="56"/>
      <c r="B855" s="61"/>
      <c r="C855" s="61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152"/>
    </row>
    <row r="856" spans="1:16" s="28" customFormat="1" x14ac:dyDescent="0.25">
      <c r="A856" s="56"/>
      <c r="B856" s="61"/>
      <c r="C856" s="61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152"/>
    </row>
    <row r="857" spans="1:16" s="28" customFormat="1" x14ac:dyDescent="0.25">
      <c r="A857" s="56"/>
      <c r="B857" s="61"/>
      <c r="C857" s="61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152"/>
    </row>
    <row r="858" spans="1:16" s="28" customFormat="1" x14ac:dyDescent="0.25">
      <c r="A858" s="56"/>
      <c r="B858" s="61"/>
      <c r="C858" s="61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152"/>
    </row>
    <row r="859" spans="1:16" s="28" customFormat="1" x14ac:dyDescent="0.25">
      <c r="A859" s="56"/>
      <c r="B859" s="61"/>
      <c r="C859" s="61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152"/>
    </row>
    <row r="860" spans="1:16" s="28" customFormat="1" x14ac:dyDescent="0.25">
      <c r="A860" s="56"/>
      <c r="B860" s="61"/>
      <c r="C860" s="61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152"/>
    </row>
    <row r="861" spans="1:16" s="28" customFormat="1" x14ac:dyDescent="0.25">
      <c r="A861" s="56"/>
      <c r="B861" s="61"/>
      <c r="C861" s="61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152"/>
    </row>
    <row r="862" spans="1:16" s="28" customFormat="1" x14ac:dyDescent="0.25">
      <c r="A862" s="56"/>
      <c r="B862" s="61"/>
      <c r="C862" s="61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152"/>
    </row>
    <row r="863" spans="1:16" s="28" customFormat="1" x14ac:dyDescent="0.25">
      <c r="A863" s="56"/>
      <c r="B863" s="61"/>
      <c r="C863" s="61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152"/>
    </row>
    <row r="864" spans="1:16" s="28" customFormat="1" x14ac:dyDescent="0.25">
      <c r="A864" s="56"/>
      <c r="B864" s="61"/>
      <c r="C864" s="61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152"/>
    </row>
    <row r="865" spans="1:16" s="28" customFormat="1" x14ac:dyDescent="0.25">
      <c r="A865" s="56"/>
      <c r="B865" s="61"/>
      <c r="C865" s="61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152"/>
    </row>
    <row r="866" spans="1:16" s="28" customFormat="1" x14ac:dyDescent="0.25">
      <c r="A866" s="56"/>
      <c r="B866" s="61"/>
      <c r="C866" s="61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152"/>
    </row>
    <row r="867" spans="1:16" s="28" customFormat="1" x14ac:dyDescent="0.25">
      <c r="A867" s="56"/>
      <c r="B867" s="61"/>
      <c r="C867" s="61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152"/>
    </row>
    <row r="868" spans="1:16" s="28" customFormat="1" x14ac:dyDescent="0.25">
      <c r="A868" s="56"/>
      <c r="B868" s="61"/>
      <c r="C868" s="61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152"/>
    </row>
    <row r="869" spans="1:16" s="28" customFormat="1" x14ac:dyDescent="0.25">
      <c r="A869" s="56"/>
      <c r="B869" s="61"/>
      <c r="C869" s="61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152"/>
    </row>
    <row r="870" spans="1:16" s="28" customFormat="1" x14ac:dyDescent="0.25">
      <c r="A870" s="56"/>
      <c r="B870" s="61"/>
      <c r="C870" s="61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152"/>
    </row>
    <row r="871" spans="1:16" s="28" customFormat="1" x14ac:dyDescent="0.25">
      <c r="A871" s="56"/>
      <c r="B871" s="61"/>
      <c r="C871" s="61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152"/>
    </row>
    <row r="872" spans="1:16" s="28" customFormat="1" x14ac:dyDescent="0.25">
      <c r="A872" s="56"/>
      <c r="B872" s="61"/>
      <c r="C872" s="61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152"/>
    </row>
    <row r="873" spans="1:16" s="28" customFormat="1" x14ac:dyDescent="0.25">
      <c r="A873" s="56"/>
      <c r="B873" s="61"/>
      <c r="C873" s="61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152"/>
    </row>
    <row r="874" spans="1:16" s="28" customFormat="1" x14ac:dyDescent="0.25">
      <c r="A874" s="56"/>
      <c r="B874" s="61"/>
      <c r="C874" s="61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152"/>
    </row>
    <row r="875" spans="1:16" s="28" customFormat="1" x14ac:dyDescent="0.25">
      <c r="A875" s="56"/>
      <c r="B875" s="61"/>
      <c r="C875" s="61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152"/>
    </row>
    <row r="876" spans="1:16" s="28" customFormat="1" x14ac:dyDescent="0.25">
      <c r="A876" s="56"/>
      <c r="B876" s="61"/>
      <c r="C876" s="61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152"/>
    </row>
    <row r="877" spans="1:16" s="28" customFormat="1" x14ac:dyDescent="0.25">
      <c r="A877" s="56"/>
      <c r="B877" s="61"/>
      <c r="C877" s="61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152"/>
    </row>
    <row r="878" spans="1:16" s="28" customFormat="1" x14ac:dyDescent="0.25">
      <c r="A878" s="56"/>
      <c r="B878" s="61"/>
      <c r="C878" s="61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152"/>
    </row>
    <row r="879" spans="1:16" s="28" customFormat="1" x14ac:dyDescent="0.25">
      <c r="A879" s="56"/>
      <c r="B879" s="61"/>
      <c r="C879" s="61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152"/>
    </row>
    <row r="880" spans="1:16" s="28" customFormat="1" x14ac:dyDescent="0.25">
      <c r="A880" s="56"/>
      <c r="B880" s="61"/>
      <c r="C880" s="61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152"/>
    </row>
    <row r="881" spans="1:16" s="28" customFormat="1" x14ac:dyDescent="0.25">
      <c r="A881" s="56"/>
      <c r="B881" s="61"/>
      <c r="C881" s="61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152"/>
    </row>
    <row r="882" spans="1:16" s="28" customFormat="1" x14ac:dyDescent="0.25">
      <c r="A882" s="56"/>
      <c r="B882" s="61"/>
      <c r="C882" s="61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152"/>
    </row>
    <row r="883" spans="1:16" s="28" customFormat="1" x14ac:dyDescent="0.25">
      <c r="A883" s="56"/>
      <c r="B883" s="61"/>
      <c r="C883" s="61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152"/>
    </row>
    <row r="884" spans="1:16" s="28" customFormat="1" x14ac:dyDescent="0.25">
      <c r="A884" s="56"/>
      <c r="B884" s="61"/>
      <c r="C884" s="61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152"/>
    </row>
    <row r="885" spans="1:16" s="28" customFormat="1" x14ac:dyDescent="0.25">
      <c r="A885" s="56"/>
      <c r="B885" s="61"/>
      <c r="C885" s="61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152"/>
    </row>
    <row r="886" spans="1:16" s="28" customFormat="1" x14ac:dyDescent="0.25">
      <c r="A886" s="56"/>
      <c r="B886" s="61"/>
      <c r="C886" s="61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152"/>
    </row>
    <row r="887" spans="1:16" s="28" customFormat="1" x14ac:dyDescent="0.25">
      <c r="A887" s="56"/>
      <c r="B887" s="61"/>
      <c r="C887" s="61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152"/>
    </row>
    <row r="888" spans="1:16" s="28" customFormat="1" x14ac:dyDescent="0.25">
      <c r="A888" s="56"/>
      <c r="B888" s="61"/>
      <c r="C888" s="61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152"/>
    </row>
    <row r="889" spans="1:16" s="28" customFormat="1" x14ac:dyDescent="0.25">
      <c r="A889" s="56"/>
      <c r="B889" s="61"/>
      <c r="C889" s="61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152"/>
    </row>
    <row r="890" spans="1:16" s="28" customFormat="1" x14ac:dyDescent="0.25">
      <c r="A890" s="56"/>
      <c r="B890" s="61"/>
      <c r="C890" s="61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152"/>
    </row>
    <row r="891" spans="1:16" s="28" customFormat="1" x14ac:dyDescent="0.25">
      <c r="A891" s="56"/>
      <c r="B891" s="61"/>
      <c r="C891" s="61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152"/>
    </row>
    <row r="892" spans="1:16" s="28" customFormat="1" x14ac:dyDescent="0.25">
      <c r="A892" s="56"/>
      <c r="B892" s="61"/>
      <c r="C892" s="61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152"/>
    </row>
    <row r="893" spans="1:16" s="28" customFormat="1" x14ac:dyDescent="0.25">
      <c r="A893" s="56"/>
      <c r="B893" s="61"/>
      <c r="C893" s="61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152"/>
    </row>
    <row r="894" spans="1:16" s="28" customFormat="1" x14ac:dyDescent="0.25">
      <c r="A894" s="56"/>
      <c r="B894" s="61"/>
      <c r="C894" s="61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152"/>
    </row>
    <row r="895" spans="1:16" s="28" customFormat="1" x14ac:dyDescent="0.25">
      <c r="A895" s="56"/>
      <c r="B895" s="61"/>
      <c r="C895" s="61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152"/>
    </row>
    <row r="896" spans="1:16" s="28" customFormat="1" x14ac:dyDescent="0.25">
      <c r="A896" s="56"/>
      <c r="B896" s="61"/>
      <c r="C896" s="61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152"/>
    </row>
    <row r="897" spans="1:16" s="28" customFormat="1" x14ac:dyDescent="0.25">
      <c r="A897" s="56"/>
      <c r="B897" s="61"/>
      <c r="C897" s="61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152"/>
    </row>
    <row r="898" spans="1:16" s="28" customFormat="1" x14ac:dyDescent="0.25">
      <c r="A898" s="56"/>
      <c r="B898" s="61"/>
      <c r="C898" s="61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152"/>
    </row>
    <row r="899" spans="1:16" s="28" customFormat="1" x14ac:dyDescent="0.25">
      <c r="A899" s="56"/>
      <c r="B899" s="61"/>
      <c r="C899" s="61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152"/>
    </row>
    <row r="900" spans="1:16" s="28" customFormat="1" x14ac:dyDescent="0.25">
      <c r="A900" s="56"/>
      <c r="B900" s="61"/>
      <c r="C900" s="61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152"/>
    </row>
    <row r="901" spans="1:16" s="28" customFormat="1" x14ac:dyDescent="0.25">
      <c r="A901" s="56"/>
      <c r="B901" s="61"/>
      <c r="C901" s="61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152"/>
    </row>
    <row r="902" spans="1:16" s="28" customFormat="1" x14ac:dyDescent="0.25">
      <c r="A902" s="56"/>
      <c r="B902" s="61"/>
      <c r="C902" s="61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152"/>
    </row>
    <row r="903" spans="1:16" s="28" customFormat="1" x14ac:dyDescent="0.25">
      <c r="A903" s="56"/>
      <c r="B903" s="61"/>
      <c r="C903" s="61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152"/>
    </row>
    <row r="904" spans="1:16" s="28" customFormat="1" x14ac:dyDescent="0.25">
      <c r="A904" s="56"/>
      <c r="B904" s="61"/>
      <c r="C904" s="61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152"/>
    </row>
    <row r="905" spans="1:16" s="28" customFormat="1" x14ac:dyDescent="0.25">
      <c r="A905" s="56"/>
      <c r="B905" s="61"/>
      <c r="C905" s="61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152"/>
    </row>
    <row r="906" spans="1:16" s="28" customFormat="1" x14ac:dyDescent="0.25">
      <c r="A906" s="56"/>
      <c r="B906" s="61"/>
      <c r="C906" s="61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152"/>
    </row>
    <row r="907" spans="1:16" s="28" customFormat="1" x14ac:dyDescent="0.25">
      <c r="A907" s="56"/>
      <c r="B907" s="61"/>
      <c r="C907" s="61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152"/>
    </row>
    <row r="908" spans="1:16" s="28" customFormat="1" x14ac:dyDescent="0.25">
      <c r="A908" s="56"/>
      <c r="B908" s="61"/>
      <c r="C908" s="61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152"/>
    </row>
    <row r="909" spans="1:16" s="28" customFormat="1" x14ac:dyDescent="0.25">
      <c r="A909" s="56"/>
      <c r="B909" s="61"/>
      <c r="C909" s="61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152"/>
    </row>
    <row r="910" spans="1:16" s="28" customFormat="1" x14ac:dyDescent="0.25">
      <c r="A910" s="56"/>
      <c r="B910" s="61"/>
      <c r="C910" s="61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152"/>
    </row>
    <row r="911" spans="1:16" s="28" customFormat="1" x14ac:dyDescent="0.25">
      <c r="A911" s="56"/>
      <c r="B911" s="61"/>
      <c r="C911" s="61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152"/>
    </row>
    <row r="912" spans="1:16" s="28" customFormat="1" x14ac:dyDescent="0.25">
      <c r="A912" s="56"/>
      <c r="B912" s="61"/>
      <c r="C912" s="61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152"/>
    </row>
    <row r="913" spans="1:16" s="28" customFormat="1" x14ac:dyDescent="0.25">
      <c r="A913" s="56"/>
      <c r="B913" s="61"/>
      <c r="C913" s="61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152"/>
    </row>
    <row r="914" spans="1:16" s="28" customFormat="1" x14ac:dyDescent="0.25">
      <c r="A914" s="56"/>
      <c r="B914" s="61"/>
      <c r="C914" s="61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152"/>
    </row>
    <row r="915" spans="1:16" s="28" customFormat="1" x14ac:dyDescent="0.25">
      <c r="A915" s="56"/>
      <c r="B915" s="61"/>
      <c r="C915" s="61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152"/>
    </row>
    <row r="916" spans="1:16" s="28" customFormat="1" x14ac:dyDescent="0.25">
      <c r="A916" s="56"/>
      <c r="B916" s="61"/>
      <c r="C916" s="61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152"/>
    </row>
    <row r="917" spans="1:16" s="28" customFormat="1" x14ac:dyDescent="0.25">
      <c r="A917" s="56"/>
      <c r="B917" s="61"/>
      <c r="C917" s="61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152"/>
    </row>
    <row r="918" spans="1:16" s="28" customFormat="1" x14ac:dyDescent="0.25">
      <c r="A918" s="56"/>
      <c r="B918" s="61"/>
      <c r="C918" s="61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152"/>
    </row>
    <row r="919" spans="1:16" s="28" customFormat="1" x14ac:dyDescent="0.25">
      <c r="A919" s="56"/>
      <c r="B919" s="61"/>
      <c r="C919" s="61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152"/>
    </row>
    <row r="920" spans="1:16" s="28" customFormat="1" x14ac:dyDescent="0.25">
      <c r="A920" s="56"/>
      <c r="B920" s="61"/>
      <c r="C920" s="61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152"/>
    </row>
    <row r="921" spans="1:16" s="28" customFormat="1" x14ac:dyDescent="0.25">
      <c r="A921" s="56"/>
      <c r="B921" s="61"/>
      <c r="C921" s="61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152"/>
    </row>
    <row r="922" spans="1:16" s="28" customFormat="1" x14ac:dyDescent="0.25">
      <c r="A922" s="56"/>
      <c r="B922" s="61"/>
      <c r="C922" s="61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152"/>
    </row>
    <row r="923" spans="1:16" s="28" customFormat="1" x14ac:dyDescent="0.25">
      <c r="A923" s="56"/>
      <c r="B923" s="61"/>
      <c r="C923" s="61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152"/>
    </row>
    <row r="924" spans="1:16" s="28" customFormat="1" x14ac:dyDescent="0.25">
      <c r="A924" s="56"/>
      <c r="B924" s="61"/>
      <c r="C924" s="61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152"/>
    </row>
    <row r="925" spans="1:16" s="28" customFormat="1" x14ac:dyDescent="0.25">
      <c r="A925" s="56"/>
      <c r="B925" s="61"/>
      <c r="C925" s="61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152"/>
    </row>
    <row r="926" spans="1:16" s="28" customFormat="1" x14ac:dyDescent="0.25">
      <c r="A926" s="56"/>
      <c r="B926" s="61"/>
      <c r="C926" s="61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152"/>
    </row>
    <row r="927" spans="1:16" s="28" customFormat="1" x14ac:dyDescent="0.25">
      <c r="A927" s="56"/>
      <c r="B927" s="61"/>
      <c r="C927" s="61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152"/>
    </row>
    <row r="928" spans="1:16" s="28" customFormat="1" x14ac:dyDescent="0.25">
      <c r="A928" s="56"/>
      <c r="B928" s="61"/>
      <c r="C928" s="61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152"/>
    </row>
    <row r="929" spans="1:16" s="28" customFormat="1" x14ac:dyDescent="0.25">
      <c r="A929" s="56"/>
      <c r="B929" s="61"/>
      <c r="C929" s="61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152"/>
    </row>
    <row r="930" spans="1:16" s="28" customFormat="1" x14ac:dyDescent="0.25">
      <c r="A930" s="56"/>
      <c r="B930" s="61"/>
      <c r="C930" s="61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152"/>
    </row>
    <row r="931" spans="1:16" s="28" customFormat="1" x14ac:dyDescent="0.25">
      <c r="A931" s="56"/>
      <c r="B931" s="61"/>
      <c r="C931" s="61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152"/>
    </row>
    <row r="932" spans="1:16" s="28" customFormat="1" x14ac:dyDescent="0.25">
      <c r="A932" s="56"/>
      <c r="B932" s="61"/>
      <c r="C932" s="61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152"/>
    </row>
    <row r="933" spans="1:16" s="28" customFormat="1" x14ac:dyDescent="0.25">
      <c r="A933" s="56"/>
      <c r="B933" s="61"/>
      <c r="C933" s="61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152"/>
    </row>
    <row r="934" spans="1:16" s="28" customFormat="1" x14ac:dyDescent="0.25">
      <c r="A934" s="56"/>
      <c r="B934" s="61"/>
      <c r="C934" s="61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152"/>
    </row>
    <row r="935" spans="1:16" s="28" customFormat="1" x14ac:dyDescent="0.25">
      <c r="A935" s="56"/>
      <c r="B935" s="61"/>
      <c r="C935" s="61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152"/>
    </row>
    <row r="936" spans="1:16" s="28" customFormat="1" x14ac:dyDescent="0.25">
      <c r="A936" s="56"/>
      <c r="B936" s="61"/>
      <c r="C936" s="61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152"/>
    </row>
    <row r="937" spans="1:16" s="28" customFormat="1" x14ac:dyDescent="0.25">
      <c r="A937" s="56"/>
      <c r="B937" s="61"/>
      <c r="C937" s="61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152"/>
    </row>
    <row r="938" spans="1:16" s="28" customFormat="1" x14ac:dyDescent="0.25">
      <c r="A938" s="56"/>
      <c r="B938" s="61"/>
      <c r="C938" s="61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152"/>
    </row>
    <row r="939" spans="1:16" s="28" customFormat="1" x14ac:dyDescent="0.25">
      <c r="A939" s="56"/>
      <c r="B939" s="61"/>
      <c r="C939" s="61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152"/>
    </row>
    <row r="940" spans="1:16" s="28" customFormat="1" x14ac:dyDescent="0.25">
      <c r="A940" s="56"/>
      <c r="B940" s="61"/>
      <c r="C940" s="61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152"/>
    </row>
    <row r="941" spans="1:16" s="28" customFormat="1" x14ac:dyDescent="0.25">
      <c r="A941" s="56"/>
      <c r="B941" s="61"/>
      <c r="C941" s="61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152"/>
    </row>
    <row r="942" spans="1:16" s="28" customFormat="1" x14ac:dyDescent="0.25">
      <c r="A942" s="56"/>
      <c r="B942" s="61"/>
      <c r="C942" s="61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152"/>
    </row>
    <row r="943" spans="1:16" s="28" customFormat="1" x14ac:dyDescent="0.25">
      <c r="A943" s="56"/>
      <c r="B943" s="61"/>
      <c r="C943" s="61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152"/>
    </row>
    <row r="944" spans="1:16" s="28" customFormat="1" x14ac:dyDescent="0.25">
      <c r="A944" s="56"/>
      <c r="B944" s="61"/>
      <c r="C944" s="61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152"/>
    </row>
    <row r="945" spans="1:16" s="28" customFormat="1" x14ac:dyDescent="0.25">
      <c r="A945" s="56"/>
      <c r="B945" s="61"/>
      <c r="C945" s="61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152"/>
    </row>
    <row r="946" spans="1:16" s="28" customFormat="1" x14ac:dyDescent="0.25">
      <c r="A946" s="56"/>
      <c r="B946" s="61"/>
      <c r="C946" s="61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152"/>
    </row>
    <row r="947" spans="1:16" s="28" customFormat="1" x14ac:dyDescent="0.25">
      <c r="A947" s="56"/>
      <c r="B947" s="61"/>
      <c r="C947" s="61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152"/>
    </row>
    <row r="948" spans="1:16" s="28" customFormat="1" x14ac:dyDescent="0.25">
      <c r="A948" s="56"/>
      <c r="B948" s="61"/>
      <c r="C948" s="61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152"/>
    </row>
    <row r="949" spans="1:16" s="28" customFormat="1" x14ac:dyDescent="0.25">
      <c r="A949" s="56"/>
      <c r="B949" s="61"/>
      <c r="C949" s="61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152"/>
    </row>
    <row r="950" spans="1:16" s="28" customFormat="1" x14ac:dyDescent="0.25">
      <c r="A950" s="56"/>
      <c r="B950" s="61"/>
      <c r="C950" s="61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152"/>
    </row>
    <row r="951" spans="1:16" s="28" customFormat="1" x14ac:dyDescent="0.25">
      <c r="A951" s="56"/>
      <c r="B951" s="61"/>
      <c r="C951" s="61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152"/>
    </row>
    <row r="952" spans="1:16" s="28" customFormat="1" x14ac:dyDescent="0.25">
      <c r="A952" s="56"/>
      <c r="B952" s="61"/>
      <c r="C952" s="61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152"/>
    </row>
    <row r="953" spans="1:16" s="28" customFormat="1" x14ac:dyDescent="0.25">
      <c r="A953" s="56"/>
      <c r="B953" s="61"/>
      <c r="C953" s="61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152"/>
    </row>
    <row r="954" spans="1:16" s="28" customFormat="1" x14ac:dyDescent="0.25">
      <c r="A954" s="56"/>
      <c r="B954" s="61"/>
      <c r="C954" s="61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152"/>
    </row>
    <row r="955" spans="1:16" s="28" customFormat="1" x14ac:dyDescent="0.25">
      <c r="A955" s="56"/>
      <c r="B955" s="61"/>
      <c r="C955" s="61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152"/>
    </row>
    <row r="956" spans="1:16" s="28" customFormat="1" x14ac:dyDescent="0.25">
      <c r="A956" s="56"/>
      <c r="B956" s="61"/>
      <c r="C956" s="61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152"/>
    </row>
    <row r="957" spans="1:16" s="28" customFormat="1" x14ac:dyDescent="0.25">
      <c r="A957" s="56"/>
      <c r="B957" s="61"/>
      <c r="C957" s="61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152"/>
    </row>
    <row r="958" spans="1:16" s="28" customFormat="1" x14ac:dyDescent="0.25">
      <c r="A958" s="56"/>
      <c r="B958" s="61"/>
      <c r="C958" s="61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152"/>
    </row>
    <row r="959" spans="1:16" s="28" customFormat="1" x14ac:dyDescent="0.25">
      <c r="A959" s="56"/>
      <c r="B959" s="61"/>
      <c r="C959" s="61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152"/>
    </row>
    <row r="960" spans="1:16" s="28" customFormat="1" x14ac:dyDescent="0.25">
      <c r="A960" s="56"/>
      <c r="B960" s="61"/>
      <c r="C960" s="61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152"/>
    </row>
    <row r="961" spans="1:16" s="28" customFormat="1" x14ac:dyDescent="0.25">
      <c r="A961" s="56"/>
      <c r="B961" s="61"/>
      <c r="C961" s="61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152"/>
    </row>
    <row r="962" spans="1:16" s="28" customFormat="1" x14ac:dyDescent="0.25">
      <c r="A962" s="56"/>
      <c r="B962" s="61"/>
      <c r="C962" s="61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152"/>
    </row>
    <row r="963" spans="1:16" s="28" customFormat="1" x14ac:dyDescent="0.25">
      <c r="A963" s="56"/>
      <c r="B963" s="61"/>
      <c r="C963" s="61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152"/>
    </row>
    <row r="964" spans="1:16" s="28" customFormat="1" x14ac:dyDescent="0.25">
      <c r="A964" s="56"/>
      <c r="B964" s="61"/>
      <c r="C964" s="61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152"/>
    </row>
    <row r="965" spans="1:16" s="28" customFormat="1" x14ac:dyDescent="0.25">
      <c r="A965" s="56"/>
      <c r="B965" s="61"/>
      <c r="C965" s="61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152"/>
    </row>
    <row r="966" spans="1:16" s="28" customFormat="1" x14ac:dyDescent="0.25">
      <c r="A966" s="56"/>
      <c r="B966" s="61"/>
      <c r="C966" s="61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152"/>
    </row>
    <row r="967" spans="1:16" s="28" customFormat="1" x14ac:dyDescent="0.25">
      <c r="A967" s="56"/>
      <c r="B967" s="61"/>
      <c r="C967" s="61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152"/>
    </row>
    <row r="968" spans="1:16" s="28" customFormat="1" x14ac:dyDescent="0.25">
      <c r="A968" s="56"/>
      <c r="B968" s="61"/>
      <c r="C968" s="61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152"/>
    </row>
    <row r="969" spans="1:16" s="28" customFormat="1" x14ac:dyDescent="0.25">
      <c r="A969" s="56"/>
      <c r="B969" s="61"/>
      <c r="C969" s="61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152"/>
    </row>
    <row r="970" spans="1:16" s="28" customFormat="1" x14ac:dyDescent="0.25">
      <c r="A970" s="56"/>
      <c r="B970" s="61"/>
      <c r="C970" s="61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152"/>
    </row>
    <row r="971" spans="1:16" s="28" customFormat="1" x14ac:dyDescent="0.25">
      <c r="A971" s="56"/>
      <c r="B971" s="61"/>
      <c r="C971" s="61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152"/>
    </row>
    <row r="972" spans="1:16" s="28" customFormat="1" x14ac:dyDescent="0.25">
      <c r="A972" s="56"/>
      <c r="B972" s="61"/>
      <c r="C972" s="61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152"/>
    </row>
    <row r="973" spans="1:16" s="28" customFormat="1" x14ac:dyDescent="0.25">
      <c r="A973" s="56"/>
      <c r="B973" s="61"/>
      <c r="C973" s="61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152"/>
    </row>
    <row r="974" spans="1:16" s="28" customFormat="1" x14ac:dyDescent="0.25">
      <c r="A974" s="56"/>
      <c r="B974" s="61"/>
      <c r="C974" s="61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152"/>
    </row>
    <row r="975" spans="1:16" s="28" customFormat="1" x14ac:dyDescent="0.25">
      <c r="A975" s="56"/>
      <c r="B975" s="61"/>
      <c r="C975" s="61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152"/>
    </row>
    <row r="976" spans="1:16" s="28" customFormat="1" x14ac:dyDescent="0.25">
      <c r="A976" s="56"/>
      <c r="B976" s="61"/>
      <c r="C976" s="61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152"/>
    </row>
    <row r="977" spans="1:16" s="28" customFormat="1" x14ac:dyDescent="0.25">
      <c r="A977" s="56"/>
      <c r="B977" s="61"/>
      <c r="C977" s="61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152"/>
    </row>
    <row r="978" spans="1:16" s="28" customFormat="1" x14ac:dyDescent="0.25">
      <c r="A978" s="56"/>
      <c r="B978" s="61"/>
      <c r="C978" s="61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152"/>
    </row>
    <row r="979" spans="1:16" s="28" customFormat="1" x14ac:dyDescent="0.25">
      <c r="A979" s="56"/>
      <c r="B979" s="61"/>
      <c r="C979" s="61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152"/>
    </row>
    <row r="980" spans="1:16" s="28" customFormat="1" x14ac:dyDescent="0.25">
      <c r="A980" s="56"/>
      <c r="B980" s="61"/>
      <c r="C980" s="61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152"/>
    </row>
    <row r="981" spans="1:16" s="28" customFormat="1" x14ac:dyDescent="0.25">
      <c r="A981" s="56"/>
      <c r="B981" s="61"/>
      <c r="C981" s="61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152"/>
    </row>
    <row r="982" spans="1:16" s="28" customFormat="1" x14ac:dyDescent="0.25">
      <c r="A982" s="56"/>
      <c r="B982" s="61"/>
      <c r="C982" s="61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152"/>
    </row>
    <row r="983" spans="1:16" s="28" customFormat="1" x14ac:dyDescent="0.25">
      <c r="A983" s="56"/>
      <c r="B983" s="61"/>
      <c r="C983" s="61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152"/>
    </row>
    <row r="984" spans="1:16" s="28" customFormat="1" x14ac:dyDescent="0.25">
      <c r="A984" s="56"/>
      <c r="B984" s="61"/>
      <c r="C984" s="61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152"/>
    </row>
    <row r="985" spans="1:16" s="28" customFormat="1" x14ac:dyDescent="0.25">
      <c r="A985" s="56"/>
      <c r="B985" s="61"/>
      <c r="C985" s="61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152"/>
    </row>
    <row r="986" spans="1:16" s="28" customFormat="1" x14ac:dyDescent="0.25">
      <c r="A986" s="56"/>
      <c r="B986" s="61"/>
      <c r="C986" s="61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152"/>
    </row>
    <row r="987" spans="1:16" s="28" customFormat="1" x14ac:dyDescent="0.25">
      <c r="A987" s="56"/>
      <c r="B987" s="61"/>
      <c r="C987" s="61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152"/>
    </row>
    <row r="988" spans="1:16" s="28" customFormat="1" x14ac:dyDescent="0.25">
      <c r="A988" s="56"/>
      <c r="B988" s="61"/>
      <c r="C988" s="61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152"/>
    </row>
    <row r="989" spans="1:16" s="28" customFormat="1" x14ac:dyDescent="0.25">
      <c r="A989" s="56"/>
      <c r="B989" s="61"/>
      <c r="C989" s="61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152"/>
    </row>
    <row r="990" spans="1:16" s="28" customFormat="1" x14ac:dyDescent="0.25">
      <c r="A990" s="56"/>
      <c r="B990" s="61"/>
      <c r="C990" s="61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152"/>
    </row>
    <row r="991" spans="1:16" s="28" customFormat="1" x14ac:dyDescent="0.25">
      <c r="A991" s="56"/>
      <c r="B991" s="61"/>
      <c r="C991" s="61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152"/>
    </row>
    <row r="992" spans="1:16" s="28" customFormat="1" x14ac:dyDescent="0.25">
      <c r="A992" s="56"/>
      <c r="B992" s="61"/>
      <c r="C992" s="61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152"/>
    </row>
    <row r="993" spans="1:16" s="28" customFormat="1" x14ac:dyDescent="0.25">
      <c r="A993" s="56"/>
      <c r="B993" s="61"/>
      <c r="C993" s="61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152"/>
    </row>
    <row r="994" spans="1:16" s="28" customFormat="1" x14ac:dyDescent="0.25">
      <c r="A994" s="56"/>
      <c r="B994" s="61"/>
      <c r="C994" s="61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152"/>
    </row>
    <row r="995" spans="1:16" s="28" customFormat="1" x14ac:dyDescent="0.25">
      <c r="A995" s="56"/>
      <c r="B995" s="61"/>
      <c r="C995" s="61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152"/>
    </row>
    <row r="996" spans="1:16" s="28" customFormat="1" x14ac:dyDescent="0.25">
      <c r="A996" s="56"/>
      <c r="B996" s="61"/>
      <c r="C996" s="61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152"/>
    </row>
    <row r="997" spans="1:16" s="28" customFormat="1" x14ac:dyDescent="0.25">
      <c r="A997" s="56"/>
      <c r="B997" s="61"/>
      <c r="C997" s="61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152"/>
    </row>
    <row r="998" spans="1:16" s="28" customFormat="1" x14ac:dyDescent="0.25">
      <c r="A998" s="56"/>
      <c r="B998" s="61"/>
      <c r="C998" s="61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152"/>
    </row>
    <row r="999" spans="1:16" s="28" customFormat="1" x14ac:dyDescent="0.25">
      <c r="A999" s="56"/>
      <c r="B999" s="61"/>
      <c r="C999" s="61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152"/>
    </row>
    <row r="1000" spans="1:16" s="28" customFormat="1" x14ac:dyDescent="0.25">
      <c r="A1000" s="56"/>
      <c r="B1000" s="61"/>
      <c r="C1000" s="61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152"/>
    </row>
    <row r="1001" spans="1:16" s="28" customFormat="1" x14ac:dyDescent="0.25">
      <c r="A1001" s="56"/>
      <c r="B1001" s="61"/>
      <c r="C1001" s="61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152"/>
    </row>
    <row r="1002" spans="1:16" s="28" customFormat="1" x14ac:dyDescent="0.25">
      <c r="A1002" s="56"/>
      <c r="B1002" s="61"/>
      <c r="C1002" s="61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152"/>
    </row>
    <row r="1003" spans="1:16" s="28" customFormat="1" x14ac:dyDescent="0.25">
      <c r="A1003" s="56"/>
      <c r="B1003" s="61"/>
      <c r="C1003" s="61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152"/>
    </row>
    <row r="1004" spans="1:16" s="28" customFormat="1" x14ac:dyDescent="0.25">
      <c r="A1004" s="56"/>
      <c r="B1004" s="61"/>
      <c r="C1004" s="61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152"/>
    </row>
    <row r="1005" spans="1:16" s="28" customFormat="1" x14ac:dyDescent="0.25">
      <c r="A1005" s="56"/>
      <c r="B1005" s="61"/>
      <c r="C1005" s="61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152"/>
    </row>
    <row r="1006" spans="1:16" s="28" customFormat="1" x14ac:dyDescent="0.25">
      <c r="A1006" s="56"/>
      <c r="B1006" s="61"/>
      <c r="C1006" s="61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152"/>
    </row>
    <row r="1007" spans="1:16" s="28" customFormat="1" x14ac:dyDescent="0.25">
      <c r="A1007" s="56"/>
      <c r="B1007" s="61"/>
      <c r="C1007" s="61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152"/>
    </row>
    <row r="1008" spans="1:16" s="28" customFormat="1" x14ac:dyDescent="0.25">
      <c r="A1008" s="56"/>
      <c r="B1008" s="61"/>
      <c r="C1008" s="61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152"/>
    </row>
    <row r="1009" spans="1:16" s="28" customFormat="1" x14ac:dyDescent="0.25">
      <c r="A1009" s="56"/>
      <c r="B1009" s="61"/>
      <c r="C1009" s="61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152"/>
    </row>
    <row r="1010" spans="1:16" s="28" customFormat="1" x14ac:dyDescent="0.25">
      <c r="A1010" s="56"/>
      <c r="B1010" s="61"/>
      <c r="C1010" s="61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152"/>
    </row>
    <row r="1011" spans="1:16" s="28" customFormat="1" x14ac:dyDescent="0.25">
      <c r="A1011" s="56"/>
      <c r="B1011" s="61"/>
      <c r="C1011" s="61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152"/>
    </row>
    <row r="1012" spans="1:16" s="28" customFormat="1" x14ac:dyDescent="0.25">
      <c r="A1012" s="56"/>
      <c r="B1012" s="61"/>
      <c r="C1012" s="61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152"/>
    </row>
    <row r="1013" spans="1:16" s="28" customFormat="1" x14ac:dyDescent="0.25">
      <c r="A1013" s="56"/>
      <c r="B1013" s="61"/>
      <c r="C1013" s="61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152"/>
    </row>
    <row r="1014" spans="1:16" s="28" customFormat="1" x14ac:dyDescent="0.25">
      <c r="A1014" s="56"/>
      <c r="B1014" s="61"/>
      <c r="C1014" s="61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152"/>
    </row>
    <row r="1015" spans="1:16" s="28" customFormat="1" x14ac:dyDescent="0.25">
      <c r="A1015" s="56"/>
      <c r="B1015" s="61"/>
      <c r="C1015" s="61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152"/>
    </row>
    <row r="1016" spans="1:16" s="28" customFormat="1" x14ac:dyDescent="0.25">
      <c r="A1016" s="56"/>
      <c r="B1016" s="61"/>
      <c r="C1016" s="61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152"/>
    </row>
    <row r="1017" spans="1:16" s="28" customFormat="1" x14ac:dyDescent="0.25">
      <c r="A1017" s="56"/>
      <c r="B1017" s="61"/>
      <c r="C1017" s="61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152"/>
    </row>
    <row r="1018" spans="1:16" s="28" customFormat="1" x14ac:dyDescent="0.25">
      <c r="A1018" s="56"/>
      <c r="B1018" s="61"/>
      <c r="C1018" s="61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152"/>
    </row>
    <row r="1019" spans="1:16" s="28" customFormat="1" x14ac:dyDescent="0.25">
      <c r="A1019" s="56"/>
      <c r="B1019" s="61"/>
      <c r="C1019" s="61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152"/>
    </row>
    <row r="1020" spans="1:16" s="28" customFormat="1" x14ac:dyDescent="0.25">
      <c r="A1020" s="56"/>
      <c r="B1020" s="61"/>
      <c r="C1020" s="61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152"/>
    </row>
    <row r="1021" spans="1:16" s="28" customFormat="1" x14ac:dyDescent="0.25">
      <c r="A1021" s="56"/>
      <c r="B1021" s="61"/>
      <c r="C1021" s="61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152"/>
    </row>
    <row r="1022" spans="1:16" s="28" customFormat="1" x14ac:dyDescent="0.25">
      <c r="A1022" s="56"/>
      <c r="B1022" s="61"/>
      <c r="C1022" s="61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152"/>
    </row>
    <row r="1023" spans="1:16" s="28" customFormat="1" x14ac:dyDescent="0.25">
      <c r="A1023" s="56"/>
      <c r="B1023" s="61"/>
      <c r="C1023" s="61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152"/>
    </row>
    <row r="1024" spans="1:16" s="28" customFormat="1" x14ac:dyDescent="0.25">
      <c r="A1024" s="56"/>
      <c r="B1024" s="61"/>
      <c r="C1024" s="61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152"/>
    </row>
    <row r="1025" spans="1:16" s="28" customFormat="1" x14ac:dyDescent="0.25">
      <c r="A1025" s="56"/>
      <c r="B1025" s="61"/>
      <c r="C1025" s="61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152"/>
    </row>
    <row r="1026" spans="1:16" s="28" customFormat="1" x14ac:dyDescent="0.25">
      <c r="A1026" s="56"/>
      <c r="B1026" s="61"/>
      <c r="C1026" s="61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152"/>
    </row>
    <row r="1027" spans="1:16" s="28" customFormat="1" x14ac:dyDescent="0.25">
      <c r="A1027" s="56"/>
      <c r="B1027" s="61"/>
      <c r="C1027" s="61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152"/>
    </row>
    <row r="1028" spans="1:16" s="28" customFormat="1" x14ac:dyDescent="0.25">
      <c r="A1028" s="56"/>
      <c r="B1028" s="61"/>
      <c r="C1028" s="61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152"/>
    </row>
    <row r="1029" spans="1:16" s="28" customFormat="1" x14ac:dyDescent="0.25">
      <c r="A1029" s="56"/>
      <c r="B1029" s="61"/>
      <c r="C1029" s="61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152"/>
    </row>
    <row r="1030" spans="1:16" s="28" customFormat="1" x14ac:dyDescent="0.25">
      <c r="A1030" s="56"/>
      <c r="B1030" s="61"/>
      <c r="C1030" s="61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152"/>
    </row>
    <row r="1031" spans="1:16" s="28" customFormat="1" x14ac:dyDescent="0.25">
      <c r="A1031" s="56"/>
      <c r="B1031" s="61"/>
      <c r="C1031" s="61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152"/>
    </row>
    <row r="1032" spans="1:16" s="28" customFormat="1" x14ac:dyDescent="0.25">
      <c r="A1032" s="56"/>
      <c r="B1032" s="61"/>
      <c r="C1032" s="61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152"/>
    </row>
    <row r="1033" spans="1:16" s="28" customFormat="1" x14ac:dyDescent="0.25">
      <c r="A1033" s="56"/>
      <c r="B1033" s="61"/>
      <c r="C1033" s="61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152"/>
    </row>
    <row r="1034" spans="1:16" s="28" customFormat="1" x14ac:dyDescent="0.25">
      <c r="A1034" s="56"/>
      <c r="B1034" s="61"/>
      <c r="C1034" s="61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152"/>
    </row>
    <row r="1035" spans="1:16" s="28" customFormat="1" x14ac:dyDescent="0.25">
      <c r="A1035" s="56"/>
      <c r="B1035" s="61"/>
      <c r="C1035" s="61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152"/>
    </row>
    <row r="1036" spans="1:16" s="28" customFormat="1" x14ac:dyDescent="0.25">
      <c r="A1036" s="56"/>
      <c r="B1036" s="61"/>
      <c r="C1036" s="61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152"/>
    </row>
    <row r="1037" spans="1:16" s="28" customFormat="1" x14ac:dyDescent="0.25">
      <c r="A1037" s="56"/>
      <c r="B1037" s="61"/>
      <c r="C1037" s="61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152"/>
    </row>
    <row r="1038" spans="1:16" s="28" customFormat="1" x14ac:dyDescent="0.25">
      <c r="A1038" s="56"/>
      <c r="B1038" s="61"/>
      <c r="C1038" s="61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152"/>
    </row>
    <row r="1039" spans="1:16" s="28" customFormat="1" x14ac:dyDescent="0.25">
      <c r="A1039" s="56"/>
      <c r="B1039" s="61"/>
      <c r="C1039" s="61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152"/>
    </row>
    <row r="1040" spans="1:16" s="28" customFormat="1" x14ac:dyDescent="0.25">
      <c r="A1040" s="56"/>
      <c r="B1040" s="61"/>
      <c r="C1040" s="61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152"/>
    </row>
    <row r="1041" spans="1:16" s="28" customFormat="1" x14ac:dyDescent="0.25">
      <c r="A1041" s="56"/>
      <c r="B1041" s="61"/>
      <c r="C1041" s="61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152"/>
    </row>
    <row r="1042" spans="1:16" s="28" customFormat="1" x14ac:dyDescent="0.25">
      <c r="A1042" s="56"/>
      <c r="B1042" s="61"/>
      <c r="C1042" s="61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152"/>
    </row>
    <row r="1043" spans="1:16" s="28" customFormat="1" x14ac:dyDescent="0.25">
      <c r="A1043" s="56"/>
      <c r="B1043" s="61"/>
      <c r="C1043" s="61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152"/>
    </row>
    <row r="1044" spans="1:16" s="28" customFormat="1" x14ac:dyDescent="0.25">
      <c r="A1044" s="56"/>
      <c r="B1044" s="61"/>
      <c r="C1044" s="61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152"/>
    </row>
    <row r="1045" spans="1:16" s="28" customFormat="1" x14ac:dyDescent="0.25">
      <c r="A1045" s="56"/>
      <c r="B1045" s="61"/>
      <c r="C1045" s="61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152"/>
    </row>
    <row r="1046" spans="1:16" s="28" customFormat="1" x14ac:dyDescent="0.25">
      <c r="A1046" s="56"/>
      <c r="B1046" s="61"/>
      <c r="C1046" s="61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152"/>
    </row>
    <row r="1047" spans="1:16" s="28" customFormat="1" x14ac:dyDescent="0.25">
      <c r="A1047" s="56"/>
      <c r="B1047" s="61"/>
      <c r="C1047" s="61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152"/>
    </row>
    <row r="1048" spans="1:16" s="28" customFormat="1" x14ac:dyDescent="0.25">
      <c r="A1048" s="56"/>
      <c r="B1048" s="61"/>
      <c r="C1048" s="61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152"/>
    </row>
    <row r="1049" spans="1:16" s="28" customFormat="1" x14ac:dyDescent="0.25">
      <c r="A1049" s="56"/>
      <c r="B1049" s="61"/>
      <c r="C1049" s="61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152"/>
    </row>
    <row r="1050" spans="1:16" s="28" customFormat="1" x14ac:dyDescent="0.25">
      <c r="A1050" s="56"/>
      <c r="B1050" s="61"/>
      <c r="C1050" s="61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152"/>
    </row>
    <row r="1051" spans="1:16" s="28" customFormat="1" x14ac:dyDescent="0.25">
      <c r="A1051" s="56"/>
      <c r="B1051" s="61"/>
      <c r="C1051" s="61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152"/>
    </row>
    <row r="1052" spans="1:16" s="28" customFormat="1" x14ac:dyDescent="0.25">
      <c r="A1052" s="56"/>
      <c r="B1052" s="61"/>
      <c r="C1052" s="61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152"/>
    </row>
    <row r="1053" spans="1:16" s="28" customFormat="1" x14ac:dyDescent="0.25">
      <c r="A1053" s="56"/>
      <c r="B1053" s="61"/>
      <c r="C1053" s="61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152"/>
    </row>
    <row r="1054" spans="1:16" s="28" customFormat="1" x14ac:dyDescent="0.25">
      <c r="A1054" s="56"/>
      <c r="B1054" s="61"/>
      <c r="C1054" s="61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152"/>
    </row>
    <row r="1055" spans="1:16" s="28" customFormat="1" x14ac:dyDescent="0.25">
      <c r="A1055" s="56"/>
      <c r="B1055" s="61"/>
      <c r="C1055" s="61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152"/>
    </row>
    <row r="1056" spans="1:16" s="28" customFormat="1" x14ac:dyDescent="0.25">
      <c r="A1056" s="56"/>
      <c r="B1056" s="61"/>
      <c r="C1056" s="61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152"/>
    </row>
    <row r="1057" spans="1:16" s="28" customFormat="1" x14ac:dyDescent="0.25">
      <c r="A1057" s="56"/>
      <c r="B1057" s="61"/>
      <c r="C1057" s="61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152"/>
    </row>
    <row r="1058" spans="1:16" s="28" customFormat="1" x14ac:dyDescent="0.25">
      <c r="A1058" s="56"/>
      <c r="B1058" s="61"/>
      <c r="C1058" s="61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152"/>
    </row>
    <row r="1059" spans="1:16" s="28" customFormat="1" x14ac:dyDescent="0.25">
      <c r="A1059" s="56"/>
      <c r="B1059" s="61"/>
      <c r="C1059" s="61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152"/>
    </row>
    <row r="1060" spans="1:16" s="28" customFormat="1" x14ac:dyDescent="0.25">
      <c r="A1060" s="56"/>
      <c r="B1060" s="61"/>
      <c r="C1060" s="61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152"/>
    </row>
    <row r="1061" spans="1:16" s="28" customFormat="1" x14ac:dyDescent="0.25">
      <c r="A1061" s="56"/>
      <c r="B1061" s="61"/>
      <c r="C1061" s="61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152"/>
    </row>
    <row r="1062" spans="1:16" s="28" customFormat="1" x14ac:dyDescent="0.25">
      <c r="A1062" s="56"/>
      <c r="B1062" s="61"/>
      <c r="C1062" s="61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152"/>
    </row>
    <row r="1063" spans="1:16" s="28" customFormat="1" x14ac:dyDescent="0.25">
      <c r="A1063" s="56"/>
      <c r="B1063" s="61"/>
      <c r="C1063" s="61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152"/>
    </row>
    <row r="1064" spans="1:16" s="28" customFormat="1" x14ac:dyDescent="0.25">
      <c r="A1064" s="56"/>
      <c r="B1064" s="61"/>
      <c r="C1064" s="61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152"/>
    </row>
    <row r="1065" spans="1:16" s="28" customFormat="1" x14ac:dyDescent="0.25">
      <c r="A1065" s="56"/>
      <c r="B1065" s="61"/>
      <c r="C1065" s="61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152"/>
    </row>
    <row r="1066" spans="1:16" s="28" customFormat="1" x14ac:dyDescent="0.25">
      <c r="A1066" s="56"/>
      <c r="B1066" s="61"/>
      <c r="C1066" s="61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152"/>
    </row>
    <row r="1067" spans="1:16" s="28" customFormat="1" x14ac:dyDescent="0.25">
      <c r="A1067" s="56"/>
      <c r="B1067" s="61"/>
      <c r="C1067" s="61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152"/>
    </row>
    <row r="1068" spans="1:16" s="28" customFormat="1" x14ac:dyDescent="0.25">
      <c r="A1068" s="56"/>
      <c r="B1068" s="61"/>
      <c r="C1068" s="61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152"/>
    </row>
    <row r="1069" spans="1:16" s="28" customFormat="1" x14ac:dyDescent="0.25">
      <c r="A1069" s="56"/>
      <c r="B1069" s="61"/>
      <c r="C1069" s="61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152"/>
    </row>
    <row r="1070" spans="1:16" s="28" customFormat="1" x14ac:dyDescent="0.25">
      <c r="A1070" s="56"/>
      <c r="B1070" s="61"/>
      <c r="C1070" s="61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152"/>
    </row>
    <row r="1071" spans="1:16" s="28" customFormat="1" x14ac:dyDescent="0.25">
      <c r="A1071" s="56"/>
      <c r="B1071" s="61"/>
      <c r="C1071" s="61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152"/>
    </row>
    <row r="1072" spans="1:16" s="28" customFormat="1" x14ac:dyDescent="0.25">
      <c r="A1072" s="56"/>
      <c r="B1072" s="61"/>
      <c r="C1072" s="61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152"/>
    </row>
    <row r="1073" spans="1:16" s="28" customFormat="1" x14ac:dyDescent="0.25">
      <c r="A1073" s="56"/>
      <c r="B1073" s="61"/>
      <c r="C1073" s="61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152"/>
    </row>
    <row r="1074" spans="1:16" s="28" customFormat="1" x14ac:dyDescent="0.25">
      <c r="A1074" s="56"/>
      <c r="B1074" s="61"/>
      <c r="C1074" s="61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152"/>
    </row>
    <row r="1075" spans="1:16" s="28" customFormat="1" x14ac:dyDescent="0.25">
      <c r="A1075" s="56"/>
      <c r="B1075" s="61"/>
      <c r="C1075" s="61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152"/>
    </row>
    <row r="1076" spans="1:16" s="28" customFormat="1" x14ac:dyDescent="0.25">
      <c r="A1076" s="56"/>
      <c r="B1076" s="61"/>
      <c r="C1076" s="61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152"/>
    </row>
    <row r="1077" spans="1:16" s="28" customFormat="1" x14ac:dyDescent="0.25">
      <c r="A1077" s="56"/>
      <c r="B1077" s="61"/>
      <c r="C1077" s="61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152"/>
    </row>
    <row r="1078" spans="1:16" s="28" customFormat="1" x14ac:dyDescent="0.25">
      <c r="A1078" s="56"/>
      <c r="B1078" s="61"/>
      <c r="C1078" s="61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152"/>
    </row>
    <row r="1079" spans="1:16" s="28" customFormat="1" x14ac:dyDescent="0.25">
      <c r="A1079" s="56"/>
      <c r="B1079" s="61"/>
      <c r="C1079" s="61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152"/>
    </row>
    <row r="1080" spans="1:16" s="28" customFormat="1" x14ac:dyDescent="0.25">
      <c r="A1080" s="56"/>
      <c r="B1080" s="61"/>
      <c r="C1080" s="61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152"/>
    </row>
    <row r="1081" spans="1:16" s="28" customFormat="1" x14ac:dyDescent="0.25">
      <c r="A1081" s="56"/>
      <c r="B1081" s="61"/>
      <c r="C1081" s="61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152"/>
    </row>
    <row r="1082" spans="1:16" s="28" customFormat="1" x14ac:dyDescent="0.25">
      <c r="A1082" s="56"/>
      <c r="B1082" s="61"/>
      <c r="C1082" s="61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152"/>
    </row>
    <row r="1083" spans="1:16" s="28" customFormat="1" x14ac:dyDescent="0.25">
      <c r="A1083" s="56"/>
      <c r="B1083" s="61"/>
      <c r="C1083" s="61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152"/>
    </row>
    <row r="1084" spans="1:16" s="28" customFormat="1" x14ac:dyDescent="0.25">
      <c r="A1084" s="56"/>
      <c r="B1084" s="61"/>
      <c r="C1084" s="61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152"/>
    </row>
    <row r="1085" spans="1:16" s="28" customFormat="1" x14ac:dyDescent="0.25">
      <c r="A1085" s="56"/>
      <c r="B1085" s="61"/>
      <c r="C1085" s="61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152"/>
    </row>
    <row r="1086" spans="1:16" s="28" customFormat="1" x14ac:dyDescent="0.25">
      <c r="A1086" s="56"/>
      <c r="B1086" s="61"/>
      <c r="C1086" s="61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152"/>
    </row>
    <row r="1087" spans="1:16" s="28" customFormat="1" x14ac:dyDescent="0.25">
      <c r="A1087" s="56"/>
      <c r="B1087" s="61"/>
      <c r="C1087" s="61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152"/>
    </row>
    <row r="1088" spans="1:16" s="28" customFormat="1" x14ac:dyDescent="0.25">
      <c r="A1088" s="56"/>
      <c r="B1088" s="61"/>
      <c r="C1088" s="61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152"/>
    </row>
    <row r="1089" spans="1:16" s="28" customFormat="1" x14ac:dyDescent="0.25">
      <c r="A1089" s="56"/>
      <c r="B1089" s="61"/>
      <c r="C1089" s="61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152"/>
    </row>
    <row r="1090" spans="1:16" s="28" customFormat="1" x14ac:dyDescent="0.25">
      <c r="A1090" s="56"/>
      <c r="B1090" s="61"/>
      <c r="C1090" s="61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152"/>
    </row>
    <row r="1091" spans="1:16" s="28" customFormat="1" x14ac:dyDescent="0.25">
      <c r="A1091" s="56"/>
      <c r="B1091" s="61"/>
      <c r="C1091" s="61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152"/>
    </row>
    <row r="1092" spans="1:16" s="28" customFormat="1" x14ac:dyDescent="0.25">
      <c r="A1092" s="56"/>
      <c r="B1092" s="61"/>
      <c r="C1092" s="61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152"/>
    </row>
    <row r="1093" spans="1:16" s="28" customFormat="1" x14ac:dyDescent="0.25">
      <c r="A1093" s="56"/>
      <c r="B1093" s="61"/>
      <c r="C1093" s="61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152"/>
    </row>
    <row r="1094" spans="1:16" s="28" customFormat="1" x14ac:dyDescent="0.25">
      <c r="A1094" s="56"/>
      <c r="B1094" s="61"/>
      <c r="C1094" s="61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152"/>
    </row>
    <row r="1095" spans="1:16" s="28" customFormat="1" x14ac:dyDescent="0.25">
      <c r="A1095" s="56"/>
      <c r="B1095" s="61"/>
      <c r="C1095" s="61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152"/>
    </row>
    <row r="1096" spans="1:16" s="28" customFormat="1" x14ac:dyDescent="0.25">
      <c r="A1096" s="56"/>
      <c r="B1096" s="61"/>
      <c r="C1096" s="61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152"/>
    </row>
    <row r="1097" spans="1:16" s="28" customFormat="1" x14ac:dyDescent="0.25">
      <c r="A1097" s="56"/>
      <c r="B1097" s="61"/>
      <c r="C1097" s="61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152"/>
    </row>
    <row r="1098" spans="1:16" s="28" customFormat="1" x14ac:dyDescent="0.25">
      <c r="A1098" s="56"/>
      <c r="B1098" s="61"/>
      <c r="C1098" s="61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152"/>
    </row>
    <row r="1099" spans="1:16" s="28" customFormat="1" x14ac:dyDescent="0.25">
      <c r="A1099" s="56"/>
      <c r="B1099" s="61"/>
      <c r="C1099" s="61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152"/>
    </row>
    <row r="1100" spans="1:16" s="28" customFormat="1" x14ac:dyDescent="0.25">
      <c r="A1100" s="56"/>
      <c r="B1100" s="61"/>
      <c r="C1100" s="61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152"/>
    </row>
    <row r="1101" spans="1:16" s="28" customFormat="1" x14ac:dyDescent="0.25">
      <c r="A1101" s="56"/>
      <c r="B1101" s="61"/>
      <c r="C1101" s="61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152"/>
    </row>
    <row r="1102" spans="1:16" s="28" customFormat="1" x14ac:dyDescent="0.25">
      <c r="A1102" s="56"/>
      <c r="B1102" s="61"/>
      <c r="C1102" s="61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152"/>
    </row>
    <row r="1103" spans="1:16" s="28" customFormat="1" x14ac:dyDescent="0.25">
      <c r="A1103" s="56"/>
      <c r="B1103" s="61"/>
      <c r="C1103" s="61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152"/>
    </row>
    <row r="1104" spans="1:16" s="28" customFormat="1" x14ac:dyDescent="0.25">
      <c r="A1104" s="56"/>
      <c r="B1104" s="61"/>
      <c r="C1104" s="61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152"/>
    </row>
    <row r="1105" spans="1:16" s="28" customFormat="1" x14ac:dyDescent="0.25">
      <c r="A1105" s="56"/>
      <c r="B1105" s="61"/>
      <c r="C1105" s="61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152"/>
    </row>
    <row r="1106" spans="1:16" s="28" customFormat="1" x14ac:dyDescent="0.25">
      <c r="A1106" s="56"/>
      <c r="B1106" s="61"/>
      <c r="C1106" s="61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152"/>
    </row>
    <row r="1107" spans="1:16" s="28" customFormat="1" x14ac:dyDescent="0.25">
      <c r="A1107" s="56"/>
      <c r="B1107" s="61"/>
      <c r="C1107" s="61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152"/>
    </row>
    <row r="1108" spans="1:16" s="28" customFormat="1" x14ac:dyDescent="0.25">
      <c r="A1108" s="56"/>
      <c r="B1108" s="61"/>
      <c r="C1108" s="61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152"/>
    </row>
    <row r="1109" spans="1:16" s="28" customFormat="1" x14ac:dyDescent="0.25">
      <c r="A1109" s="56"/>
      <c r="B1109" s="61"/>
      <c r="C1109" s="61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152"/>
    </row>
    <row r="1110" spans="1:16" s="28" customFormat="1" x14ac:dyDescent="0.25">
      <c r="A1110" s="56"/>
      <c r="B1110" s="61"/>
      <c r="C1110" s="61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152"/>
    </row>
    <row r="1111" spans="1:16" s="28" customFormat="1" x14ac:dyDescent="0.25">
      <c r="A1111" s="56"/>
      <c r="B1111" s="61"/>
      <c r="C1111" s="61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152"/>
    </row>
    <row r="1112" spans="1:16" s="28" customFormat="1" x14ac:dyDescent="0.25">
      <c r="A1112" s="56"/>
      <c r="B1112" s="61"/>
      <c r="C1112" s="61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152"/>
    </row>
    <row r="1113" spans="1:16" s="28" customFormat="1" x14ac:dyDescent="0.25">
      <c r="A1113" s="56"/>
      <c r="B1113" s="61"/>
      <c r="C1113" s="61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152"/>
    </row>
    <row r="1114" spans="1:16" s="28" customFormat="1" x14ac:dyDescent="0.25">
      <c r="A1114" s="56"/>
      <c r="B1114" s="61"/>
      <c r="C1114" s="61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152"/>
    </row>
    <row r="1115" spans="1:16" s="28" customFormat="1" x14ac:dyDescent="0.25">
      <c r="A1115" s="56"/>
      <c r="B1115" s="61"/>
      <c r="C1115" s="61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152"/>
    </row>
    <row r="1116" spans="1:16" s="28" customFormat="1" x14ac:dyDescent="0.25">
      <c r="A1116" s="56"/>
      <c r="B1116" s="61"/>
      <c r="C1116" s="61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152"/>
    </row>
    <row r="1117" spans="1:16" s="28" customFormat="1" x14ac:dyDescent="0.25">
      <c r="A1117" s="56"/>
      <c r="B1117" s="61"/>
      <c r="C1117" s="61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152"/>
    </row>
    <row r="1118" spans="1:16" s="28" customFormat="1" x14ac:dyDescent="0.25">
      <c r="A1118" s="56"/>
      <c r="B1118" s="61"/>
      <c r="C1118" s="61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152"/>
    </row>
    <row r="1119" spans="1:16" s="28" customFormat="1" x14ac:dyDescent="0.25">
      <c r="A1119" s="56"/>
      <c r="B1119" s="61"/>
      <c r="C1119" s="61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152"/>
    </row>
    <row r="1120" spans="1:16" s="28" customFormat="1" x14ac:dyDescent="0.25">
      <c r="A1120" s="56"/>
      <c r="B1120" s="61"/>
      <c r="C1120" s="61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152"/>
    </row>
    <row r="1121" spans="1:16" s="28" customFormat="1" x14ac:dyDescent="0.25">
      <c r="A1121" s="56"/>
      <c r="B1121" s="61"/>
      <c r="C1121" s="61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152"/>
    </row>
    <row r="1122" spans="1:16" s="28" customFormat="1" x14ac:dyDescent="0.25">
      <c r="A1122" s="56"/>
      <c r="B1122" s="61"/>
      <c r="C1122" s="61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152"/>
    </row>
    <row r="1123" spans="1:16" s="28" customFormat="1" x14ac:dyDescent="0.25">
      <c r="A1123" s="56"/>
      <c r="B1123" s="61"/>
      <c r="C1123" s="61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152"/>
    </row>
    <row r="1124" spans="1:16" s="28" customFormat="1" x14ac:dyDescent="0.25">
      <c r="A1124" s="56"/>
      <c r="B1124" s="61"/>
      <c r="C1124" s="61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152"/>
    </row>
    <row r="1125" spans="1:16" s="28" customFormat="1" x14ac:dyDescent="0.25">
      <c r="A1125" s="56"/>
      <c r="B1125" s="61"/>
      <c r="C1125" s="61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152"/>
    </row>
    <row r="1126" spans="1:16" s="28" customFormat="1" x14ac:dyDescent="0.25">
      <c r="A1126" s="56"/>
      <c r="B1126" s="61"/>
      <c r="C1126" s="61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152"/>
    </row>
    <row r="1127" spans="1:16" s="28" customFormat="1" x14ac:dyDescent="0.25">
      <c r="A1127" s="56"/>
      <c r="B1127" s="61"/>
      <c r="C1127" s="61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152"/>
    </row>
    <row r="1128" spans="1:16" s="28" customFormat="1" x14ac:dyDescent="0.25">
      <c r="A1128" s="56"/>
      <c r="B1128" s="61"/>
      <c r="C1128" s="61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152"/>
    </row>
    <row r="1129" spans="1:16" s="28" customFormat="1" x14ac:dyDescent="0.25">
      <c r="A1129" s="56"/>
      <c r="B1129" s="61"/>
      <c r="C1129" s="61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152"/>
    </row>
    <row r="1130" spans="1:16" s="28" customFormat="1" x14ac:dyDescent="0.25">
      <c r="A1130" s="56"/>
      <c r="B1130" s="61"/>
      <c r="C1130" s="61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152"/>
    </row>
    <row r="1131" spans="1:16" s="28" customFormat="1" x14ac:dyDescent="0.25">
      <c r="A1131" s="56"/>
      <c r="B1131" s="61"/>
      <c r="C1131" s="61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152"/>
    </row>
    <row r="1132" spans="1:16" s="28" customFormat="1" x14ac:dyDescent="0.25">
      <c r="A1132" s="56"/>
      <c r="B1132" s="61"/>
      <c r="C1132" s="61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152"/>
    </row>
    <row r="1133" spans="1:16" s="28" customFormat="1" x14ac:dyDescent="0.25">
      <c r="A1133" s="56"/>
      <c r="B1133" s="61"/>
      <c r="C1133" s="61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152"/>
    </row>
    <row r="1134" spans="1:16" s="28" customFormat="1" x14ac:dyDescent="0.25">
      <c r="A1134" s="56"/>
      <c r="B1134" s="61"/>
      <c r="C1134" s="61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152"/>
    </row>
    <row r="1135" spans="1:16" s="28" customFormat="1" x14ac:dyDescent="0.25">
      <c r="A1135" s="56"/>
      <c r="B1135" s="61"/>
      <c r="C1135" s="61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152"/>
    </row>
    <row r="1136" spans="1:16" s="28" customFormat="1" x14ac:dyDescent="0.25">
      <c r="A1136" s="56"/>
      <c r="B1136" s="61"/>
      <c r="C1136" s="61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152"/>
    </row>
    <row r="1137" spans="1:16" s="28" customFormat="1" x14ac:dyDescent="0.25">
      <c r="A1137" s="56"/>
      <c r="B1137" s="61"/>
      <c r="C1137" s="61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152"/>
    </row>
    <row r="1138" spans="1:16" s="28" customFormat="1" x14ac:dyDescent="0.25">
      <c r="A1138" s="56"/>
      <c r="B1138" s="61"/>
      <c r="C1138" s="61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152"/>
    </row>
    <row r="1139" spans="1:16" s="28" customFormat="1" x14ac:dyDescent="0.25">
      <c r="A1139" s="56"/>
      <c r="B1139" s="61"/>
      <c r="C1139" s="61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152"/>
    </row>
    <row r="1140" spans="1:16" s="28" customFormat="1" x14ac:dyDescent="0.25">
      <c r="A1140" s="56"/>
      <c r="B1140" s="61"/>
      <c r="C1140" s="61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152"/>
    </row>
    <row r="1141" spans="1:16" s="28" customFormat="1" x14ac:dyDescent="0.25">
      <c r="A1141" s="56"/>
      <c r="B1141" s="61"/>
      <c r="C1141" s="61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152"/>
    </row>
    <row r="1142" spans="1:16" s="28" customFormat="1" x14ac:dyDescent="0.25">
      <c r="A1142" s="56"/>
      <c r="B1142" s="61"/>
      <c r="C1142" s="61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152"/>
    </row>
    <row r="1143" spans="1:16" s="28" customFormat="1" x14ac:dyDescent="0.25">
      <c r="A1143" s="56"/>
      <c r="B1143" s="61"/>
      <c r="C1143" s="61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152"/>
    </row>
    <row r="1144" spans="1:16" s="28" customFormat="1" x14ac:dyDescent="0.25">
      <c r="A1144" s="56"/>
      <c r="B1144" s="61"/>
      <c r="C1144" s="61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152"/>
    </row>
    <row r="1145" spans="1:16" s="28" customFormat="1" x14ac:dyDescent="0.25">
      <c r="A1145" s="56"/>
      <c r="B1145" s="61"/>
      <c r="C1145" s="61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152"/>
    </row>
    <row r="1146" spans="1:16" s="28" customFormat="1" x14ac:dyDescent="0.25">
      <c r="A1146" s="56"/>
      <c r="B1146" s="61"/>
      <c r="C1146" s="61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152"/>
    </row>
    <row r="1147" spans="1:16" s="28" customFormat="1" x14ac:dyDescent="0.25">
      <c r="A1147" s="56"/>
      <c r="B1147" s="61"/>
      <c r="C1147" s="61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152"/>
    </row>
    <row r="1148" spans="1:16" s="28" customFormat="1" x14ac:dyDescent="0.25">
      <c r="A1148" s="56"/>
      <c r="B1148" s="61"/>
      <c r="C1148" s="61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152"/>
    </row>
    <row r="1149" spans="1:16" s="28" customFormat="1" x14ac:dyDescent="0.25">
      <c r="A1149" s="56"/>
      <c r="B1149" s="61"/>
      <c r="C1149" s="61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152"/>
    </row>
    <row r="1150" spans="1:16" s="28" customFormat="1" x14ac:dyDescent="0.25">
      <c r="A1150" s="56"/>
      <c r="B1150" s="61"/>
      <c r="C1150" s="61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152"/>
    </row>
    <row r="1151" spans="1:16" s="28" customFormat="1" x14ac:dyDescent="0.25">
      <c r="A1151" s="56"/>
      <c r="B1151" s="61"/>
      <c r="C1151" s="61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152"/>
    </row>
    <row r="1152" spans="1:16" s="28" customFormat="1" x14ac:dyDescent="0.25">
      <c r="A1152" s="56"/>
      <c r="B1152" s="61"/>
      <c r="C1152" s="61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152"/>
    </row>
    <row r="1153" spans="1:16" s="28" customFormat="1" x14ac:dyDescent="0.25">
      <c r="A1153" s="56"/>
      <c r="B1153" s="61"/>
      <c r="C1153" s="61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152"/>
    </row>
    <row r="1154" spans="1:16" s="28" customFormat="1" x14ac:dyDescent="0.25">
      <c r="A1154" s="56"/>
      <c r="B1154" s="61"/>
      <c r="C1154" s="61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152"/>
    </row>
    <row r="1155" spans="1:16" s="28" customFormat="1" x14ac:dyDescent="0.25">
      <c r="A1155" s="56"/>
      <c r="B1155" s="61"/>
      <c r="C1155" s="61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152"/>
    </row>
    <row r="1156" spans="1:16" s="28" customFormat="1" x14ac:dyDescent="0.25">
      <c r="A1156" s="56"/>
      <c r="B1156" s="61"/>
      <c r="C1156" s="61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152"/>
    </row>
    <row r="1157" spans="1:16" s="28" customFormat="1" x14ac:dyDescent="0.25">
      <c r="A1157" s="56"/>
      <c r="B1157" s="61"/>
      <c r="C1157" s="61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152"/>
    </row>
    <row r="1158" spans="1:16" s="28" customFormat="1" x14ac:dyDescent="0.25">
      <c r="A1158" s="56"/>
      <c r="B1158" s="61"/>
      <c r="C1158" s="61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152"/>
    </row>
    <row r="1159" spans="1:16" s="28" customFormat="1" x14ac:dyDescent="0.25">
      <c r="A1159" s="56"/>
      <c r="B1159" s="61"/>
      <c r="C1159" s="61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152"/>
    </row>
    <row r="1160" spans="1:16" s="28" customFormat="1" x14ac:dyDescent="0.25">
      <c r="A1160" s="56"/>
      <c r="B1160" s="61"/>
      <c r="C1160" s="61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152"/>
    </row>
    <row r="1161" spans="1:16" s="28" customFormat="1" x14ac:dyDescent="0.25">
      <c r="A1161" s="56"/>
      <c r="B1161" s="61"/>
      <c r="C1161" s="61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152"/>
    </row>
    <row r="1162" spans="1:16" s="28" customFormat="1" x14ac:dyDescent="0.25">
      <c r="A1162" s="56"/>
      <c r="B1162" s="61"/>
      <c r="C1162" s="61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152"/>
    </row>
    <row r="1163" spans="1:16" s="28" customFormat="1" x14ac:dyDescent="0.25">
      <c r="A1163" s="56"/>
      <c r="B1163" s="61"/>
      <c r="C1163" s="61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152"/>
    </row>
    <row r="1164" spans="1:16" s="28" customFormat="1" x14ac:dyDescent="0.25">
      <c r="A1164" s="56"/>
      <c r="B1164" s="61"/>
      <c r="C1164" s="61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152"/>
    </row>
    <row r="1165" spans="1:16" s="28" customFormat="1" x14ac:dyDescent="0.25">
      <c r="A1165" s="56"/>
      <c r="B1165" s="61"/>
      <c r="C1165" s="61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152"/>
    </row>
    <row r="1166" spans="1:16" s="28" customFormat="1" x14ac:dyDescent="0.25">
      <c r="A1166" s="56"/>
      <c r="B1166" s="61"/>
      <c r="C1166" s="61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152"/>
    </row>
    <row r="1167" spans="1:16" s="28" customFormat="1" x14ac:dyDescent="0.25">
      <c r="A1167" s="56"/>
      <c r="B1167" s="61"/>
      <c r="C1167" s="61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152"/>
    </row>
    <row r="1168" spans="1:16" s="28" customFormat="1" x14ac:dyDescent="0.25">
      <c r="A1168" s="56"/>
      <c r="B1168" s="61"/>
      <c r="C1168" s="61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152"/>
    </row>
    <row r="1169" spans="1:16" s="28" customFormat="1" x14ac:dyDescent="0.25">
      <c r="A1169" s="56"/>
      <c r="B1169" s="61"/>
      <c r="C1169" s="61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152"/>
    </row>
    <row r="1170" spans="1:16" s="28" customFormat="1" x14ac:dyDescent="0.25">
      <c r="A1170" s="56"/>
      <c r="B1170" s="61"/>
      <c r="C1170" s="61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152"/>
    </row>
    <row r="1171" spans="1:16" s="28" customFormat="1" x14ac:dyDescent="0.25">
      <c r="A1171" s="56"/>
      <c r="B1171" s="61"/>
      <c r="C1171" s="61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152"/>
    </row>
    <row r="1172" spans="1:16" s="28" customFormat="1" x14ac:dyDescent="0.25">
      <c r="A1172" s="56"/>
      <c r="B1172" s="61"/>
      <c r="C1172" s="61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152"/>
    </row>
    <row r="1173" spans="1:16" s="28" customFormat="1" x14ac:dyDescent="0.25">
      <c r="A1173" s="56"/>
      <c r="B1173" s="61"/>
      <c r="C1173" s="61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152"/>
    </row>
    <row r="1174" spans="1:16" s="28" customFormat="1" x14ac:dyDescent="0.25">
      <c r="A1174" s="56"/>
      <c r="B1174" s="61"/>
      <c r="C1174" s="61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152"/>
    </row>
    <row r="1175" spans="1:16" s="28" customFormat="1" x14ac:dyDescent="0.25">
      <c r="A1175" s="56"/>
      <c r="B1175" s="61"/>
      <c r="C1175" s="61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152"/>
    </row>
    <row r="1176" spans="1:16" s="28" customFormat="1" x14ac:dyDescent="0.25">
      <c r="A1176" s="56"/>
      <c r="B1176" s="61"/>
      <c r="C1176" s="61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152"/>
    </row>
    <row r="1177" spans="1:16" s="28" customFormat="1" x14ac:dyDescent="0.25">
      <c r="A1177" s="56"/>
      <c r="B1177" s="61"/>
      <c r="C1177" s="61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152"/>
    </row>
    <row r="1178" spans="1:16" s="28" customFormat="1" x14ac:dyDescent="0.25">
      <c r="A1178" s="56"/>
      <c r="B1178" s="61"/>
      <c r="C1178" s="61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152"/>
    </row>
    <row r="1179" spans="1:16" s="28" customFormat="1" x14ac:dyDescent="0.25">
      <c r="A1179" s="56"/>
      <c r="B1179" s="61"/>
      <c r="C1179" s="61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152"/>
    </row>
    <row r="1180" spans="1:16" s="28" customFormat="1" x14ac:dyDescent="0.25">
      <c r="A1180" s="56"/>
      <c r="B1180" s="61"/>
      <c r="C1180" s="61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152"/>
    </row>
    <row r="1181" spans="1:16" s="28" customFormat="1" x14ac:dyDescent="0.25">
      <c r="A1181" s="56"/>
      <c r="B1181" s="61"/>
      <c r="C1181" s="61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152"/>
    </row>
    <row r="1182" spans="1:16" s="28" customFormat="1" x14ac:dyDescent="0.25">
      <c r="A1182" s="56"/>
      <c r="B1182" s="61"/>
      <c r="C1182" s="61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152"/>
    </row>
    <row r="1183" spans="1:16" s="28" customFormat="1" x14ac:dyDescent="0.25">
      <c r="A1183" s="56"/>
      <c r="B1183" s="61"/>
      <c r="C1183" s="61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152"/>
    </row>
    <row r="1184" spans="1:16" s="28" customFormat="1" x14ac:dyDescent="0.25">
      <c r="A1184" s="56"/>
      <c r="B1184" s="61"/>
      <c r="C1184" s="61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152"/>
    </row>
    <row r="1185" spans="1:16" s="28" customFormat="1" x14ac:dyDescent="0.25">
      <c r="A1185" s="56"/>
      <c r="B1185" s="61"/>
      <c r="C1185" s="61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152"/>
    </row>
    <row r="1186" spans="1:16" s="28" customFormat="1" x14ac:dyDescent="0.25">
      <c r="A1186" s="56"/>
      <c r="B1186" s="61"/>
      <c r="C1186" s="61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152"/>
    </row>
    <row r="1187" spans="1:16" s="28" customFormat="1" x14ac:dyDescent="0.25">
      <c r="A1187" s="56"/>
      <c r="B1187" s="61"/>
      <c r="C1187" s="61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152"/>
    </row>
    <row r="1188" spans="1:16" s="28" customFormat="1" x14ac:dyDescent="0.25">
      <c r="A1188" s="56"/>
      <c r="B1188" s="61"/>
      <c r="C1188" s="61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152"/>
    </row>
    <row r="1189" spans="1:16" s="28" customFormat="1" x14ac:dyDescent="0.25">
      <c r="A1189" s="56"/>
      <c r="B1189" s="61"/>
      <c r="C1189" s="61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152"/>
    </row>
    <row r="1190" spans="1:16" s="28" customFormat="1" x14ac:dyDescent="0.25">
      <c r="A1190" s="56"/>
      <c r="B1190" s="61"/>
      <c r="C1190" s="61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152"/>
    </row>
    <row r="1191" spans="1:16" s="28" customFormat="1" x14ac:dyDescent="0.25">
      <c r="A1191" s="56"/>
      <c r="B1191" s="61"/>
      <c r="C1191" s="61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152"/>
    </row>
    <row r="1192" spans="1:16" s="28" customFormat="1" x14ac:dyDescent="0.25">
      <c r="A1192" s="56"/>
      <c r="B1192" s="61"/>
      <c r="C1192" s="61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152"/>
    </row>
    <row r="1193" spans="1:16" s="28" customFormat="1" x14ac:dyDescent="0.25">
      <c r="A1193" s="56"/>
      <c r="B1193" s="61"/>
      <c r="C1193" s="61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152"/>
    </row>
    <row r="1194" spans="1:16" s="28" customFormat="1" x14ac:dyDescent="0.25">
      <c r="A1194" s="56"/>
      <c r="B1194" s="61"/>
      <c r="C1194" s="61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152"/>
    </row>
    <row r="1195" spans="1:16" s="28" customFormat="1" x14ac:dyDescent="0.25">
      <c r="A1195" s="56"/>
      <c r="B1195" s="61"/>
      <c r="C1195" s="61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152"/>
    </row>
    <row r="1196" spans="1:16" s="28" customFormat="1" x14ac:dyDescent="0.25">
      <c r="A1196" s="56"/>
      <c r="B1196" s="61"/>
      <c r="C1196" s="61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152"/>
    </row>
    <row r="1197" spans="1:16" s="28" customFormat="1" x14ac:dyDescent="0.25">
      <c r="A1197" s="56"/>
      <c r="B1197" s="61"/>
      <c r="C1197" s="61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152"/>
    </row>
    <row r="1198" spans="1:16" s="28" customFormat="1" x14ac:dyDescent="0.25">
      <c r="A1198" s="56"/>
      <c r="B1198" s="61"/>
      <c r="C1198" s="61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152"/>
    </row>
    <row r="1199" spans="1:16" s="28" customFormat="1" x14ac:dyDescent="0.25">
      <c r="A1199" s="56"/>
      <c r="B1199" s="61"/>
      <c r="C1199" s="61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152"/>
    </row>
    <row r="1200" spans="1:16" s="28" customFormat="1" x14ac:dyDescent="0.25">
      <c r="A1200" s="56"/>
      <c r="B1200" s="61"/>
      <c r="C1200" s="61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152"/>
    </row>
    <row r="1201" spans="1:16" s="28" customFormat="1" x14ac:dyDescent="0.25">
      <c r="A1201" s="56"/>
      <c r="B1201" s="61"/>
      <c r="C1201" s="61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152"/>
    </row>
    <row r="1202" spans="1:16" s="28" customFormat="1" x14ac:dyDescent="0.25">
      <c r="A1202" s="56"/>
      <c r="B1202" s="61"/>
      <c r="C1202" s="61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152"/>
    </row>
    <row r="1203" spans="1:16" s="28" customFormat="1" x14ac:dyDescent="0.25">
      <c r="A1203" s="56"/>
      <c r="B1203" s="61"/>
      <c r="C1203" s="61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152"/>
    </row>
    <row r="1204" spans="1:16" s="28" customFormat="1" x14ac:dyDescent="0.25">
      <c r="A1204" s="56"/>
      <c r="B1204" s="61"/>
      <c r="C1204" s="61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152"/>
    </row>
    <row r="1205" spans="1:16" s="28" customFormat="1" x14ac:dyDescent="0.25">
      <c r="A1205" s="56"/>
      <c r="B1205" s="61"/>
      <c r="C1205" s="61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152"/>
    </row>
    <row r="1206" spans="1:16" s="28" customFormat="1" x14ac:dyDescent="0.25">
      <c r="A1206" s="56"/>
      <c r="B1206" s="61"/>
      <c r="C1206" s="61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152"/>
    </row>
    <row r="1207" spans="1:16" s="28" customFormat="1" x14ac:dyDescent="0.25">
      <c r="A1207" s="56"/>
      <c r="B1207" s="61"/>
      <c r="C1207" s="61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152"/>
    </row>
    <row r="1208" spans="1:16" s="28" customFormat="1" x14ac:dyDescent="0.25">
      <c r="A1208" s="56"/>
      <c r="B1208" s="61"/>
      <c r="C1208" s="61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152"/>
    </row>
    <row r="1209" spans="1:16" s="28" customFormat="1" x14ac:dyDescent="0.25">
      <c r="A1209" s="56"/>
      <c r="B1209" s="61"/>
      <c r="C1209" s="61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152"/>
    </row>
    <row r="1210" spans="1:16" s="28" customFormat="1" x14ac:dyDescent="0.25">
      <c r="A1210" s="56"/>
      <c r="B1210" s="61"/>
      <c r="C1210" s="61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152"/>
    </row>
    <row r="1211" spans="1:16" s="28" customFormat="1" x14ac:dyDescent="0.25">
      <c r="A1211" s="56"/>
      <c r="B1211" s="61"/>
      <c r="C1211" s="61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152"/>
    </row>
    <row r="1212" spans="1:16" s="28" customFormat="1" x14ac:dyDescent="0.25">
      <c r="A1212" s="56"/>
      <c r="B1212" s="61"/>
      <c r="C1212" s="61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152"/>
    </row>
    <row r="1213" spans="1:16" s="28" customFormat="1" x14ac:dyDescent="0.25">
      <c r="A1213" s="56"/>
      <c r="B1213" s="61"/>
      <c r="C1213" s="61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152"/>
    </row>
    <row r="1214" spans="1:16" s="28" customFormat="1" x14ac:dyDescent="0.25">
      <c r="A1214" s="56"/>
      <c r="B1214" s="61"/>
      <c r="C1214" s="61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152"/>
    </row>
    <row r="1215" spans="1:16" s="28" customFormat="1" x14ac:dyDescent="0.25">
      <c r="A1215" s="56"/>
      <c r="B1215" s="61"/>
      <c r="C1215" s="61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152"/>
    </row>
    <row r="1216" spans="1:16" s="28" customFormat="1" x14ac:dyDescent="0.25">
      <c r="A1216" s="56"/>
      <c r="B1216" s="61"/>
      <c r="C1216" s="61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152"/>
    </row>
    <row r="1217" spans="1:16" s="28" customFormat="1" x14ac:dyDescent="0.25">
      <c r="A1217" s="56"/>
      <c r="B1217" s="61"/>
      <c r="C1217" s="61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152"/>
    </row>
    <row r="1218" spans="1:16" s="28" customFormat="1" x14ac:dyDescent="0.25">
      <c r="A1218" s="56"/>
      <c r="B1218" s="61"/>
      <c r="C1218" s="61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152"/>
    </row>
    <row r="1219" spans="1:16" s="28" customFormat="1" x14ac:dyDescent="0.25">
      <c r="A1219" s="56"/>
      <c r="B1219" s="61"/>
      <c r="C1219" s="61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152"/>
    </row>
    <row r="1220" spans="1:16" s="28" customFormat="1" x14ac:dyDescent="0.25">
      <c r="A1220" s="56"/>
      <c r="B1220" s="61"/>
      <c r="C1220" s="61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152"/>
    </row>
    <row r="1221" spans="1:16" s="28" customFormat="1" x14ac:dyDescent="0.25">
      <c r="A1221" s="56"/>
      <c r="B1221" s="61"/>
      <c r="C1221" s="61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152"/>
    </row>
    <row r="1222" spans="1:16" s="28" customFormat="1" x14ac:dyDescent="0.25">
      <c r="A1222" s="56"/>
      <c r="B1222" s="61"/>
      <c r="C1222" s="61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152"/>
    </row>
    <row r="1223" spans="1:16" s="28" customFormat="1" x14ac:dyDescent="0.25">
      <c r="A1223" s="56"/>
      <c r="B1223" s="61"/>
      <c r="C1223" s="61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152"/>
    </row>
    <row r="1224" spans="1:16" s="28" customFormat="1" x14ac:dyDescent="0.25">
      <c r="A1224" s="56"/>
      <c r="B1224" s="61"/>
      <c r="C1224" s="61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152"/>
    </row>
    <row r="1225" spans="1:16" s="28" customFormat="1" x14ac:dyDescent="0.25">
      <c r="A1225" s="56"/>
      <c r="B1225" s="61"/>
      <c r="C1225" s="61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152"/>
    </row>
    <row r="1226" spans="1:16" s="28" customFormat="1" x14ac:dyDescent="0.25">
      <c r="A1226" s="56"/>
      <c r="B1226" s="61"/>
      <c r="C1226" s="61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152"/>
    </row>
    <row r="1227" spans="1:16" s="28" customFormat="1" x14ac:dyDescent="0.25">
      <c r="A1227" s="56"/>
      <c r="B1227" s="61"/>
      <c r="C1227" s="61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152"/>
    </row>
    <row r="1228" spans="1:16" s="28" customFormat="1" x14ac:dyDescent="0.25">
      <c r="A1228" s="56"/>
      <c r="B1228" s="61"/>
      <c r="C1228" s="61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152"/>
    </row>
    <row r="1229" spans="1:16" s="28" customFormat="1" x14ac:dyDescent="0.25">
      <c r="A1229" s="56"/>
      <c r="B1229" s="61"/>
      <c r="C1229" s="61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152"/>
    </row>
    <row r="1230" spans="1:16" s="28" customFormat="1" x14ac:dyDescent="0.25">
      <c r="A1230" s="56"/>
      <c r="B1230" s="61"/>
      <c r="C1230" s="61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152"/>
    </row>
    <row r="1231" spans="1:16" s="28" customFormat="1" x14ac:dyDescent="0.25">
      <c r="A1231" s="56"/>
      <c r="B1231" s="61"/>
      <c r="C1231" s="61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152"/>
    </row>
    <row r="1232" spans="1:16" s="28" customFormat="1" x14ac:dyDescent="0.25">
      <c r="A1232" s="56"/>
      <c r="B1232" s="61"/>
      <c r="C1232" s="61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152"/>
    </row>
    <row r="1233" spans="1:16" s="28" customFormat="1" x14ac:dyDescent="0.25">
      <c r="A1233" s="56"/>
      <c r="B1233" s="61"/>
      <c r="C1233" s="61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152"/>
    </row>
    <row r="1234" spans="1:16" s="28" customFormat="1" x14ac:dyDescent="0.25">
      <c r="A1234" s="56"/>
      <c r="B1234" s="61"/>
      <c r="C1234" s="61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152"/>
    </row>
    <row r="1235" spans="1:16" s="28" customFormat="1" x14ac:dyDescent="0.25">
      <c r="A1235" s="56"/>
      <c r="B1235" s="61"/>
      <c r="C1235" s="61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152"/>
    </row>
    <row r="1236" spans="1:16" s="28" customFormat="1" x14ac:dyDescent="0.25">
      <c r="A1236" s="56"/>
      <c r="B1236" s="61"/>
      <c r="C1236" s="61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152"/>
    </row>
    <row r="1237" spans="1:16" s="28" customFormat="1" x14ac:dyDescent="0.25">
      <c r="A1237" s="56"/>
      <c r="B1237" s="61"/>
      <c r="C1237" s="61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152"/>
    </row>
    <row r="1238" spans="1:16" s="28" customFormat="1" x14ac:dyDescent="0.25">
      <c r="A1238" s="56"/>
      <c r="B1238" s="61"/>
      <c r="C1238" s="61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152"/>
    </row>
    <row r="1239" spans="1:16" s="28" customFormat="1" x14ac:dyDescent="0.25">
      <c r="A1239" s="56"/>
      <c r="B1239" s="61"/>
      <c r="C1239" s="61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152"/>
    </row>
    <row r="1240" spans="1:16" s="28" customFormat="1" x14ac:dyDescent="0.25">
      <c r="A1240" s="56"/>
      <c r="B1240" s="61"/>
      <c r="C1240" s="61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152"/>
    </row>
    <row r="1241" spans="1:16" s="28" customFormat="1" x14ac:dyDescent="0.25">
      <c r="A1241" s="56"/>
      <c r="B1241" s="61"/>
      <c r="C1241" s="61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152"/>
    </row>
    <row r="1242" spans="1:16" s="28" customFormat="1" x14ac:dyDescent="0.25">
      <c r="A1242" s="56"/>
      <c r="B1242" s="61"/>
      <c r="C1242" s="61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152"/>
    </row>
    <row r="1243" spans="1:16" s="28" customFormat="1" x14ac:dyDescent="0.25">
      <c r="A1243" s="56"/>
      <c r="B1243" s="61"/>
      <c r="C1243" s="61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152"/>
    </row>
    <row r="1244" spans="1:16" s="28" customFormat="1" x14ac:dyDescent="0.25">
      <c r="A1244" s="56"/>
      <c r="B1244" s="61"/>
      <c r="C1244" s="61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152"/>
    </row>
    <row r="1245" spans="1:16" s="28" customFormat="1" x14ac:dyDescent="0.25">
      <c r="A1245" s="56"/>
      <c r="B1245" s="61"/>
      <c r="C1245" s="61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152"/>
    </row>
    <row r="1246" spans="1:16" s="28" customFormat="1" x14ac:dyDescent="0.25">
      <c r="A1246" s="56"/>
      <c r="B1246" s="61"/>
      <c r="C1246" s="61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152"/>
    </row>
    <row r="1247" spans="1:16" s="28" customFormat="1" x14ac:dyDescent="0.25">
      <c r="A1247" s="56"/>
      <c r="B1247" s="61"/>
      <c r="C1247" s="61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152"/>
    </row>
    <row r="1248" spans="1:16" s="28" customFormat="1" x14ac:dyDescent="0.25">
      <c r="A1248" s="56"/>
      <c r="B1248" s="61"/>
      <c r="C1248" s="61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152"/>
    </row>
    <row r="1249" spans="1:16" s="28" customFormat="1" x14ac:dyDescent="0.25">
      <c r="A1249" s="56"/>
      <c r="B1249" s="61"/>
      <c r="C1249" s="61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152"/>
    </row>
    <row r="1250" spans="1:16" s="28" customFormat="1" x14ac:dyDescent="0.25">
      <c r="A1250" s="56"/>
      <c r="B1250" s="61"/>
      <c r="C1250" s="61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152"/>
    </row>
    <row r="1251" spans="1:16" s="28" customFormat="1" x14ac:dyDescent="0.25">
      <c r="A1251" s="56"/>
      <c r="B1251" s="61"/>
      <c r="C1251" s="61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152"/>
    </row>
    <row r="1252" spans="1:16" s="28" customFormat="1" x14ac:dyDescent="0.25">
      <c r="A1252" s="56"/>
      <c r="B1252" s="61"/>
      <c r="C1252" s="61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152"/>
    </row>
    <row r="1253" spans="1:16" s="28" customFormat="1" x14ac:dyDescent="0.25">
      <c r="A1253" s="56"/>
      <c r="B1253" s="61"/>
      <c r="C1253" s="61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152"/>
    </row>
    <row r="1254" spans="1:16" s="28" customFormat="1" x14ac:dyDescent="0.25">
      <c r="A1254" s="56"/>
      <c r="B1254" s="61"/>
      <c r="C1254" s="61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152"/>
    </row>
    <row r="1255" spans="1:16" s="28" customFormat="1" x14ac:dyDescent="0.25">
      <c r="A1255" s="56"/>
      <c r="B1255" s="61"/>
      <c r="C1255" s="61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152"/>
    </row>
    <row r="1256" spans="1:16" s="28" customFormat="1" x14ac:dyDescent="0.25">
      <c r="A1256" s="56"/>
      <c r="B1256" s="61"/>
      <c r="C1256" s="61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152"/>
    </row>
    <row r="1257" spans="1:16" s="28" customFormat="1" x14ac:dyDescent="0.25">
      <c r="A1257" s="56"/>
      <c r="B1257" s="61"/>
      <c r="C1257" s="61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152"/>
    </row>
    <row r="1258" spans="1:16" s="28" customFormat="1" x14ac:dyDescent="0.25">
      <c r="A1258" s="56"/>
      <c r="B1258" s="61"/>
      <c r="C1258" s="61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152"/>
    </row>
    <row r="1259" spans="1:16" s="28" customFormat="1" x14ac:dyDescent="0.25">
      <c r="A1259" s="56"/>
      <c r="B1259" s="61"/>
      <c r="C1259" s="61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152"/>
    </row>
    <row r="1260" spans="1:16" s="28" customFormat="1" x14ac:dyDescent="0.25">
      <c r="A1260" s="56"/>
      <c r="B1260" s="61"/>
      <c r="C1260" s="61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152"/>
    </row>
    <row r="1261" spans="1:16" s="28" customFormat="1" x14ac:dyDescent="0.25">
      <c r="A1261" s="56"/>
      <c r="B1261" s="61"/>
      <c r="C1261" s="61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152"/>
    </row>
    <row r="1262" spans="1:16" s="28" customFormat="1" x14ac:dyDescent="0.25">
      <c r="A1262" s="56"/>
      <c r="B1262" s="61"/>
      <c r="C1262" s="61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152"/>
    </row>
    <row r="1263" spans="1:16" s="28" customFormat="1" x14ac:dyDescent="0.25">
      <c r="A1263" s="56"/>
      <c r="B1263" s="61"/>
      <c r="C1263" s="61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152"/>
    </row>
    <row r="1264" spans="1:16" s="28" customFormat="1" x14ac:dyDescent="0.25">
      <c r="A1264" s="56"/>
      <c r="B1264" s="61"/>
      <c r="C1264" s="61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152"/>
    </row>
    <row r="1265" spans="1:16" s="28" customFormat="1" x14ac:dyDescent="0.25">
      <c r="A1265" s="56"/>
      <c r="B1265" s="61"/>
      <c r="C1265" s="61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152"/>
    </row>
    <row r="1266" spans="1:16" s="28" customFormat="1" x14ac:dyDescent="0.25">
      <c r="A1266" s="56"/>
      <c r="B1266" s="61"/>
      <c r="C1266" s="61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152"/>
    </row>
    <row r="1267" spans="1:16" s="28" customFormat="1" x14ac:dyDescent="0.25">
      <c r="A1267" s="56"/>
      <c r="B1267" s="61"/>
      <c r="C1267" s="61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152"/>
    </row>
    <row r="1268" spans="1:16" s="28" customFormat="1" x14ac:dyDescent="0.25">
      <c r="A1268" s="56"/>
      <c r="B1268" s="61"/>
      <c r="C1268" s="61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152"/>
    </row>
    <row r="1269" spans="1:16" s="28" customFormat="1" x14ac:dyDescent="0.25">
      <c r="A1269" s="56"/>
      <c r="B1269" s="61"/>
      <c r="C1269" s="61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152"/>
    </row>
    <row r="1270" spans="1:16" s="28" customFormat="1" x14ac:dyDescent="0.25">
      <c r="A1270" s="56"/>
      <c r="B1270" s="61"/>
      <c r="C1270" s="61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152"/>
    </row>
    <row r="1271" spans="1:16" s="28" customFormat="1" x14ac:dyDescent="0.25">
      <c r="A1271" s="56"/>
      <c r="B1271" s="61"/>
      <c r="C1271" s="61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152"/>
    </row>
    <row r="1272" spans="1:16" s="28" customFormat="1" x14ac:dyDescent="0.25">
      <c r="A1272" s="56"/>
      <c r="B1272" s="61"/>
      <c r="C1272" s="61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152"/>
    </row>
    <row r="1273" spans="1:16" s="28" customFormat="1" x14ac:dyDescent="0.25">
      <c r="A1273" s="56"/>
      <c r="B1273" s="61"/>
      <c r="C1273" s="61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152"/>
    </row>
    <row r="1274" spans="1:16" s="28" customFormat="1" x14ac:dyDescent="0.25">
      <c r="A1274" s="56"/>
      <c r="B1274" s="61"/>
      <c r="C1274" s="61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152"/>
    </row>
    <row r="1275" spans="1:16" s="28" customFormat="1" x14ac:dyDescent="0.25">
      <c r="A1275" s="56"/>
      <c r="B1275" s="61"/>
      <c r="C1275" s="61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152"/>
    </row>
    <row r="1276" spans="1:16" s="28" customFormat="1" x14ac:dyDescent="0.25">
      <c r="A1276" s="56"/>
      <c r="B1276" s="61"/>
      <c r="C1276" s="61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152"/>
    </row>
    <row r="1277" spans="1:16" s="28" customFormat="1" x14ac:dyDescent="0.25">
      <c r="A1277" s="56"/>
      <c r="B1277" s="61"/>
      <c r="C1277" s="61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152"/>
    </row>
    <row r="1278" spans="1:16" s="28" customFormat="1" x14ac:dyDescent="0.25">
      <c r="A1278" s="56"/>
      <c r="B1278" s="61"/>
      <c r="C1278" s="61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152"/>
    </row>
    <row r="1279" spans="1:16" s="28" customFormat="1" x14ac:dyDescent="0.25">
      <c r="A1279" s="56"/>
      <c r="B1279" s="61"/>
      <c r="C1279" s="61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152"/>
    </row>
    <row r="1280" spans="1:16" s="28" customFormat="1" x14ac:dyDescent="0.25">
      <c r="A1280" s="56"/>
      <c r="B1280" s="61"/>
      <c r="C1280" s="61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152"/>
    </row>
    <row r="1281" spans="1:16" s="28" customFormat="1" x14ac:dyDescent="0.25">
      <c r="A1281" s="56"/>
      <c r="B1281" s="61"/>
      <c r="C1281" s="61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152"/>
    </row>
    <row r="1282" spans="1:16" s="28" customFormat="1" x14ac:dyDescent="0.25">
      <c r="A1282" s="56"/>
      <c r="B1282" s="61"/>
      <c r="C1282" s="61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152"/>
    </row>
    <row r="1283" spans="1:16" s="28" customFormat="1" x14ac:dyDescent="0.25">
      <c r="A1283" s="56"/>
      <c r="B1283" s="61"/>
      <c r="C1283" s="61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152"/>
    </row>
    <row r="1284" spans="1:16" s="28" customFormat="1" x14ac:dyDescent="0.25">
      <c r="A1284" s="56"/>
      <c r="B1284" s="61"/>
      <c r="C1284" s="61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152"/>
    </row>
    <row r="1285" spans="1:16" s="28" customFormat="1" x14ac:dyDescent="0.25">
      <c r="A1285" s="56"/>
      <c r="B1285" s="61"/>
      <c r="C1285" s="61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152"/>
    </row>
    <row r="1286" spans="1:16" s="28" customFormat="1" x14ac:dyDescent="0.25">
      <c r="A1286" s="56"/>
      <c r="B1286" s="61"/>
      <c r="C1286" s="61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152"/>
    </row>
    <row r="1287" spans="1:16" s="28" customFormat="1" x14ac:dyDescent="0.25">
      <c r="A1287" s="56"/>
      <c r="B1287" s="61"/>
      <c r="C1287" s="61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152"/>
    </row>
    <row r="1288" spans="1:16" s="28" customFormat="1" x14ac:dyDescent="0.25">
      <c r="A1288" s="56"/>
      <c r="B1288" s="61"/>
      <c r="C1288" s="61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152"/>
    </row>
    <row r="1289" spans="1:16" s="28" customFormat="1" x14ac:dyDescent="0.25">
      <c r="A1289" s="56"/>
      <c r="B1289" s="61"/>
      <c r="C1289" s="61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152"/>
    </row>
    <row r="1290" spans="1:16" s="28" customFormat="1" x14ac:dyDescent="0.25">
      <c r="A1290" s="56"/>
      <c r="B1290" s="61"/>
      <c r="C1290" s="61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152"/>
    </row>
    <row r="1291" spans="1:16" s="28" customFormat="1" x14ac:dyDescent="0.25">
      <c r="A1291" s="56"/>
      <c r="B1291" s="61"/>
      <c r="C1291" s="61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152"/>
    </row>
    <row r="1292" spans="1:16" s="28" customFormat="1" x14ac:dyDescent="0.25">
      <c r="A1292" s="56"/>
      <c r="B1292" s="61"/>
      <c r="C1292" s="61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152"/>
    </row>
    <row r="1293" spans="1:16" s="28" customFormat="1" x14ac:dyDescent="0.25">
      <c r="A1293" s="56"/>
      <c r="B1293" s="61"/>
      <c r="C1293" s="61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152"/>
    </row>
    <row r="1294" spans="1:16" s="28" customFormat="1" x14ac:dyDescent="0.25">
      <c r="A1294" s="56"/>
      <c r="B1294" s="61"/>
      <c r="C1294" s="61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152"/>
    </row>
    <row r="1295" spans="1:16" s="28" customFormat="1" x14ac:dyDescent="0.25">
      <c r="A1295" s="56"/>
      <c r="B1295" s="61"/>
      <c r="C1295" s="61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152"/>
    </row>
    <row r="1296" spans="1:16" s="28" customFormat="1" x14ac:dyDescent="0.25">
      <c r="A1296" s="56"/>
      <c r="B1296" s="61"/>
      <c r="C1296" s="61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152"/>
    </row>
    <row r="1297" spans="1:16" s="28" customFormat="1" x14ac:dyDescent="0.25">
      <c r="A1297" s="56"/>
      <c r="B1297" s="61"/>
      <c r="C1297" s="61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152"/>
    </row>
    <row r="1298" spans="1:16" s="28" customFormat="1" x14ac:dyDescent="0.25">
      <c r="A1298" s="56"/>
      <c r="B1298" s="61"/>
      <c r="C1298" s="61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152"/>
    </row>
    <row r="1299" spans="1:16" s="28" customFormat="1" x14ac:dyDescent="0.25">
      <c r="A1299" s="56"/>
      <c r="B1299" s="61"/>
      <c r="C1299" s="61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152"/>
    </row>
    <row r="1300" spans="1:16" s="28" customFormat="1" x14ac:dyDescent="0.25">
      <c r="A1300" s="56"/>
      <c r="B1300" s="61"/>
      <c r="C1300" s="61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152"/>
    </row>
    <row r="1301" spans="1:16" s="28" customFormat="1" x14ac:dyDescent="0.25">
      <c r="A1301" s="56"/>
      <c r="B1301" s="61"/>
      <c r="C1301" s="61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152"/>
    </row>
    <row r="1302" spans="1:16" s="28" customFormat="1" x14ac:dyDescent="0.25">
      <c r="A1302" s="56"/>
      <c r="B1302" s="61"/>
      <c r="C1302" s="61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152"/>
    </row>
    <row r="1303" spans="1:16" s="28" customFormat="1" x14ac:dyDescent="0.25">
      <c r="A1303" s="56"/>
      <c r="B1303" s="61"/>
      <c r="C1303" s="61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152"/>
    </row>
    <row r="1304" spans="1:16" s="28" customFormat="1" x14ac:dyDescent="0.25">
      <c r="A1304" s="56"/>
      <c r="B1304" s="61"/>
      <c r="C1304" s="61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152"/>
    </row>
    <row r="1305" spans="1:16" s="28" customFormat="1" x14ac:dyDescent="0.25">
      <c r="A1305" s="56"/>
      <c r="B1305" s="61"/>
      <c r="C1305" s="61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152"/>
    </row>
    <row r="1306" spans="1:16" s="28" customFormat="1" x14ac:dyDescent="0.25">
      <c r="A1306" s="56"/>
      <c r="B1306" s="61"/>
      <c r="C1306" s="61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152"/>
    </row>
    <row r="1307" spans="1:16" s="28" customFormat="1" x14ac:dyDescent="0.25">
      <c r="A1307" s="56"/>
      <c r="B1307" s="61"/>
      <c r="C1307" s="61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152"/>
    </row>
    <row r="1308" spans="1:16" s="28" customFormat="1" x14ac:dyDescent="0.25">
      <c r="A1308" s="56"/>
      <c r="B1308" s="61"/>
      <c r="C1308" s="61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152"/>
    </row>
    <row r="1309" spans="1:16" s="28" customFormat="1" x14ac:dyDescent="0.25">
      <c r="A1309" s="56"/>
      <c r="B1309" s="61"/>
      <c r="C1309" s="61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152"/>
    </row>
    <row r="1310" spans="1:16" s="28" customFormat="1" x14ac:dyDescent="0.25">
      <c r="A1310" s="56"/>
      <c r="B1310" s="61"/>
      <c r="C1310" s="61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152"/>
    </row>
    <row r="1311" spans="1:16" s="28" customFormat="1" x14ac:dyDescent="0.25">
      <c r="A1311" s="56"/>
      <c r="B1311" s="61"/>
      <c r="C1311" s="61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152"/>
    </row>
    <row r="1312" spans="1:16" s="28" customFormat="1" x14ac:dyDescent="0.25">
      <c r="A1312" s="56"/>
      <c r="B1312" s="61"/>
      <c r="C1312" s="61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152"/>
    </row>
    <row r="1313" spans="1:16" s="28" customFormat="1" x14ac:dyDescent="0.25">
      <c r="A1313" s="56"/>
      <c r="B1313" s="61"/>
      <c r="C1313" s="61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152"/>
    </row>
    <row r="1314" spans="1:16" s="28" customFormat="1" x14ac:dyDescent="0.25">
      <c r="A1314" s="56"/>
      <c r="B1314" s="61"/>
      <c r="C1314" s="61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152"/>
    </row>
    <row r="1315" spans="1:16" s="28" customFormat="1" x14ac:dyDescent="0.25">
      <c r="A1315" s="56"/>
      <c r="B1315" s="61"/>
      <c r="C1315" s="61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152"/>
    </row>
    <row r="1316" spans="1:16" s="28" customFormat="1" x14ac:dyDescent="0.25">
      <c r="A1316" s="56"/>
      <c r="B1316" s="61"/>
      <c r="C1316" s="61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152"/>
    </row>
    <row r="1317" spans="1:16" s="28" customFormat="1" x14ac:dyDescent="0.25">
      <c r="A1317" s="56"/>
      <c r="B1317" s="61"/>
      <c r="C1317" s="61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152"/>
    </row>
    <row r="1318" spans="1:16" s="28" customFormat="1" x14ac:dyDescent="0.25">
      <c r="A1318" s="56"/>
      <c r="B1318" s="61"/>
      <c r="C1318" s="61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152"/>
    </row>
    <row r="1319" spans="1:16" s="28" customFormat="1" x14ac:dyDescent="0.25">
      <c r="A1319" s="56"/>
      <c r="B1319" s="61"/>
      <c r="C1319" s="61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152"/>
    </row>
    <row r="1320" spans="1:16" s="28" customFormat="1" x14ac:dyDescent="0.25">
      <c r="A1320" s="56"/>
      <c r="B1320" s="61"/>
      <c r="C1320" s="61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152"/>
    </row>
    <row r="1321" spans="1:16" s="28" customFormat="1" x14ac:dyDescent="0.25">
      <c r="A1321" s="56"/>
      <c r="B1321" s="61"/>
      <c r="C1321" s="61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152"/>
    </row>
    <row r="1322" spans="1:16" s="28" customFormat="1" x14ac:dyDescent="0.25">
      <c r="A1322" s="56"/>
      <c r="B1322" s="61"/>
      <c r="C1322" s="61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152"/>
    </row>
    <row r="1323" spans="1:16" s="28" customFormat="1" x14ac:dyDescent="0.25">
      <c r="A1323" s="56"/>
      <c r="B1323" s="61"/>
      <c r="C1323" s="61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152"/>
    </row>
    <row r="1324" spans="1:16" s="28" customFormat="1" x14ac:dyDescent="0.25">
      <c r="A1324" s="56"/>
      <c r="B1324" s="61"/>
      <c r="C1324" s="61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152"/>
    </row>
    <row r="1325" spans="1:16" s="28" customFormat="1" x14ac:dyDescent="0.25">
      <c r="A1325" s="56"/>
      <c r="B1325" s="61"/>
      <c r="C1325" s="61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152"/>
    </row>
    <row r="1326" spans="1:16" s="28" customFormat="1" x14ac:dyDescent="0.25">
      <c r="A1326" s="56"/>
      <c r="B1326" s="61"/>
      <c r="C1326" s="61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152"/>
    </row>
    <row r="1327" spans="1:16" s="28" customFormat="1" x14ac:dyDescent="0.25">
      <c r="A1327" s="56"/>
      <c r="B1327" s="61"/>
      <c r="C1327" s="61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152"/>
    </row>
    <row r="1328" spans="1:16" s="28" customFormat="1" x14ac:dyDescent="0.25">
      <c r="A1328" s="56"/>
      <c r="B1328" s="61"/>
      <c r="C1328" s="61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152"/>
    </row>
    <row r="1329" spans="1:16" s="28" customFormat="1" x14ac:dyDescent="0.25">
      <c r="A1329" s="56"/>
      <c r="B1329" s="61"/>
      <c r="C1329" s="61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152"/>
    </row>
    <row r="1330" spans="1:16" s="28" customFormat="1" x14ac:dyDescent="0.25">
      <c r="A1330" s="56"/>
      <c r="B1330" s="61"/>
      <c r="C1330" s="61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152"/>
    </row>
    <row r="1331" spans="1:16" s="28" customFormat="1" x14ac:dyDescent="0.25">
      <c r="A1331" s="56"/>
      <c r="B1331" s="61"/>
      <c r="C1331" s="61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152"/>
    </row>
    <row r="1332" spans="1:16" s="28" customFormat="1" x14ac:dyDescent="0.25">
      <c r="A1332" s="56"/>
      <c r="B1332" s="61"/>
      <c r="C1332" s="61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152"/>
    </row>
    <row r="1333" spans="1:16" s="28" customFormat="1" x14ac:dyDescent="0.25">
      <c r="A1333" s="56"/>
      <c r="B1333" s="61"/>
      <c r="C1333" s="61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152"/>
    </row>
    <row r="1334" spans="1:16" s="28" customFormat="1" x14ac:dyDescent="0.25">
      <c r="A1334" s="56"/>
      <c r="B1334" s="61"/>
      <c r="C1334" s="61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152"/>
    </row>
    <row r="1335" spans="1:16" s="28" customFormat="1" x14ac:dyDescent="0.25">
      <c r="A1335" s="56"/>
      <c r="B1335" s="61"/>
      <c r="C1335" s="61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152"/>
    </row>
    <row r="1336" spans="1:16" s="28" customFormat="1" x14ac:dyDescent="0.25">
      <c r="A1336" s="56"/>
      <c r="B1336" s="61"/>
      <c r="C1336" s="61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152"/>
    </row>
    <row r="1337" spans="1:16" s="28" customFormat="1" x14ac:dyDescent="0.25">
      <c r="A1337" s="56"/>
      <c r="B1337" s="61"/>
      <c r="C1337" s="61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152"/>
    </row>
    <row r="1338" spans="1:16" s="28" customFormat="1" x14ac:dyDescent="0.25">
      <c r="A1338" s="56"/>
      <c r="B1338" s="61"/>
      <c r="C1338" s="61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152"/>
    </row>
    <row r="1339" spans="1:16" s="28" customFormat="1" x14ac:dyDescent="0.25">
      <c r="A1339" s="56"/>
      <c r="B1339" s="61"/>
      <c r="C1339" s="61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152"/>
    </row>
    <row r="1340" spans="1:16" s="28" customFormat="1" x14ac:dyDescent="0.25">
      <c r="A1340" s="56"/>
      <c r="B1340" s="61"/>
      <c r="C1340" s="61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152"/>
    </row>
    <row r="1341" spans="1:16" s="28" customFormat="1" x14ac:dyDescent="0.25">
      <c r="A1341" s="56"/>
      <c r="B1341" s="61"/>
      <c r="C1341" s="61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152"/>
    </row>
    <row r="1342" spans="1:16" s="28" customFormat="1" x14ac:dyDescent="0.25">
      <c r="A1342" s="56"/>
      <c r="B1342" s="61"/>
      <c r="C1342" s="61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152"/>
    </row>
    <row r="1343" spans="1:16" s="28" customFormat="1" x14ac:dyDescent="0.25">
      <c r="A1343" s="56"/>
      <c r="B1343" s="61"/>
      <c r="C1343" s="61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152"/>
    </row>
    <row r="1344" spans="1:16" s="28" customFormat="1" x14ac:dyDescent="0.25">
      <c r="A1344" s="56"/>
      <c r="B1344" s="61"/>
      <c r="C1344" s="61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152"/>
    </row>
    <row r="1345" spans="1:16" s="28" customFormat="1" x14ac:dyDescent="0.25">
      <c r="A1345" s="56"/>
      <c r="B1345" s="61"/>
      <c r="C1345" s="61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152"/>
    </row>
    <row r="1346" spans="1:16" s="28" customFormat="1" x14ac:dyDescent="0.25">
      <c r="A1346" s="56"/>
      <c r="B1346" s="61"/>
      <c r="C1346" s="61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152"/>
    </row>
    <row r="1347" spans="1:16" s="28" customFormat="1" x14ac:dyDescent="0.25">
      <c r="A1347" s="56"/>
      <c r="B1347" s="61"/>
      <c r="C1347" s="61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152"/>
    </row>
    <row r="1348" spans="1:16" s="28" customFormat="1" x14ac:dyDescent="0.25">
      <c r="A1348" s="56"/>
      <c r="B1348" s="61"/>
      <c r="C1348" s="61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152"/>
    </row>
    <row r="1349" spans="1:16" s="28" customFormat="1" x14ac:dyDescent="0.25">
      <c r="A1349" s="56"/>
      <c r="B1349" s="61"/>
      <c r="C1349" s="61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152"/>
    </row>
    <row r="1350" spans="1:16" s="28" customFormat="1" x14ac:dyDescent="0.25">
      <c r="A1350" s="56"/>
      <c r="B1350" s="61"/>
      <c r="C1350" s="61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152"/>
    </row>
    <row r="1351" spans="1:16" s="28" customFormat="1" x14ac:dyDescent="0.25">
      <c r="A1351" s="56"/>
      <c r="B1351" s="61"/>
      <c r="C1351" s="61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152"/>
    </row>
    <row r="1352" spans="1:16" s="28" customFormat="1" x14ac:dyDescent="0.25">
      <c r="A1352" s="56"/>
      <c r="B1352" s="61"/>
      <c r="C1352" s="61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152"/>
    </row>
    <row r="1353" spans="1:16" s="28" customFormat="1" x14ac:dyDescent="0.25">
      <c r="A1353" s="56"/>
      <c r="B1353" s="61"/>
      <c r="C1353" s="61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152"/>
    </row>
    <row r="1354" spans="1:16" s="28" customFormat="1" x14ac:dyDescent="0.25">
      <c r="A1354" s="56"/>
      <c r="B1354" s="61"/>
      <c r="C1354" s="61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152"/>
    </row>
    <row r="1355" spans="1:16" s="28" customFormat="1" x14ac:dyDescent="0.25">
      <c r="A1355" s="56"/>
      <c r="B1355" s="61"/>
      <c r="C1355" s="61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152"/>
    </row>
    <row r="1356" spans="1:16" s="28" customFormat="1" x14ac:dyDescent="0.25">
      <c r="A1356" s="56"/>
      <c r="B1356" s="61"/>
      <c r="C1356" s="61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152"/>
    </row>
    <row r="1357" spans="1:16" s="28" customFormat="1" x14ac:dyDescent="0.25">
      <c r="A1357" s="56"/>
      <c r="B1357" s="61"/>
      <c r="C1357" s="61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152"/>
    </row>
    <row r="1358" spans="1:16" s="28" customFormat="1" x14ac:dyDescent="0.25">
      <c r="A1358" s="56"/>
      <c r="B1358" s="61"/>
      <c r="C1358" s="61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152"/>
    </row>
    <row r="1359" spans="1:16" s="28" customFormat="1" x14ac:dyDescent="0.25">
      <c r="A1359" s="56"/>
      <c r="B1359" s="61"/>
      <c r="C1359" s="61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152"/>
    </row>
    <row r="1360" spans="1:16" s="28" customFormat="1" x14ac:dyDescent="0.25">
      <c r="A1360" s="56"/>
      <c r="B1360" s="61"/>
      <c r="C1360" s="61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152"/>
    </row>
    <row r="1361" spans="1:16" s="28" customFormat="1" x14ac:dyDescent="0.25">
      <c r="A1361" s="56"/>
      <c r="B1361" s="61"/>
      <c r="C1361" s="61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152"/>
    </row>
    <row r="1362" spans="1:16" s="28" customFormat="1" x14ac:dyDescent="0.25">
      <c r="A1362" s="56"/>
      <c r="B1362" s="61"/>
      <c r="C1362" s="61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152"/>
    </row>
    <row r="1363" spans="1:16" s="28" customFormat="1" x14ac:dyDescent="0.25">
      <c r="A1363" s="56"/>
      <c r="B1363" s="61"/>
      <c r="C1363" s="61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152"/>
    </row>
    <row r="1364" spans="1:16" s="28" customFormat="1" x14ac:dyDescent="0.25">
      <c r="A1364" s="56"/>
      <c r="B1364" s="61"/>
      <c r="C1364" s="61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152"/>
    </row>
    <row r="1365" spans="1:16" s="28" customFormat="1" x14ac:dyDescent="0.25">
      <c r="A1365" s="56"/>
      <c r="B1365" s="61"/>
      <c r="C1365" s="61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152"/>
    </row>
    <row r="1366" spans="1:16" s="28" customFormat="1" x14ac:dyDescent="0.25">
      <c r="A1366" s="56"/>
      <c r="B1366" s="61"/>
      <c r="C1366" s="61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152"/>
    </row>
    <row r="1367" spans="1:16" s="28" customFormat="1" x14ac:dyDescent="0.25">
      <c r="A1367" s="56"/>
      <c r="B1367" s="61"/>
      <c r="C1367" s="61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152"/>
    </row>
    <row r="1368" spans="1:16" s="28" customFormat="1" x14ac:dyDescent="0.25">
      <c r="A1368" s="56"/>
      <c r="B1368" s="61"/>
      <c r="C1368" s="61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152"/>
    </row>
    <row r="1369" spans="1:16" s="28" customFormat="1" x14ac:dyDescent="0.25">
      <c r="A1369" s="56"/>
      <c r="B1369" s="61"/>
      <c r="C1369" s="61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152"/>
    </row>
    <row r="1370" spans="1:16" s="28" customFormat="1" x14ac:dyDescent="0.25">
      <c r="A1370" s="56"/>
      <c r="B1370" s="61"/>
      <c r="C1370" s="61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152"/>
    </row>
    <row r="1371" spans="1:16" s="28" customFormat="1" x14ac:dyDescent="0.25">
      <c r="A1371" s="56"/>
      <c r="B1371" s="61"/>
      <c r="C1371" s="61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152"/>
    </row>
    <row r="1372" spans="1:16" s="28" customFormat="1" x14ac:dyDescent="0.25">
      <c r="A1372" s="56"/>
      <c r="B1372" s="61"/>
      <c r="C1372" s="61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152"/>
    </row>
    <row r="1373" spans="1:16" s="28" customFormat="1" x14ac:dyDescent="0.25">
      <c r="A1373" s="56"/>
      <c r="B1373" s="61"/>
      <c r="C1373" s="61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152"/>
    </row>
    <row r="1374" spans="1:16" s="28" customFormat="1" x14ac:dyDescent="0.25">
      <c r="A1374" s="56"/>
      <c r="B1374" s="61"/>
      <c r="C1374" s="61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152"/>
    </row>
    <row r="1375" spans="1:16" s="28" customFormat="1" x14ac:dyDescent="0.25">
      <c r="A1375" s="56"/>
      <c r="B1375" s="61"/>
      <c r="C1375" s="61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152"/>
    </row>
    <row r="1376" spans="1:16" s="28" customFormat="1" x14ac:dyDescent="0.25">
      <c r="A1376" s="56"/>
      <c r="B1376" s="61"/>
      <c r="C1376" s="61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152"/>
    </row>
    <row r="1377" spans="1:16" s="28" customFormat="1" x14ac:dyDescent="0.25">
      <c r="A1377" s="56"/>
      <c r="B1377" s="61"/>
      <c r="C1377" s="61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152"/>
    </row>
    <row r="1378" spans="1:16" s="28" customFormat="1" x14ac:dyDescent="0.25">
      <c r="A1378" s="56"/>
      <c r="B1378" s="61"/>
      <c r="C1378" s="61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152"/>
    </row>
    <row r="1379" spans="1:16" s="28" customFormat="1" x14ac:dyDescent="0.25">
      <c r="A1379" s="56"/>
      <c r="B1379" s="61"/>
      <c r="C1379" s="61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152"/>
    </row>
    <row r="1380" spans="1:16" s="28" customFormat="1" x14ac:dyDescent="0.25">
      <c r="A1380" s="56"/>
      <c r="B1380" s="61"/>
      <c r="C1380" s="61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152"/>
    </row>
    <row r="1381" spans="1:16" s="28" customFormat="1" x14ac:dyDescent="0.25">
      <c r="A1381" s="56"/>
      <c r="B1381" s="61"/>
      <c r="C1381" s="61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152"/>
    </row>
    <row r="1382" spans="1:16" s="28" customFormat="1" x14ac:dyDescent="0.25">
      <c r="A1382" s="56"/>
      <c r="B1382" s="61"/>
      <c r="C1382" s="61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152"/>
    </row>
    <row r="1383" spans="1:16" s="28" customFormat="1" x14ac:dyDescent="0.25">
      <c r="A1383" s="56"/>
      <c r="B1383" s="61"/>
      <c r="C1383" s="61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152"/>
    </row>
    <row r="1384" spans="1:16" s="28" customFormat="1" x14ac:dyDescent="0.25">
      <c r="A1384" s="56"/>
      <c r="B1384" s="61"/>
      <c r="C1384" s="61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152"/>
    </row>
    <row r="1385" spans="1:16" s="28" customFormat="1" x14ac:dyDescent="0.25">
      <c r="A1385" s="56"/>
      <c r="B1385" s="61"/>
      <c r="C1385" s="61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152"/>
    </row>
    <row r="1386" spans="1:16" s="28" customFormat="1" x14ac:dyDescent="0.25">
      <c r="A1386" s="56"/>
      <c r="B1386" s="61"/>
      <c r="C1386" s="61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152"/>
    </row>
    <row r="1387" spans="1:16" s="28" customFormat="1" x14ac:dyDescent="0.25">
      <c r="A1387" s="56"/>
      <c r="B1387" s="61"/>
      <c r="C1387" s="61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152"/>
    </row>
    <row r="1388" spans="1:16" s="28" customFormat="1" x14ac:dyDescent="0.25">
      <c r="A1388" s="56"/>
      <c r="B1388" s="61"/>
      <c r="C1388" s="61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152"/>
    </row>
    <row r="1389" spans="1:16" s="28" customFormat="1" x14ac:dyDescent="0.25">
      <c r="A1389" s="56"/>
      <c r="B1389" s="61"/>
      <c r="C1389" s="61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152"/>
    </row>
    <row r="1390" spans="1:16" s="28" customFormat="1" x14ac:dyDescent="0.25">
      <c r="A1390" s="56"/>
      <c r="B1390" s="61"/>
      <c r="C1390" s="61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152"/>
    </row>
    <row r="1391" spans="1:16" s="28" customFormat="1" x14ac:dyDescent="0.25">
      <c r="A1391" s="56"/>
      <c r="B1391" s="61"/>
      <c r="C1391" s="61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152"/>
    </row>
    <row r="1392" spans="1:16" s="28" customFormat="1" x14ac:dyDescent="0.25">
      <c r="A1392" s="56"/>
      <c r="B1392" s="61"/>
      <c r="C1392" s="61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152"/>
    </row>
    <row r="1393" spans="1:16" s="28" customFormat="1" x14ac:dyDescent="0.25">
      <c r="A1393" s="56"/>
      <c r="B1393" s="61"/>
      <c r="C1393" s="61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152"/>
    </row>
    <row r="1394" spans="1:16" s="28" customFormat="1" x14ac:dyDescent="0.25">
      <c r="A1394" s="56"/>
      <c r="B1394" s="61"/>
      <c r="C1394" s="61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152"/>
    </row>
    <row r="1395" spans="1:16" s="28" customFormat="1" x14ac:dyDescent="0.25">
      <c r="A1395" s="56"/>
      <c r="B1395" s="61"/>
      <c r="C1395" s="61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152"/>
    </row>
    <row r="1396" spans="1:16" s="28" customFormat="1" x14ac:dyDescent="0.25">
      <c r="A1396" s="56"/>
      <c r="B1396" s="61"/>
      <c r="C1396" s="61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152"/>
    </row>
    <row r="1397" spans="1:16" s="28" customFormat="1" x14ac:dyDescent="0.25">
      <c r="A1397" s="56"/>
      <c r="B1397" s="61"/>
      <c r="C1397" s="61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152"/>
    </row>
    <row r="1398" spans="1:16" s="28" customFormat="1" x14ac:dyDescent="0.25">
      <c r="A1398" s="56"/>
      <c r="B1398" s="61"/>
      <c r="C1398" s="61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152"/>
    </row>
    <row r="1399" spans="1:16" s="28" customFormat="1" x14ac:dyDescent="0.25">
      <c r="A1399" s="56"/>
      <c r="B1399" s="61"/>
      <c r="C1399" s="61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152"/>
    </row>
    <row r="1400" spans="1:16" s="28" customFormat="1" x14ac:dyDescent="0.25">
      <c r="A1400" s="56"/>
      <c r="B1400" s="61"/>
      <c r="C1400" s="61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152"/>
    </row>
    <row r="1401" spans="1:16" s="28" customFormat="1" x14ac:dyDescent="0.25">
      <c r="A1401" s="56"/>
      <c r="B1401" s="61"/>
      <c r="C1401" s="61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152"/>
    </row>
    <row r="1402" spans="1:16" s="28" customFormat="1" x14ac:dyDescent="0.25">
      <c r="A1402" s="56"/>
      <c r="B1402" s="61"/>
      <c r="C1402" s="61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152"/>
    </row>
    <row r="1403" spans="1:16" s="28" customFormat="1" x14ac:dyDescent="0.25">
      <c r="A1403" s="56"/>
      <c r="B1403" s="61"/>
      <c r="C1403" s="61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152"/>
    </row>
    <row r="1404" spans="1:16" s="28" customFormat="1" x14ac:dyDescent="0.25">
      <c r="A1404" s="56"/>
      <c r="B1404" s="61"/>
      <c r="C1404" s="61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152"/>
    </row>
    <row r="1405" spans="1:16" s="28" customFormat="1" x14ac:dyDescent="0.25">
      <c r="A1405" s="56"/>
      <c r="B1405" s="61"/>
      <c r="C1405" s="61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152"/>
    </row>
    <row r="1406" spans="1:16" s="28" customFormat="1" x14ac:dyDescent="0.25">
      <c r="A1406" s="56"/>
      <c r="B1406" s="61"/>
      <c r="C1406" s="61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152"/>
    </row>
    <row r="1407" spans="1:16" s="28" customFormat="1" x14ac:dyDescent="0.25">
      <c r="A1407" s="56"/>
      <c r="B1407" s="61"/>
      <c r="C1407" s="61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152"/>
    </row>
    <row r="1408" spans="1:16" s="28" customFormat="1" x14ac:dyDescent="0.25">
      <c r="A1408" s="56"/>
      <c r="B1408" s="61"/>
      <c r="C1408" s="61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152"/>
    </row>
    <row r="1409" spans="1:16" s="28" customFormat="1" x14ac:dyDescent="0.25">
      <c r="A1409" s="56"/>
      <c r="B1409" s="61"/>
      <c r="C1409" s="61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152"/>
    </row>
    <row r="1410" spans="1:16" s="28" customFormat="1" x14ac:dyDescent="0.25">
      <c r="A1410" s="56"/>
      <c r="B1410" s="61"/>
      <c r="C1410" s="61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152"/>
    </row>
    <row r="1411" spans="1:16" s="28" customFormat="1" x14ac:dyDescent="0.25">
      <c r="A1411" s="56"/>
      <c r="B1411" s="61"/>
      <c r="C1411" s="61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152"/>
    </row>
    <row r="1412" spans="1:16" s="28" customFormat="1" x14ac:dyDescent="0.25">
      <c r="A1412" s="56"/>
      <c r="B1412" s="61"/>
      <c r="C1412" s="61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152"/>
    </row>
    <row r="1413" spans="1:16" s="28" customFormat="1" x14ac:dyDescent="0.25">
      <c r="A1413" s="56"/>
      <c r="B1413" s="61"/>
      <c r="C1413" s="61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152"/>
    </row>
    <row r="1414" spans="1:16" s="28" customFormat="1" x14ac:dyDescent="0.25">
      <c r="A1414" s="56"/>
      <c r="B1414" s="61"/>
      <c r="C1414" s="61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152"/>
    </row>
    <row r="1415" spans="1:16" s="28" customFormat="1" x14ac:dyDescent="0.25">
      <c r="A1415" s="56"/>
      <c r="B1415" s="61"/>
      <c r="C1415" s="61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152"/>
    </row>
    <row r="1416" spans="1:16" s="28" customFormat="1" x14ac:dyDescent="0.25">
      <c r="A1416" s="56"/>
      <c r="B1416" s="61"/>
      <c r="C1416" s="61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152"/>
    </row>
    <row r="1417" spans="1:16" s="28" customFormat="1" x14ac:dyDescent="0.25">
      <c r="A1417" s="56"/>
      <c r="B1417" s="61"/>
      <c r="C1417" s="61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152"/>
    </row>
    <row r="1418" spans="1:16" s="28" customFormat="1" x14ac:dyDescent="0.25">
      <c r="A1418" s="56"/>
      <c r="B1418" s="61"/>
      <c r="C1418" s="61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152"/>
    </row>
    <row r="1419" spans="1:16" s="28" customFormat="1" x14ac:dyDescent="0.25">
      <c r="A1419" s="56"/>
      <c r="B1419" s="61"/>
      <c r="C1419" s="61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152"/>
    </row>
    <row r="1420" spans="1:16" s="28" customFormat="1" x14ac:dyDescent="0.25">
      <c r="A1420" s="56"/>
      <c r="B1420" s="61"/>
      <c r="C1420" s="61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152"/>
    </row>
    <row r="1421" spans="1:16" s="28" customFormat="1" x14ac:dyDescent="0.25">
      <c r="A1421" s="56"/>
      <c r="B1421" s="61"/>
      <c r="C1421" s="61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152"/>
    </row>
    <row r="1422" spans="1:16" s="28" customFormat="1" x14ac:dyDescent="0.25">
      <c r="A1422" s="56"/>
      <c r="B1422" s="61"/>
      <c r="C1422" s="61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152"/>
    </row>
    <row r="1423" spans="1:16" s="28" customFormat="1" x14ac:dyDescent="0.25">
      <c r="A1423" s="56"/>
      <c r="B1423" s="61"/>
      <c r="C1423" s="61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152"/>
    </row>
    <row r="1424" spans="1:16" s="28" customFormat="1" x14ac:dyDescent="0.25">
      <c r="A1424" s="56"/>
      <c r="B1424" s="61"/>
      <c r="C1424" s="61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152"/>
    </row>
    <row r="1425" spans="1:16" s="28" customFormat="1" x14ac:dyDescent="0.25">
      <c r="A1425" s="56"/>
      <c r="B1425" s="61"/>
      <c r="C1425" s="61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152"/>
    </row>
    <row r="1426" spans="1:16" s="28" customFormat="1" x14ac:dyDescent="0.25">
      <c r="A1426" s="56"/>
      <c r="B1426" s="61"/>
      <c r="C1426" s="61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152"/>
    </row>
    <row r="1427" spans="1:16" s="28" customFormat="1" x14ac:dyDescent="0.25">
      <c r="A1427" s="56"/>
      <c r="B1427" s="61"/>
      <c r="C1427" s="61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152"/>
    </row>
    <row r="1428" spans="1:16" s="28" customFormat="1" x14ac:dyDescent="0.25">
      <c r="A1428" s="56"/>
      <c r="B1428" s="61"/>
      <c r="C1428" s="61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152"/>
    </row>
    <row r="1429" spans="1:16" s="28" customFormat="1" x14ac:dyDescent="0.25">
      <c r="A1429" s="56"/>
      <c r="B1429" s="61"/>
      <c r="C1429" s="61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152"/>
    </row>
    <row r="1430" spans="1:16" s="28" customFormat="1" x14ac:dyDescent="0.25">
      <c r="A1430" s="56"/>
      <c r="B1430" s="61"/>
      <c r="C1430" s="61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152"/>
    </row>
    <row r="1431" spans="1:16" s="28" customFormat="1" x14ac:dyDescent="0.25">
      <c r="A1431" s="56"/>
      <c r="B1431" s="61"/>
      <c r="C1431" s="61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152"/>
    </row>
    <row r="1432" spans="1:16" s="28" customFormat="1" x14ac:dyDescent="0.25">
      <c r="A1432" s="56"/>
      <c r="B1432" s="61"/>
      <c r="C1432" s="61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152"/>
    </row>
    <row r="1433" spans="1:16" s="28" customFormat="1" x14ac:dyDescent="0.25">
      <c r="A1433" s="56"/>
      <c r="B1433" s="61"/>
      <c r="C1433" s="61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152"/>
    </row>
    <row r="1434" spans="1:16" s="28" customFormat="1" x14ac:dyDescent="0.25">
      <c r="A1434" s="56"/>
      <c r="B1434" s="61"/>
      <c r="C1434" s="61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152"/>
    </row>
    <row r="1435" spans="1:16" s="28" customFormat="1" x14ac:dyDescent="0.25">
      <c r="A1435" s="56"/>
      <c r="B1435" s="61"/>
      <c r="C1435" s="61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152"/>
    </row>
    <row r="1436" spans="1:16" s="28" customFormat="1" x14ac:dyDescent="0.25">
      <c r="A1436" s="56"/>
      <c r="B1436" s="61"/>
      <c r="C1436" s="61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152"/>
    </row>
    <row r="1437" spans="1:16" s="28" customFormat="1" x14ac:dyDescent="0.25">
      <c r="A1437" s="56"/>
      <c r="B1437" s="61"/>
      <c r="C1437" s="61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152"/>
    </row>
    <row r="1438" spans="1:16" s="28" customFormat="1" x14ac:dyDescent="0.25">
      <c r="A1438" s="56"/>
      <c r="B1438" s="61"/>
      <c r="C1438" s="61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152"/>
    </row>
    <row r="1439" spans="1:16" s="28" customFormat="1" x14ac:dyDescent="0.25">
      <c r="A1439" s="56"/>
      <c r="B1439" s="61"/>
      <c r="C1439" s="61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152"/>
    </row>
    <row r="1440" spans="1:16" s="28" customFormat="1" x14ac:dyDescent="0.25">
      <c r="A1440" s="56"/>
      <c r="B1440" s="61"/>
      <c r="C1440" s="61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152"/>
    </row>
    <row r="1441" spans="1:16" s="28" customFormat="1" x14ac:dyDescent="0.25">
      <c r="A1441" s="56"/>
      <c r="B1441" s="61"/>
      <c r="C1441" s="61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152"/>
    </row>
    <row r="1442" spans="1:16" s="28" customFormat="1" x14ac:dyDescent="0.25">
      <c r="A1442" s="56"/>
      <c r="B1442" s="61"/>
      <c r="C1442" s="61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152"/>
    </row>
    <row r="1443" spans="1:16" s="28" customFormat="1" x14ac:dyDescent="0.25">
      <c r="A1443" s="56"/>
      <c r="B1443" s="61"/>
      <c r="C1443" s="61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152"/>
    </row>
    <row r="1444" spans="1:16" s="28" customFormat="1" x14ac:dyDescent="0.25">
      <c r="A1444" s="56"/>
      <c r="B1444" s="61"/>
      <c r="C1444" s="61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152"/>
    </row>
    <row r="1445" spans="1:16" s="28" customFormat="1" x14ac:dyDescent="0.25">
      <c r="A1445" s="56"/>
      <c r="B1445" s="61"/>
      <c r="C1445" s="61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152"/>
    </row>
    <row r="1446" spans="1:16" s="28" customFormat="1" x14ac:dyDescent="0.25">
      <c r="A1446" s="56"/>
      <c r="B1446" s="61"/>
      <c r="C1446" s="61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152"/>
    </row>
    <row r="1447" spans="1:16" s="28" customFormat="1" x14ac:dyDescent="0.25">
      <c r="A1447" s="56"/>
      <c r="B1447" s="61"/>
      <c r="C1447" s="61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152"/>
    </row>
    <row r="1448" spans="1:16" s="28" customFormat="1" x14ac:dyDescent="0.25">
      <c r="A1448" s="56"/>
      <c r="B1448" s="61"/>
      <c r="C1448" s="61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152"/>
    </row>
    <row r="1449" spans="1:16" s="28" customFormat="1" x14ac:dyDescent="0.25">
      <c r="A1449" s="56"/>
      <c r="B1449" s="61"/>
      <c r="C1449" s="61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152"/>
    </row>
    <row r="1450" spans="1:16" s="28" customFormat="1" x14ac:dyDescent="0.25">
      <c r="A1450" s="56"/>
      <c r="B1450" s="61"/>
      <c r="C1450" s="61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152"/>
    </row>
    <row r="1451" spans="1:16" s="28" customFormat="1" x14ac:dyDescent="0.25">
      <c r="A1451" s="56"/>
      <c r="B1451" s="61"/>
      <c r="C1451" s="61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152"/>
    </row>
    <row r="1452" spans="1:16" s="28" customFormat="1" x14ac:dyDescent="0.25">
      <c r="A1452" s="56"/>
      <c r="B1452" s="61"/>
      <c r="C1452" s="61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152"/>
    </row>
    <row r="1453" spans="1:16" s="28" customFormat="1" x14ac:dyDescent="0.25">
      <c r="A1453" s="56"/>
      <c r="B1453" s="61"/>
      <c r="C1453" s="61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152"/>
    </row>
    <row r="1454" spans="1:16" s="28" customFormat="1" x14ac:dyDescent="0.25">
      <c r="A1454" s="56"/>
      <c r="B1454" s="61"/>
      <c r="C1454" s="61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152"/>
    </row>
    <row r="1455" spans="1:16" s="28" customFormat="1" x14ac:dyDescent="0.25">
      <c r="A1455" s="56"/>
      <c r="B1455" s="61"/>
      <c r="C1455" s="61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152"/>
    </row>
    <row r="1456" spans="1:16" s="28" customFormat="1" x14ac:dyDescent="0.25">
      <c r="A1456" s="56"/>
      <c r="B1456" s="61"/>
      <c r="C1456" s="61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152"/>
    </row>
    <row r="1457" spans="1:16" s="28" customFormat="1" x14ac:dyDescent="0.25">
      <c r="A1457" s="56"/>
      <c r="B1457" s="61"/>
      <c r="C1457" s="61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152"/>
    </row>
    <row r="1458" spans="1:16" s="28" customFormat="1" x14ac:dyDescent="0.25">
      <c r="A1458" s="56"/>
      <c r="B1458" s="61"/>
      <c r="C1458" s="61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152"/>
    </row>
    <row r="1459" spans="1:16" s="28" customFormat="1" x14ac:dyDescent="0.25">
      <c r="A1459" s="56"/>
      <c r="B1459" s="61"/>
      <c r="C1459" s="61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152"/>
    </row>
    <row r="1460" spans="1:16" s="28" customFormat="1" x14ac:dyDescent="0.25">
      <c r="A1460" s="56"/>
      <c r="B1460" s="61"/>
      <c r="C1460" s="61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152"/>
    </row>
    <row r="1461" spans="1:16" s="28" customFormat="1" x14ac:dyDescent="0.25">
      <c r="A1461" s="56"/>
      <c r="B1461" s="61"/>
      <c r="C1461" s="61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152"/>
    </row>
    <row r="1462" spans="1:16" s="28" customFormat="1" x14ac:dyDescent="0.25">
      <c r="A1462" s="56"/>
      <c r="B1462" s="61"/>
      <c r="C1462" s="61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152"/>
    </row>
    <row r="1463" spans="1:16" s="28" customFormat="1" x14ac:dyDescent="0.25">
      <c r="A1463" s="56"/>
      <c r="B1463" s="61"/>
      <c r="C1463" s="61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152"/>
    </row>
    <row r="1464" spans="1:16" s="28" customFormat="1" x14ac:dyDescent="0.25">
      <c r="A1464" s="56"/>
      <c r="B1464" s="61"/>
      <c r="C1464" s="61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152"/>
    </row>
    <row r="1465" spans="1:16" s="28" customFormat="1" x14ac:dyDescent="0.25">
      <c r="A1465" s="56"/>
      <c r="B1465" s="61"/>
      <c r="C1465" s="61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152"/>
    </row>
    <row r="1466" spans="1:16" s="28" customFormat="1" x14ac:dyDescent="0.25">
      <c r="A1466" s="56"/>
      <c r="B1466" s="61"/>
      <c r="C1466" s="61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152"/>
    </row>
    <row r="1467" spans="1:16" s="28" customFormat="1" x14ac:dyDescent="0.25">
      <c r="A1467" s="56"/>
      <c r="B1467" s="61"/>
      <c r="C1467" s="61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152"/>
    </row>
    <row r="1468" spans="1:16" s="28" customFormat="1" x14ac:dyDescent="0.25">
      <c r="A1468" s="56"/>
      <c r="B1468" s="61"/>
      <c r="C1468" s="61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152"/>
    </row>
    <row r="1469" spans="1:16" s="28" customFormat="1" x14ac:dyDescent="0.25">
      <c r="A1469" s="56"/>
      <c r="B1469" s="61"/>
      <c r="C1469" s="61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152"/>
    </row>
    <row r="1470" spans="1:16" s="28" customFormat="1" x14ac:dyDescent="0.25">
      <c r="A1470" s="56"/>
      <c r="B1470" s="61"/>
      <c r="C1470" s="61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152"/>
    </row>
    <row r="1471" spans="1:16" s="28" customFormat="1" x14ac:dyDescent="0.25">
      <c r="A1471" s="56"/>
      <c r="B1471" s="61"/>
      <c r="C1471" s="61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152"/>
    </row>
    <row r="1472" spans="1:16" s="28" customFormat="1" x14ac:dyDescent="0.25">
      <c r="A1472" s="56"/>
      <c r="B1472" s="61"/>
      <c r="C1472" s="61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152"/>
    </row>
    <row r="1473" spans="1:16" s="28" customFormat="1" x14ac:dyDescent="0.25">
      <c r="A1473" s="56"/>
      <c r="B1473" s="61"/>
      <c r="C1473" s="61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152"/>
    </row>
    <row r="1474" spans="1:16" s="28" customFormat="1" x14ac:dyDescent="0.25">
      <c r="A1474" s="56"/>
      <c r="B1474" s="61"/>
      <c r="C1474" s="61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152"/>
    </row>
    <row r="1475" spans="1:16" s="28" customFormat="1" x14ac:dyDescent="0.25">
      <c r="A1475" s="56"/>
      <c r="B1475" s="61"/>
      <c r="C1475" s="61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152"/>
    </row>
    <row r="1476" spans="1:16" s="28" customFormat="1" x14ac:dyDescent="0.25">
      <c r="A1476" s="56"/>
      <c r="B1476" s="61"/>
      <c r="C1476" s="61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152"/>
    </row>
    <row r="1477" spans="1:16" s="28" customFormat="1" x14ac:dyDescent="0.25">
      <c r="A1477" s="56"/>
      <c r="B1477" s="61"/>
      <c r="C1477" s="61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152"/>
    </row>
    <row r="1478" spans="1:16" s="28" customFormat="1" x14ac:dyDescent="0.25">
      <c r="A1478" s="56"/>
      <c r="B1478" s="61"/>
      <c r="C1478" s="61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152"/>
    </row>
    <row r="1479" spans="1:16" s="28" customFormat="1" x14ac:dyDescent="0.25">
      <c r="A1479" s="56"/>
      <c r="B1479" s="61"/>
      <c r="C1479" s="61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152"/>
    </row>
    <row r="1480" spans="1:16" s="28" customFormat="1" x14ac:dyDescent="0.25">
      <c r="A1480" s="56"/>
      <c r="B1480" s="61"/>
      <c r="C1480" s="61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152"/>
    </row>
    <row r="1481" spans="1:16" s="28" customFormat="1" x14ac:dyDescent="0.25">
      <c r="A1481" s="56"/>
      <c r="B1481" s="61"/>
      <c r="C1481" s="61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152"/>
    </row>
    <row r="1482" spans="1:16" s="28" customFormat="1" x14ac:dyDescent="0.25">
      <c r="A1482" s="56"/>
      <c r="B1482" s="61"/>
      <c r="C1482" s="61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152"/>
    </row>
    <row r="1483" spans="1:16" s="28" customFormat="1" x14ac:dyDescent="0.25">
      <c r="A1483" s="56"/>
      <c r="B1483" s="61"/>
      <c r="C1483" s="61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152"/>
    </row>
    <row r="1484" spans="1:16" s="28" customFormat="1" x14ac:dyDescent="0.25">
      <c r="A1484" s="56"/>
      <c r="B1484" s="61"/>
      <c r="C1484" s="61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152"/>
    </row>
    <row r="1485" spans="1:16" s="28" customFormat="1" x14ac:dyDescent="0.25">
      <c r="A1485" s="56"/>
      <c r="B1485" s="61"/>
      <c r="C1485" s="61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152"/>
    </row>
    <row r="1486" spans="1:16" s="28" customFormat="1" x14ac:dyDescent="0.25">
      <c r="A1486" s="56"/>
      <c r="B1486" s="61"/>
      <c r="C1486" s="61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152"/>
    </row>
    <row r="1487" spans="1:16" s="28" customFormat="1" x14ac:dyDescent="0.25">
      <c r="A1487" s="56"/>
      <c r="B1487" s="61"/>
      <c r="C1487" s="61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152"/>
    </row>
    <row r="1488" spans="1:16" s="28" customFormat="1" x14ac:dyDescent="0.25">
      <c r="A1488" s="56"/>
      <c r="B1488" s="61"/>
      <c r="C1488" s="61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152"/>
    </row>
    <row r="1489" spans="1:16" s="28" customFormat="1" x14ac:dyDescent="0.25">
      <c r="A1489" s="56"/>
      <c r="B1489" s="61"/>
      <c r="C1489" s="61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152"/>
    </row>
    <row r="1490" spans="1:16" s="28" customFormat="1" x14ac:dyDescent="0.25">
      <c r="A1490" s="56"/>
      <c r="B1490" s="61"/>
      <c r="C1490" s="61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152"/>
    </row>
    <row r="1491" spans="1:16" s="28" customFormat="1" x14ac:dyDescent="0.25">
      <c r="A1491" s="56"/>
      <c r="B1491" s="61"/>
      <c r="C1491" s="61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152"/>
    </row>
    <row r="1492" spans="1:16" s="28" customFormat="1" x14ac:dyDescent="0.25">
      <c r="A1492" s="56"/>
      <c r="B1492" s="61"/>
      <c r="C1492" s="61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152"/>
    </row>
    <row r="1493" spans="1:16" s="28" customFormat="1" x14ac:dyDescent="0.25">
      <c r="A1493" s="56"/>
      <c r="B1493" s="61"/>
      <c r="C1493" s="61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152"/>
    </row>
    <row r="1494" spans="1:16" s="28" customFormat="1" x14ac:dyDescent="0.25">
      <c r="A1494" s="56"/>
      <c r="B1494" s="61"/>
      <c r="C1494" s="61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152"/>
    </row>
    <row r="1495" spans="1:16" s="28" customFormat="1" x14ac:dyDescent="0.25">
      <c r="A1495" s="56"/>
      <c r="B1495" s="61"/>
      <c r="C1495" s="61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152"/>
    </row>
    <row r="1496" spans="1:16" s="28" customFormat="1" x14ac:dyDescent="0.25">
      <c r="A1496" s="56"/>
      <c r="B1496" s="61"/>
      <c r="C1496" s="61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152"/>
    </row>
    <row r="1497" spans="1:16" s="28" customFormat="1" x14ac:dyDescent="0.25">
      <c r="A1497" s="56"/>
      <c r="B1497" s="61"/>
      <c r="C1497" s="61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152"/>
    </row>
    <row r="1498" spans="1:16" s="28" customFormat="1" x14ac:dyDescent="0.25">
      <c r="A1498" s="56"/>
      <c r="B1498" s="61"/>
      <c r="C1498" s="61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152"/>
    </row>
    <row r="1499" spans="1:16" s="28" customFormat="1" x14ac:dyDescent="0.25">
      <c r="A1499" s="56"/>
      <c r="B1499" s="61"/>
      <c r="C1499" s="61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152"/>
    </row>
    <row r="1500" spans="1:16" s="28" customFormat="1" x14ac:dyDescent="0.25">
      <c r="A1500" s="56"/>
      <c r="B1500" s="61"/>
      <c r="C1500" s="61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152"/>
    </row>
    <row r="1501" spans="1:16" s="28" customFormat="1" x14ac:dyDescent="0.25">
      <c r="A1501" s="56"/>
      <c r="B1501" s="61"/>
      <c r="C1501" s="61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152"/>
    </row>
    <row r="1502" spans="1:16" s="28" customFormat="1" x14ac:dyDescent="0.25">
      <c r="A1502" s="56"/>
      <c r="B1502" s="61"/>
      <c r="C1502" s="61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152"/>
    </row>
    <row r="1503" spans="1:16" s="28" customFormat="1" x14ac:dyDescent="0.25">
      <c r="A1503" s="56"/>
      <c r="B1503" s="61"/>
      <c r="C1503" s="61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152"/>
    </row>
    <row r="1504" spans="1:16" s="28" customFormat="1" x14ac:dyDescent="0.25">
      <c r="A1504" s="56"/>
      <c r="B1504" s="61"/>
      <c r="C1504" s="61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152"/>
    </row>
    <row r="1505" spans="1:16" s="28" customFormat="1" x14ac:dyDescent="0.25">
      <c r="A1505" s="56"/>
      <c r="B1505" s="61"/>
      <c r="C1505" s="61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152"/>
    </row>
    <row r="1506" spans="1:16" s="28" customFormat="1" x14ac:dyDescent="0.25">
      <c r="A1506" s="56"/>
      <c r="B1506" s="61"/>
      <c r="C1506" s="61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152"/>
    </row>
    <row r="1507" spans="1:16" s="28" customFormat="1" x14ac:dyDescent="0.25">
      <c r="A1507" s="56"/>
      <c r="B1507" s="61"/>
      <c r="C1507" s="61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152"/>
    </row>
    <row r="1508" spans="1:16" s="28" customFormat="1" x14ac:dyDescent="0.25">
      <c r="A1508" s="56"/>
      <c r="B1508" s="61"/>
      <c r="C1508" s="61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152"/>
    </row>
    <row r="1509" spans="1:16" s="28" customFormat="1" x14ac:dyDescent="0.25">
      <c r="A1509" s="56"/>
      <c r="B1509" s="61"/>
      <c r="C1509" s="61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152"/>
    </row>
    <row r="1510" spans="1:16" s="28" customFormat="1" x14ac:dyDescent="0.25">
      <c r="A1510" s="56"/>
      <c r="B1510" s="61"/>
      <c r="C1510" s="61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152"/>
    </row>
    <row r="1511" spans="1:16" s="28" customFormat="1" x14ac:dyDescent="0.25">
      <c r="A1511" s="56"/>
      <c r="B1511" s="61"/>
      <c r="C1511" s="61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152"/>
    </row>
    <row r="1512" spans="1:16" s="28" customFormat="1" x14ac:dyDescent="0.25">
      <c r="A1512" s="56"/>
      <c r="B1512" s="61"/>
      <c r="C1512" s="61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152"/>
    </row>
    <row r="1513" spans="1:16" s="28" customFormat="1" x14ac:dyDescent="0.25">
      <c r="A1513" s="56"/>
      <c r="B1513" s="61"/>
      <c r="C1513" s="61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152"/>
    </row>
    <row r="1514" spans="1:16" s="28" customFormat="1" x14ac:dyDescent="0.25">
      <c r="A1514" s="56"/>
      <c r="B1514" s="61"/>
      <c r="C1514" s="61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152"/>
    </row>
    <row r="1515" spans="1:16" s="28" customFormat="1" x14ac:dyDescent="0.25">
      <c r="A1515" s="56"/>
      <c r="B1515" s="61"/>
      <c r="C1515" s="61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152"/>
    </row>
    <row r="1516" spans="1:16" s="28" customFormat="1" x14ac:dyDescent="0.25">
      <c r="A1516" s="56"/>
      <c r="B1516" s="61"/>
      <c r="C1516" s="61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152"/>
    </row>
    <row r="1517" spans="1:16" s="28" customFormat="1" x14ac:dyDescent="0.25">
      <c r="A1517" s="56"/>
      <c r="B1517" s="61"/>
      <c r="C1517" s="61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152"/>
    </row>
    <row r="1518" spans="1:16" s="28" customFormat="1" x14ac:dyDescent="0.25">
      <c r="A1518" s="56"/>
      <c r="B1518" s="61"/>
      <c r="C1518" s="61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152"/>
    </row>
    <row r="1519" spans="1:16" s="28" customFormat="1" x14ac:dyDescent="0.25">
      <c r="A1519" s="56"/>
      <c r="B1519" s="61"/>
      <c r="C1519" s="61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152"/>
    </row>
    <row r="1520" spans="1:16" s="28" customFormat="1" x14ac:dyDescent="0.25">
      <c r="A1520" s="56"/>
      <c r="B1520" s="61"/>
      <c r="C1520" s="61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152"/>
    </row>
    <row r="1521" spans="1:16" s="28" customFormat="1" x14ac:dyDescent="0.25">
      <c r="A1521" s="56"/>
      <c r="B1521" s="61"/>
      <c r="C1521" s="61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152"/>
    </row>
    <row r="1522" spans="1:16" s="28" customFormat="1" x14ac:dyDescent="0.25">
      <c r="A1522" s="56"/>
      <c r="B1522" s="61"/>
      <c r="C1522" s="61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152"/>
    </row>
    <row r="1523" spans="1:16" s="28" customFormat="1" x14ac:dyDescent="0.25">
      <c r="A1523" s="56"/>
      <c r="B1523" s="61"/>
      <c r="C1523" s="61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152"/>
    </row>
    <row r="1524" spans="1:16" s="28" customFormat="1" x14ac:dyDescent="0.25">
      <c r="A1524" s="56"/>
      <c r="B1524" s="61"/>
      <c r="C1524" s="61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152"/>
    </row>
    <row r="1525" spans="1:16" s="28" customFormat="1" x14ac:dyDescent="0.25">
      <c r="A1525" s="56"/>
      <c r="B1525" s="61"/>
      <c r="C1525" s="61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152"/>
    </row>
    <row r="1526" spans="1:16" s="28" customFormat="1" x14ac:dyDescent="0.25">
      <c r="A1526" s="56"/>
      <c r="B1526" s="61"/>
      <c r="C1526" s="61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152"/>
    </row>
    <row r="1527" spans="1:16" s="28" customFormat="1" x14ac:dyDescent="0.25">
      <c r="A1527" s="56"/>
      <c r="B1527" s="61"/>
      <c r="C1527" s="61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152"/>
    </row>
    <row r="1528" spans="1:16" s="28" customFormat="1" x14ac:dyDescent="0.25">
      <c r="A1528" s="56"/>
      <c r="B1528" s="61"/>
      <c r="C1528" s="61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152"/>
    </row>
    <row r="1529" spans="1:16" s="28" customFormat="1" x14ac:dyDescent="0.25">
      <c r="A1529" s="56"/>
      <c r="B1529" s="61"/>
      <c r="C1529" s="61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152"/>
    </row>
    <row r="1530" spans="1:16" s="28" customFormat="1" x14ac:dyDescent="0.25">
      <c r="A1530" s="56"/>
      <c r="B1530" s="61"/>
      <c r="C1530" s="61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152"/>
    </row>
    <row r="1531" spans="1:16" s="28" customFormat="1" x14ac:dyDescent="0.25">
      <c r="A1531" s="56"/>
      <c r="B1531" s="61"/>
      <c r="C1531" s="61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152"/>
    </row>
    <row r="1532" spans="1:16" s="28" customFormat="1" x14ac:dyDescent="0.25">
      <c r="A1532" s="56"/>
      <c r="B1532" s="61"/>
      <c r="C1532" s="61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152"/>
    </row>
    <row r="1533" spans="1:16" s="28" customFormat="1" x14ac:dyDescent="0.25">
      <c r="A1533" s="56"/>
      <c r="B1533" s="61"/>
      <c r="C1533" s="61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152"/>
    </row>
    <row r="1534" spans="1:16" s="28" customFormat="1" x14ac:dyDescent="0.25">
      <c r="A1534" s="56"/>
      <c r="B1534" s="61"/>
      <c r="C1534" s="61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152"/>
    </row>
    <row r="1535" spans="1:16" s="28" customFormat="1" x14ac:dyDescent="0.25">
      <c r="A1535" s="56"/>
      <c r="B1535" s="61"/>
      <c r="C1535" s="61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152"/>
    </row>
    <row r="1536" spans="1:16" s="28" customFormat="1" x14ac:dyDescent="0.25">
      <c r="A1536" s="56"/>
      <c r="B1536" s="61"/>
      <c r="C1536" s="61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152"/>
    </row>
    <row r="1537" spans="1:16" s="28" customFormat="1" x14ac:dyDescent="0.25">
      <c r="A1537" s="56"/>
      <c r="B1537" s="61"/>
      <c r="C1537" s="61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152"/>
    </row>
    <row r="1538" spans="1:16" s="28" customFormat="1" x14ac:dyDescent="0.25">
      <c r="A1538" s="56"/>
      <c r="B1538" s="61"/>
      <c r="C1538" s="61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152"/>
    </row>
    <row r="1539" spans="1:16" s="28" customFormat="1" x14ac:dyDescent="0.25">
      <c r="A1539" s="56"/>
      <c r="B1539" s="61"/>
      <c r="C1539" s="61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152"/>
    </row>
    <row r="1540" spans="1:16" s="28" customFormat="1" x14ac:dyDescent="0.25">
      <c r="A1540" s="56"/>
      <c r="B1540" s="61"/>
      <c r="C1540" s="61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152"/>
    </row>
    <row r="1541" spans="1:16" s="28" customFormat="1" x14ac:dyDescent="0.25">
      <c r="A1541" s="56"/>
      <c r="B1541" s="61"/>
      <c r="C1541" s="61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152"/>
    </row>
    <row r="1542" spans="1:16" s="28" customFormat="1" x14ac:dyDescent="0.25">
      <c r="A1542" s="56"/>
      <c r="B1542" s="61"/>
      <c r="C1542" s="61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152"/>
    </row>
    <row r="1543" spans="1:16" s="28" customFormat="1" x14ac:dyDescent="0.25">
      <c r="A1543" s="56"/>
      <c r="B1543" s="61"/>
      <c r="C1543" s="61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152"/>
    </row>
    <row r="1544" spans="1:16" s="28" customFormat="1" x14ac:dyDescent="0.25">
      <c r="A1544" s="56"/>
      <c r="B1544" s="61"/>
      <c r="C1544" s="61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152"/>
    </row>
    <row r="1545" spans="1:16" s="28" customFormat="1" x14ac:dyDescent="0.25">
      <c r="A1545" s="56"/>
      <c r="B1545" s="61"/>
      <c r="C1545" s="61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152"/>
    </row>
    <row r="1546" spans="1:16" s="28" customFormat="1" x14ac:dyDescent="0.25">
      <c r="A1546" s="56"/>
      <c r="B1546" s="61"/>
      <c r="C1546" s="61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152"/>
    </row>
    <row r="1547" spans="1:16" s="28" customFormat="1" x14ac:dyDescent="0.25">
      <c r="A1547" s="56"/>
      <c r="B1547" s="61"/>
      <c r="C1547" s="61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152"/>
    </row>
    <row r="1548" spans="1:16" s="28" customFormat="1" x14ac:dyDescent="0.25">
      <c r="A1548" s="56"/>
      <c r="B1548" s="61"/>
      <c r="C1548" s="61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152"/>
    </row>
    <row r="1549" spans="1:16" s="28" customFormat="1" x14ac:dyDescent="0.25">
      <c r="A1549" s="56"/>
      <c r="B1549" s="61"/>
      <c r="C1549" s="61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152"/>
    </row>
    <row r="1550" spans="1:16" s="28" customFormat="1" x14ac:dyDescent="0.25">
      <c r="A1550" s="56"/>
      <c r="B1550" s="61"/>
      <c r="C1550" s="61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152"/>
    </row>
    <row r="1551" spans="1:16" s="28" customFormat="1" x14ac:dyDescent="0.25">
      <c r="A1551" s="56"/>
      <c r="B1551" s="61"/>
      <c r="C1551" s="61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152"/>
    </row>
    <row r="1552" spans="1:16" s="28" customFormat="1" x14ac:dyDescent="0.25">
      <c r="A1552" s="56"/>
      <c r="B1552" s="61"/>
      <c r="C1552" s="61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152"/>
    </row>
    <row r="1553" spans="1:16" s="28" customFormat="1" x14ac:dyDescent="0.25">
      <c r="A1553" s="56"/>
      <c r="B1553" s="61"/>
      <c r="C1553" s="61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152"/>
    </row>
    <row r="1554" spans="1:16" s="28" customFormat="1" x14ac:dyDescent="0.25">
      <c r="A1554" s="56"/>
      <c r="B1554" s="61"/>
      <c r="C1554" s="61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152"/>
    </row>
    <row r="1555" spans="1:16" s="28" customFormat="1" x14ac:dyDescent="0.25">
      <c r="A1555" s="56"/>
      <c r="B1555" s="61"/>
      <c r="C1555" s="61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152"/>
    </row>
    <row r="1556" spans="1:16" s="28" customFormat="1" x14ac:dyDescent="0.25">
      <c r="A1556" s="56"/>
      <c r="B1556" s="61"/>
      <c r="C1556" s="61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152"/>
    </row>
    <row r="1557" spans="1:16" s="28" customFormat="1" x14ac:dyDescent="0.25">
      <c r="A1557" s="56"/>
      <c r="B1557" s="61"/>
      <c r="C1557" s="61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152"/>
    </row>
    <row r="1558" spans="1:16" s="28" customFormat="1" x14ac:dyDescent="0.25">
      <c r="A1558" s="56"/>
      <c r="B1558" s="61"/>
      <c r="C1558" s="61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152"/>
    </row>
    <row r="1559" spans="1:16" s="28" customFormat="1" x14ac:dyDescent="0.25">
      <c r="A1559" s="56"/>
      <c r="B1559" s="61"/>
      <c r="C1559" s="61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152"/>
    </row>
    <row r="1560" spans="1:16" s="28" customFormat="1" x14ac:dyDescent="0.25">
      <c r="A1560" s="56"/>
      <c r="B1560" s="61"/>
      <c r="C1560" s="61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152"/>
    </row>
    <row r="1561" spans="1:16" s="28" customFormat="1" x14ac:dyDescent="0.25">
      <c r="A1561" s="56"/>
      <c r="B1561" s="61"/>
      <c r="C1561" s="61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152"/>
    </row>
    <row r="1562" spans="1:16" s="28" customFormat="1" x14ac:dyDescent="0.25">
      <c r="A1562" s="56"/>
      <c r="B1562" s="61"/>
      <c r="C1562" s="61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152"/>
    </row>
    <row r="1563" spans="1:16" s="28" customFormat="1" x14ac:dyDescent="0.25">
      <c r="A1563" s="56"/>
      <c r="B1563" s="61"/>
      <c r="C1563" s="61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152"/>
    </row>
    <row r="1564" spans="1:16" s="28" customFormat="1" x14ac:dyDescent="0.25">
      <c r="A1564" s="56"/>
      <c r="B1564" s="61"/>
      <c r="C1564" s="61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152"/>
    </row>
    <row r="1565" spans="1:16" s="28" customFormat="1" x14ac:dyDescent="0.25">
      <c r="A1565" s="56"/>
      <c r="B1565" s="61"/>
      <c r="C1565" s="61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152"/>
    </row>
    <row r="1566" spans="1:16" s="28" customFormat="1" x14ac:dyDescent="0.25">
      <c r="A1566" s="56"/>
      <c r="B1566" s="61"/>
      <c r="C1566" s="61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152"/>
    </row>
    <row r="1567" spans="1:16" s="28" customFormat="1" x14ac:dyDescent="0.25">
      <c r="A1567" s="56"/>
      <c r="B1567" s="61"/>
      <c r="C1567" s="61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152"/>
    </row>
    <row r="1568" spans="1:16" s="28" customFormat="1" x14ac:dyDescent="0.25">
      <c r="A1568" s="56"/>
      <c r="B1568" s="61"/>
      <c r="C1568" s="61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152"/>
    </row>
    <row r="1569" spans="1:16" s="28" customFormat="1" x14ac:dyDescent="0.25">
      <c r="A1569" s="56"/>
      <c r="B1569" s="61"/>
      <c r="C1569" s="61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152"/>
    </row>
    <row r="1570" spans="1:16" s="28" customFormat="1" x14ac:dyDescent="0.25">
      <c r="A1570" s="56"/>
      <c r="B1570" s="61"/>
      <c r="C1570" s="61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152"/>
    </row>
    <row r="1571" spans="1:16" s="28" customFormat="1" x14ac:dyDescent="0.25">
      <c r="A1571" s="56"/>
      <c r="B1571" s="61"/>
      <c r="C1571" s="61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152"/>
    </row>
    <row r="1572" spans="1:16" s="28" customFormat="1" x14ac:dyDescent="0.25">
      <c r="A1572" s="56"/>
      <c r="B1572" s="61"/>
      <c r="C1572" s="61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152"/>
    </row>
    <row r="1573" spans="1:16" s="28" customFormat="1" x14ac:dyDescent="0.25">
      <c r="A1573" s="56"/>
      <c r="B1573" s="61"/>
      <c r="C1573" s="61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152"/>
    </row>
    <row r="1574" spans="1:16" s="28" customFormat="1" x14ac:dyDescent="0.25">
      <c r="A1574" s="56"/>
      <c r="B1574" s="61"/>
      <c r="C1574" s="61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152"/>
    </row>
    <row r="1575" spans="1:16" s="28" customFormat="1" x14ac:dyDescent="0.25">
      <c r="A1575" s="56"/>
      <c r="B1575" s="61"/>
      <c r="C1575" s="61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152"/>
    </row>
    <row r="1576" spans="1:16" s="28" customFormat="1" x14ac:dyDescent="0.25">
      <c r="A1576" s="56"/>
      <c r="B1576" s="61"/>
      <c r="C1576" s="61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152"/>
    </row>
    <row r="1577" spans="1:16" s="28" customFormat="1" x14ac:dyDescent="0.25">
      <c r="A1577" s="56"/>
      <c r="B1577" s="61"/>
      <c r="C1577" s="61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152"/>
    </row>
    <row r="1578" spans="1:16" s="28" customFormat="1" x14ac:dyDescent="0.25">
      <c r="A1578" s="56"/>
      <c r="B1578" s="61"/>
      <c r="C1578" s="61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152"/>
    </row>
    <row r="1579" spans="1:16" s="28" customFormat="1" x14ac:dyDescent="0.25">
      <c r="A1579" s="56"/>
      <c r="B1579" s="61"/>
      <c r="C1579" s="61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152"/>
    </row>
    <row r="1580" spans="1:16" s="28" customFormat="1" x14ac:dyDescent="0.25">
      <c r="A1580" s="56"/>
      <c r="B1580" s="61"/>
      <c r="C1580" s="61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152"/>
    </row>
    <row r="1581" spans="1:16" s="28" customFormat="1" x14ac:dyDescent="0.25">
      <c r="A1581" s="56"/>
      <c r="B1581" s="61"/>
      <c r="C1581" s="61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152"/>
    </row>
    <row r="1582" spans="1:16" s="28" customFormat="1" x14ac:dyDescent="0.25">
      <c r="A1582" s="56"/>
      <c r="B1582" s="61"/>
      <c r="C1582" s="61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152"/>
    </row>
    <row r="1583" spans="1:16" s="28" customFormat="1" x14ac:dyDescent="0.25">
      <c r="A1583" s="56"/>
      <c r="B1583" s="61"/>
      <c r="C1583" s="61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152"/>
    </row>
    <row r="1584" spans="1:16" s="28" customFormat="1" x14ac:dyDescent="0.25">
      <c r="A1584" s="56"/>
      <c r="B1584" s="61"/>
      <c r="C1584" s="61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152"/>
    </row>
    <row r="1585" spans="1:16" s="28" customFormat="1" x14ac:dyDescent="0.25">
      <c r="A1585" s="56"/>
      <c r="B1585" s="61"/>
      <c r="C1585" s="61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152"/>
    </row>
    <row r="1586" spans="1:16" s="28" customFormat="1" x14ac:dyDescent="0.25">
      <c r="A1586" s="56"/>
      <c r="B1586" s="61"/>
      <c r="C1586" s="61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152"/>
    </row>
    <row r="1587" spans="1:16" s="28" customFormat="1" x14ac:dyDescent="0.25">
      <c r="A1587" s="56"/>
      <c r="B1587" s="61"/>
      <c r="C1587" s="61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152"/>
    </row>
    <row r="1588" spans="1:16" s="28" customFormat="1" x14ac:dyDescent="0.25">
      <c r="A1588" s="56"/>
      <c r="B1588" s="61"/>
      <c r="C1588" s="61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152"/>
    </row>
    <row r="1589" spans="1:16" s="28" customFormat="1" x14ac:dyDescent="0.25">
      <c r="A1589" s="56"/>
      <c r="B1589" s="61"/>
      <c r="C1589" s="61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152"/>
    </row>
    <row r="1590" spans="1:16" s="28" customFormat="1" x14ac:dyDescent="0.25">
      <c r="A1590" s="56"/>
      <c r="B1590" s="61"/>
      <c r="C1590" s="61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152"/>
    </row>
    <row r="1591" spans="1:16" s="28" customFormat="1" x14ac:dyDescent="0.25">
      <c r="A1591" s="56"/>
      <c r="B1591" s="61"/>
      <c r="C1591" s="61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152"/>
    </row>
    <row r="1592" spans="1:16" s="28" customFormat="1" x14ac:dyDescent="0.25">
      <c r="A1592" s="56"/>
      <c r="B1592" s="61"/>
      <c r="C1592" s="61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152"/>
    </row>
    <row r="1593" spans="1:16" s="28" customFormat="1" x14ac:dyDescent="0.25">
      <c r="A1593" s="56"/>
      <c r="B1593" s="61"/>
      <c r="C1593" s="61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152"/>
    </row>
    <row r="1594" spans="1:16" s="28" customFormat="1" x14ac:dyDescent="0.25">
      <c r="A1594" s="56"/>
      <c r="B1594" s="61"/>
      <c r="C1594" s="61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152"/>
    </row>
    <row r="1595" spans="1:16" s="28" customFormat="1" x14ac:dyDescent="0.25">
      <c r="A1595" s="56"/>
      <c r="B1595" s="61"/>
      <c r="C1595" s="61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152"/>
    </row>
    <row r="1596" spans="1:16" s="28" customFormat="1" x14ac:dyDescent="0.25">
      <c r="A1596" s="56"/>
      <c r="B1596" s="61"/>
      <c r="C1596" s="61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152"/>
    </row>
    <row r="1597" spans="1:16" s="28" customFormat="1" x14ac:dyDescent="0.25">
      <c r="A1597" s="56"/>
      <c r="B1597" s="61"/>
      <c r="C1597" s="61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152"/>
    </row>
    <row r="1598" spans="1:16" s="28" customFormat="1" x14ac:dyDescent="0.25">
      <c r="A1598" s="56"/>
      <c r="B1598" s="61"/>
      <c r="C1598" s="61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152"/>
    </row>
    <row r="1599" spans="1:16" s="28" customFormat="1" x14ac:dyDescent="0.25">
      <c r="A1599" s="56"/>
      <c r="B1599" s="61"/>
      <c r="C1599" s="61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152"/>
    </row>
    <row r="1600" spans="1:16" s="28" customFormat="1" x14ac:dyDescent="0.25">
      <c r="A1600" s="56"/>
      <c r="B1600" s="61"/>
      <c r="C1600" s="61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152"/>
    </row>
    <row r="1601" spans="1:16" s="28" customFormat="1" x14ac:dyDescent="0.25">
      <c r="A1601" s="56"/>
      <c r="B1601" s="61"/>
      <c r="C1601" s="61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152"/>
    </row>
    <row r="1602" spans="1:16" s="28" customFormat="1" x14ac:dyDescent="0.25">
      <c r="A1602" s="56"/>
      <c r="B1602" s="61"/>
      <c r="C1602" s="61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152"/>
    </row>
    <row r="1603" spans="1:16" s="28" customFormat="1" x14ac:dyDescent="0.25">
      <c r="A1603" s="56"/>
      <c r="B1603" s="61"/>
      <c r="C1603" s="61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152"/>
    </row>
    <row r="1604" spans="1:16" s="28" customFormat="1" x14ac:dyDescent="0.25">
      <c r="A1604" s="56"/>
      <c r="B1604" s="61"/>
      <c r="C1604" s="61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152"/>
    </row>
    <row r="1605" spans="1:16" s="28" customFormat="1" x14ac:dyDescent="0.25">
      <c r="A1605" s="56"/>
      <c r="B1605" s="61"/>
      <c r="C1605" s="61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152"/>
    </row>
    <row r="1606" spans="1:16" s="28" customFormat="1" x14ac:dyDescent="0.25">
      <c r="A1606" s="56"/>
      <c r="B1606" s="61"/>
      <c r="C1606" s="61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152"/>
    </row>
    <row r="1607" spans="1:16" s="28" customFormat="1" x14ac:dyDescent="0.25">
      <c r="A1607" s="56"/>
      <c r="B1607" s="61"/>
      <c r="C1607" s="61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152"/>
    </row>
    <row r="1608" spans="1:16" s="28" customFormat="1" x14ac:dyDescent="0.25">
      <c r="A1608" s="56"/>
      <c r="B1608" s="61"/>
      <c r="C1608" s="61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152"/>
    </row>
    <row r="1609" spans="1:16" s="28" customFormat="1" x14ac:dyDescent="0.25">
      <c r="A1609" s="56"/>
      <c r="B1609" s="61"/>
      <c r="C1609" s="61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152"/>
    </row>
    <row r="1610" spans="1:16" s="28" customFormat="1" x14ac:dyDescent="0.25">
      <c r="A1610" s="56"/>
      <c r="B1610" s="61"/>
      <c r="C1610" s="61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152"/>
    </row>
    <row r="1611" spans="1:16" s="28" customFormat="1" x14ac:dyDescent="0.25">
      <c r="A1611" s="56"/>
      <c r="B1611" s="61"/>
      <c r="C1611" s="61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152"/>
    </row>
    <row r="1612" spans="1:16" s="28" customFormat="1" x14ac:dyDescent="0.25">
      <c r="A1612" s="56"/>
      <c r="B1612" s="61"/>
      <c r="C1612" s="61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152"/>
    </row>
    <row r="1613" spans="1:16" s="28" customFormat="1" x14ac:dyDescent="0.25">
      <c r="A1613" s="56"/>
      <c r="B1613" s="61"/>
      <c r="C1613" s="61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152"/>
    </row>
    <row r="1614" spans="1:16" s="28" customFormat="1" x14ac:dyDescent="0.25">
      <c r="A1614" s="56"/>
      <c r="B1614" s="61"/>
      <c r="C1614" s="61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152"/>
    </row>
    <row r="1615" spans="1:16" s="28" customFormat="1" x14ac:dyDescent="0.25">
      <c r="A1615" s="56"/>
      <c r="B1615" s="61"/>
      <c r="C1615" s="61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152"/>
    </row>
    <row r="1616" spans="1:16" s="28" customFormat="1" x14ac:dyDescent="0.25">
      <c r="A1616" s="56"/>
      <c r="B1616" s="61"/>
      <c r="C1616" s="61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152"/>
    </row>
    <row r="1617" spans="1:16" s="28" customFormat="1" x14ac:dyDescent="0.25">
      <c r="A1617" s="56"/>
      <c r="B1617" s="61"/>
      <c r="C1617" s="61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152"/>
    </row>
    <row r="1618" spans="1:16" s="28" customFormat="1" x14ac:dyDescent="0.25">
      <c r="A1618" s="56"/>
      <c r="B1618" s="61"/>
      <c r="C1618" s="61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152"/>
    </row>
    <row r="1619" spans="1:16" s="28" customFormat="1" x14ac:dyDescent="0.25">
      <c r="A1619" s="56"/>
      <c r="B1619" s="61"/>
      <c r="C1619" s="61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152"/>
    </row>
    <row r="1620" spans="1:16" s="28" customFormat="1" x14ac:dyDescent="0.25">
      <c r="A1620" s="56"/>
      <c r="B1620" s="61"/>
      <c r="C1620" s="61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152"/>
    </row>
    <row r="1621" spans="1:16" s="28" customFormat="1" x14ac:dyDescent="0.25">
      <c r="A1621" s="56"/>
      <c r="B1621" s="61"/>
      <c r="C1621" s="61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152"/>
    </row>
    <row r="1622" spans="1:16" s="28" customFormat="1" x14ac:dyDescent="0.25">
      <c r="A1622" s="56"/>
      <c r="B1622" s="61"/>
      <c r="C1622" s="61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152"/>
    </row>
    <row r="1623" spans="1:16" s="28" customFormat="1" x14ac:dyDescent="0.25">
      <c r="A1623" s="56"/>
      <c r="B1623" s="61"/>
      <c r="C1623" s="61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152"/>
    </row>
    <row r="1624" spans="1:16" s="28" customFormat="1" x14ac:dyDescent="0.25">
      <c r="A1624" s="56"/>
      <c r="B1624" s="61"/>
      <c r="C1624" s="61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152"/>
    </row>
    <row r="1625" spans="1:16" s="28" customFormat="1" x14ac:dyDescent="0.25">
      <c r="A1625" s="56"/>
      <c r="B1625" s="61"/>
      <c r="C1625" s="61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152"/>
    </row>
    <row r="1626" spans="1:16" s="28" customFormat="1" x14ac:dyDescent="0.25">
      <c r="A1626" s="56"/>
      <c r="B1626" s="61"/>
      <c r="C1626" s="61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152"/>
    </row>
    <row r="1627" spans="1:16" s="28" customFormat="1" x14ac:dyDescent="0.25">
      <c r="A1627" s="56"/>
      <c r="B1627" s="61"/>
      <c r="C1627" s="61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152"/>
    </row>
    <row r="1628" spans="1:16" s="28" customFormat="1" x14ac:dyDescent="0.25">
      <c r="A1628" s="56"/>
      <c r="B1628" s="61"/>
      <c r="C1628" s="61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152"/>
    </row>
    <row r="1629" spans="1:16" s="28" customFormat="1" x14ac:dyDescent="0.25">
      <c r="A1629" s="56"/>
      <c r="B1629" s="61"/>
      <c r="C1629" s="61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152"/>
    </row>
    <row r="1630" spans="1:16" s="28" customFormat="1" x14ac:dyDescent="0.25">
      <c r="A1630" s="56"/>
      <c r="B1630" s="61"/>
      <c r="C1630" s="61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152"/>
    </row>
    <row r="1631" spans="1:16" s="28" customFormat="1" x14ac:dyDescent="0.25">
      <c r="A1631" s="56"/>
      <c r="B1631" s="61"/>
      <c r="C1631" s="61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152"/>
    </row>
    <row r="1632" spans="1:16" s="28" customFormat="1" x14ac:dyDescent="0.25">
      <c r="A1632" s="56"/>
      <c r="B1632" s="61"/>
      <c r="C1632" s="61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152"/>
    </row>
    <row r="1633" spans="1:16" s="28" customFormat="1" x14ac:dyDescent="0.25">
      <c r="A1633" s="56"/>
      <c r="B1633" s="61"/>
      <c r="C1633" s="61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152"/>
    </row>
    <row r="1634" spans="1:16" s="28" customFormat="1" x14ac:dyDescent="0.25">
      <c r="A1634" s="56"/>
      <c r="B1634" s="61"/>
      <c r="C1634" s="61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152"/>
    </row>
    <row r="1635" spans="1:16" s="28" customFormat="1" x14ac:dyDescent="0.25">
      <c r="A1635" s="56"/>
      <c r="B1635" s="61"/>
      <c r="C1635" s="61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152"/>
    </row>
    <row r="1636" spans="1:16" s="28" customFormat="1" x14ac:dyDescent="0.25">
      <c r="A1636" s="56"/>
      <c r="B1636" s="61"/>
      <c r="C1636" s="61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152"/>
    </row>
    <row r="1637" spans="1:16" s="28" customFormat="1" x14ac:dyDescent="0.25">
      <c r="A1637" s="56"/>
      <c r="B1637" s="61"/>
      <c r="C1637" s="61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152"/>
    </row>
    <row r="1638" spans="1:16" s="28" customFormat="1" x14ac:dyDescent="0.25">
      <c r="A1638" s="56"/>
      <c r="B1638" s="61"/>
      <c r="C1638" s="61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152"/>
    </row>
    <row r="1639" spans="1:16" s="28" customFormat="1" x14ac:dyDescent="0.25">
      <c r="A1639" s="56"/>
      <c r="B1639" s="61"/>
      <c r="C1639" s="61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152"/>
    </row>
    <row r="1640" spans="1:16" s="28" customFormat="1" x14ac:dyDescent="0.25">
      <c r="A1640" s="56"/>
      <c r="B1640" s="61"/>
      <c r="C1640" s="61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152"/>
    </row>
    <row r="1641" spans="1:16" s="28" customFormat="1" x14ac:dyDescent="0.25">
      <c r="A1641" s="56"/>
      <c r="B1641" s="61"/>
      <c r="C1641" s="61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152"/>
    </row>
    <row r="1642" spans="1:16" s="28" customFormat="1" x14ac:dyDescent="0.25">
      <c r="A1642" s="56"/>
      <c r="B1642" s="61"/>
      <c r="C1642" s="61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152"/>
    </row>
    <row r="1643" spans="1:16" s="28" customFormat="1" x14ac:dyDescent="0.25">
      <c r="A1643" s="56"/>
      <c r="B1643" s="61"/>
      <c r="C1643" s="61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152"/>
    </row>
    <row r="1644" spans="1:16" s="28" customFormat="1" x14ac:dyDescent="0.25">
      <c r="A1644" s="56"/>
      <c r="B1644" s="61"/>
      <c r="C1644" s="61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152"/>
    </row>
    <row r="1645" spans="1:16" s="28" customFormat="1" x14ac:dyDescent="0.25">
      <c r="A1645" s="56"/>
      <c r="B1645" s="61"/>
      <c r="C1645" s="61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152"/>
    </row>
    <row r="1646" spans="1:16" s="28" customFormat="1" x14ac:dyDescent="0.25">
      <c r="A1646" s="56"/>
      <c r="B1646" s="61"/>
      <c r="C1646" s="61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152"/>
    </row>
    <row r="1647" spans="1:16" s="28" customFormat="1" x14ac:dyDescent="0.25">
      <c r="A1647" s="56"/>
      <c r="B1647" s="61"/>
      <c r="C1647" s="61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152"/>
    </row>
    <row r="1648" spans="1:16" s="28" customFormat="1" x14ac:dyDescent="0.25">
      <c r="A1648" s="56"/>
      <c r="B1648" s="61"/>
      <c r="C1648" s="61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152"/>
    </row>
    <row r="1649" spans="1:16" s="28" customFormat="1" x14ac:dyDescent="0.25">
      <c r="A1649" s="56"/>
      <c r="B1649" s="61"/>
      <c r="C1649" s="61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152"/>
    </row>
    <row r="1650" spans="1:16" s="28" customFormat="1" x14ac:dyDescent="0.25">
      <c r="A1650" s="56"/>
      <c r="B1650" s="61"/>
      <c r="C1650" s="61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152"/>
    </row>
    <row r="1651" spans="1:16" s="28" customFormat="1" x14ac:dyDescent="0.25">
      <c r="A1651" s="56"/>
      <c r="B1651" s="61"/>
      <c r="C1651" s="61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152"/>
    </row>
    <row r="1652" spans="1:16" s="28" customFormat="1" x14ac:dyDescent="0.25">
      <c r="A1652" s="56"/>
      <c r="B1652" s="61"/>
      <c r="C1652" s="61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152"/>
    </row>
    <row r="1653" spans="1:16" s="28" customFormat="1" x14ac:dyDescent="0.25">
      <c r="A1653" s="56"/>
      <c r="B1653" s="61"/>
      <c r="C1653" s="61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152"/>
    </row>
    <row r="1654" spans="1:16" s="28" customFormat="1" x14ac:dyDescent="0.25">
      <c r="A1654" s="56"/>
      <c r="B1654" s="61"/>
      <c r="C1654" s="61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152"/>
    </row>
    <row r="1655" spans="1:16" s="28" customFormat="1" x14ac:dyDescent="0.25">
      <c r="A1655" s="56"/>
      <c r="B1655" s="61"/>
      <c r="C1655" s="61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152"/>
    </row>
    <row r="1656" spans="1:16" s="28" customFormat="1" x14ac:dyDescent="0.25">
      <c r="A1656" s="56"/>
      <c r="B1656" s="61"/>
      <c r="C1656" s="61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152"/>
    </row>
    <row r="1657" spans="1:16" s="28" customFormat="1" x14ac:dyDescent="0.25">
      <c r="A1657" s="56"/>
      <c r="B1657" s="61"/>
      <c r="C1657" s="61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152"/>
    </row>
    <row r="1658" spans="1:16" s="28" customFormat="1" x14ac:dyDescent="0.25">
      <c r="A1658" s="56"/>
      <c r="B1658" s="61"/>
      <c r="C1658" s="61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152"/>
    </row>
    <row r="1659" spans="1:16" s="28" customFormat="1" x14ac:dyDescent="0.25">
      <c r="A1659" s="56"/>
      <c r="B1659" s="61"/>
      <c r="C1659" s="61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152"/>
    </row>
    <row r="1660" spans="1:16" s="28" customFormat="1" x14ac:dyDescent="0.25">
      <c r="A1660" s="56"/>
      <c r="B1660" s="61"/>
      <c r="C1660" s="61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152"/>
    </row>
    <row r="1661" spans="1:16" s="28" customFormat="1" x14ac:dyDescent="0.25">
      <c r="A1661" s="56"/>
      <c r="B1661" s="61"/>
      <c r="C1661" s="61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152"/>
    </row>
    <row r="1662" spans="1:16" s="28" customFormat="1" x14ac:dyDescent="0.25">
      <c r="A1662" s="56"/>
      <c r="B1662" s="61"/>
      <c r="C1662" s="61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152"/>
    </row>
    <row r="1663" spans="1:16" s="28" customFormat="1" x14ac:dyDescent="0.25">
      <c r="A1663" s="56"/>
      <c r="B1663" s="61"/>
      <c r="C1663" s="61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152"/>
    </row>
    <row r="1664" spans="1:16" s="28" customFormat="1" x14ac:dyDescent="0.25">
      <c r="A1664" s="56"/>
      <c r="B1664" s="61"/>
      <c r="C1664" s="61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152"/>
    </row>
    <row r="1665" spans="1:16" s="28" customFormat="1" x14ac:dyDescent="0.25">
      <c r="A1665" s="56"/>
      <c r="B1665" s="61"/>
      <c r="C1665" s="61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152"/>
    </row>
    <row r="1666" spans="1:16" s="28" customFormat="1" x14ac:dyDescent="0.25">
      <c r="A1666" s="56"/>
      <c r="B1666" s="61"/>
      <c r="C1666" s="61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152"/>
    </row>
    <row r="1667" spans="1:16" s="28" customFormat="1" x14ac:dyDescent="0.25">
      <c r="A1667" s="56"/>
      <c r="B1667" s="61"/>
      <c r="C1667" s="61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152"/>
    </row>
    <row r="1668" spans="1:16" s="28" customFormat="1" x14ac:dyDescent="0.25">
      <c r="A1668" s="56"/>
      <c r="B1668" s="61"/>
      <c r="C1668" s="61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152"/>
    </row>
    <row r="1669" spans="1:16" s="28" customFormat="1" x14ac:dyDescent="0.25">
      <c r="A1669" s="56"/>
      <c r="B1669" s="61"/>
      <c r="C1669" s="61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152"/>
    </row>
    <row r="1670" spans="1:16" s="28" customFormat="1" x14ac:dyDescent="0.25">
      <c r="A1670" s="56"/>
      <c r="B1670" s="61"/>
      <c r="C1670" s="61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152"/>
    </row>
    <row r="1671" spans="1:16" s="28" customFormat="1" x14ac:dyDescent="0.25">
      <c r="A1671" s="56"/>
      <c r="B1671" s="61"/>
      <c r="C1671" s="61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152"/>
    </row>
    <row r="1672" spans="1:16" s="28" customFormat="1" x14ac:dyDescent="0.25">
      <c r="A1672" s="56"/>
      <c r="B1672" s="61"/>
      <c r="C1672" s="61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152"/>
    </row>
    <row r="1673" spans="1:16" s="28" customFormat="1" x14ac:dyDescent="0.25">
      <c r="A1673" s="56"/>
      <c r="B1673" s="61"/>
      <c r="C1673" s="61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152"/>
    </row>
    <row r="1674" spans="1:16" s="28" customFormat="1" x14ac:dyDescent="0.25">
      <c r="A1674" s="56"/>
      <c r="B1674" s="61"/>
      <c r="C1674" s="61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152"/>
    </row>
    <row r="1675" spans="1:16" s="28" customFormat="1" x14ac:dyDescent="0.25">
      <c r="A1675" s="56"/>
      <c r="B1675" s="61"/>
      <c r="C1675" s="61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152"/>
    </row>
    <row r="1676" spans="1:16" s="28" customFormat="1" x14ac:dyDescent="0.25">
      <c r="A1676" s="56"/>
      <c r="B1676" s="61"/>
      <c r="C1676" s="61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152"/>
    </row>
    <row r="1677" spans="1:16" s="28" customFormat="1" x14ac:dyDescent="0.25">
      <c r="A1677" s="56"/>
      <c r="B1677" s="61"/>
      <c r="C1677" s="61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152"/>
    </row>
    <row r="1678" spans="1:16" s="28" customFormat="1" x14ac:dyDescent="0.25">
      <c r="A1678" s="56"/>
      <c r="B1678" s="61"/>
      <c r="C1678" s="61"/>
      <c r="D1678" s="35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152"/>
    </row>
    <row r="1679" spans="1:16" s="28" customFormat="1" x14ac:dyDescent="0.25">
      <c r="A1679" s="56"/>
      <c r="B1679" s="61"/>
      <c r="C1679" s="61"/>
      <c r="D1679" s="35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152"/>
    </row>
    <row r="1680" spans="1:16" s="28" customFormat="1" x14ac:dyDescent="0.25">
      <c r="A1680" s="56"/>
      <c r="B1680" s="61"/>
      <c r="C1680" s="61"/>
      <c r="D1680" s="35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152"/>
    </row>
    <row r="1681" spans="1:16" s="28" customFormat="1" x14ac:dyDescent="0.25">
      <c r="A1681" s="56"/>
      <c r="B1681" s="61"/>
      <c r="C1681" s="61"/>
      <c r="D1681" s="35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152"/>
    </row>
    <row r="1682" spans="1:16" s="28" customFormat="1" x14ac:dyDescent="0.25">
      <c r="A1682" s="56"/>
      <c r="B1682" s="61"/>
      <c r="C1682" s="61"/>
      <c r="D1682" s="35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152"/>
    </row>
    <row r="1683" spans="1:16" s="28" customFormat="1" x14ac:dyDescent="0.25">
      <c r="A1683" s="56"/>
      <c r="B1683" s="61"/>
      <c r="C1683" s="61"/>
      <c r="D1683" s="35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152"/>
    </row>
    <row r="1684" spans="1:16" s="28" customFormat="1" x14ac:dyDescent="0.25">
      <c r="A1684" s="56"/>
      <c r="B1684" s="61"/>
      <c r="C1684" s="61"/>
      <c r="D1684" s="35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152"/>
    </row>
    <row r="1685" spans="1:16" s="28" customFormat="1" x14ac:dyDescent="0.25">
      <c r="A1685" s="56"/>
      <c r="B1685" s="61"/>
      <c r="C1685" s="61"/>
      <c r="D1685" s="35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152"/>
    </row>
    <row r="1686" spans="1:16" s="28" customFormat="1" x14ac:dyDescent="0.25">
      <c r="A1686" s="56"/>
      <c r="B1686" s="61"/>
      <c r="C1686" s="61"/>
      <c r="D1686" s="35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152"/>
    </row>
    <row r="1687" spans="1:16" s="28" customFormat="1" x14ac:dyDescent="0.25">
      <c r="A1687" s="56"/>
      <c r="B1687" s="61"/>
      <c r="C1687" s="61"/>
      <c r="D1687" s="35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152"/>
    </row>
    <row r="1688" spans="1:16" s="28" customFormat="1" x14ac:dyDescent="0.25">
      <c r="A1688" s="56"/>
      <c r="B1688" s="61"/>
      <c r="C1688" s="61"/>
      <c r="D1688" s="35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152"/>
    </row>
    <row r="1689" spans="1:16" s="28" customFormat="1" x14ac:dyDescent="0.25">
      <c r="A1689" s="56"/>
      <c r="B1689" s="61"/>
      <c r="C1689" s="61"/>
      <c r="D1689" s="35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152"/>
    </row>
    <row r="1690" spans="1:16" s="28" customFormat="1" x14ac:dyDescent="0.25">
      <c r="A1690" s="56"/>
      <c r="B1690" s="61"/>
      <c r="C1690" s="61"/>
      <c r="D1690" s="35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152"/>
    </row>
    <row r="1691" spans="1:16" s="28" customFormat="1" x14ac:dyDescent="0.25">
      <c r="A1691" s="56"/>
      <c r="B1691" s="61"/>
      <c r="C1691" s="61"/>
      <c r="D1691" s="35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152"/>
    </row>
    <row r="1692" spans="1:16" s="28" customFormat="1" x14ac:dyDescent="0.25">
      <c r="A1692" s="56"/>
      <c r="B1692" s="61"/>
      <c r="C1692" s="61"/>
      <c r="D1692" s="35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152"/>
    </row>
    <row r="1693" spans="1:16" s="28" customFormat="1" x14ac:dyDescent="0.25">
      <c r="A1693" s="56"/>
      <c r="B1693" s="61"/>
      <c r="C1693" s="61"/>
      <c r="D1693" s="35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152"/>
    </row>
    <row r="1694" spans="1:16" s="28" customFormat="1" x14ac:dyDescent="0.25">
      <c r="A1694" s="56"/>
      <c r="B1694" s="61"/>
      <c r="C1694" s="61"/>
      <c r="D1694" s="35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152"/>
    </row>
    <row r="1695" spans="1:16" s="28" customFormat="1" x14ac:dyDescent="0.25">
      <c r="A1695" s="56"/>
      <c r="B1695" s="61"/>
      <c r="C1695" s="61"/>
      <c r="D1695" s="35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152"/>
    </row>
    <row r="1696" spans="1:16" s="28" customFormat="1" x14ac:dyDescent="0.25">
      <c r="A1696" s="56"/>
      <c r="B1696" s="61"/>
      <c r="C1696" s="61"/>
      <c r="D1696" s="35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152"/>
    </row>
    <row r="1697" spans="1:16" s="28" customFormat="1" x14ac:dyDescent="0.25">
      <c r="A1697" s="56"/>
      <c r="B1697" s="61"/>
      <c r="C1697" s="61"/>
      <c r="D1697" s="35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152"/>
    </row>
    <row r="1698" spans="1:16" s="28" customFormat="1" x14ac:dyDescent="0.25">
      <c r="A1698" s="56"/>
      <c r="B1698" s="61"/>
      <c r="C1698" s="61"/>
      <c r="D1698" s="35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152"/>
    </row>
    <row r="1699" spans="1:16" s="28" customFormat="1" x14ac:dyDescent="0.25">
      <c r="A1699" s="56"/>
      <c r="B1699" s="61"/>
      <c r="C1699" s="61"/>
      <c r="D1699" s="35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152"/>
    </row>
    <row r="1700" spans="1:16" s="28" customFormat="1" x14ac:dyDescent="0.25">
      <c r="A1700" s="56"/>
      <c r="B1700" s="61"/>
      <c r="C1700" s="61"/>
      <c r="D1700" s="35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152"/>
    </row>
    <row r="1701" spans="1:16" s="28" customFormat="1" x14ac:dyDescent="0.25">
      <c r="A1701" s="56"/>
      <c r="B1701" s="61"/>
      <c r="C1701" s="61"/>
      <c r="D1701" s="35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152"/>
    </row>
    <row r="1702" spans="1:16" s="28" customFormat="1" x14ac:dyDescent="0.25">
      <c r="A1702" s="56"/>
      <c r="B1702" s="61"/>
      <c r="C1702" s="61"/>
      <c r="D1702" s="35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152"/>
    </row>
    <row r="1703" spans="1:16" s="28" customFormat="1" x14ac:dyDescent="0.25">
      <c r="A1703" s="56"/>
      <c r="B1703" s="61"/>
      <c r="C1703" s="61"/>
      <c r="D1703" s="35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152"/>
    </row>
    <row r="1704" spans="1:16" s="28" customFormat="1" x14ac:dyDescent="0.25">
      <c r="A1704" s="56"/>
      <c r="B1704" s="61"/>
      <c r="C1704" s="61"/>
      <c r="D1704" s="35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152"/>
    </row>
    <row r="1705" spans="1:16" s="28" customFormat="1" x14ac:dyDescent="0.25">
      <c r="A1705" s="56"/>
      <c r="B1705" s="61"/>
      <c r="C1705" s="61"/>
      <c r="D1705" s="35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152"/>
    </row>
    <row r="1706" spans="1:16" s="28" customFormat="1" x14ac:dyDescent="0.25">
      <c r="A1706" s="56"/>
      <c r="B1706" s="61"/>
      <c r="C1706" s="61"/>
      <c r="D1706" s="35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152"/>
    </row>
    <row r="1707" spans="1:16" s="28" customFormat="1" x14ac:dyDescent="0.25">
      <c r="A1707" s="56"/>
      <c r="B1707" s="61"/>
      <c r="C1707" s="61"/>
      <c r="D1707" s="35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152"/>
    </row>
  </sheetData>
  <mergeCells count="25">
    <mergeCell ref="A334:D334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  <mergeCell ref="F15:F16"/>
    <mergeCell ref="E14:I14"/>
    <mergeCell ref="L15:L16"/>
    <mergeCell ref="A11:P11"/>
    <mergeCell ref="A12:P12"/>
    <mergeCell ref="M15:N15"/>
    <mergeCell ref="O15:O16"/>
    <mergeCell ref="K3:P3"/>
    <mergeCell ref="K4:P4"/>
    <mergeCell ref="K5:P5"/>
    <mergeCell ref="K6:P6"/>
    <mergeCell ref="K8:P8"/>
  </mergeCells>
  <phoneticPr fontId="3" type="noConversion"/>
  <printOptions horizontalCentered="1"/>
  <pageMargins left="0.19685039370078741" right="0" top="0.86614173228346458" bottom="0.59055118110236227" header="0.59055118110236227" footer="0.31496062992125984"/>
  <pageSetup paperSize="9" scale="44" fitToHeight="100" orientation="landscape" useFirstPageNumber="1" r:id="rId1"/>
  <headerFooter scaleWithDoc="0" alignWithMargins="0">
    <oddHeader xml:space="preserve">&amp;R
</oddHeader>
    <oddFooter>&amp;R&amp;9Сторінка &amp;P</oddFooter>
  </headerFooter>
  <rowBreaks count="3" manualBreakCount="3">
    <brk id="34" max="15" man="1"/>
    <brk id="62" max="15" man="1"/>
    <brk id="32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S267"/>
  <sheetViews>
    <sheetView showGridLines="0" showZeros="0" view="pageBreakPreview" topLeftCell="A254" zoomScale="70" zoomScaleNormal="87" zoomScaleSheetLayoutView="70" workbookViewId="0">
      <selection activeCell="D265" sqref="D265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3.1640625" style="4" customWidth="1"/>
    <col min="5" max="5" width="23.83203125" style="4" customWidth="1"/>
    <col min="6" max="6" width="22.33203125" style="4" customWidth="1"/>
    <col min="7" max="7" width="20.1640625" style="4" customWidth="1"/>
    <col min="8" max="8" width="19.6640625" style="4" customWidth="1"/>
    <col min="9" max="9" width="21.33203125" style="4" bestFit="1" customWidth="1"/>
    <col min="10" max="10" width="21.1640625" style="4" customWidth="1"/>
    <col min="11" max="11" width="19.83203125" style="4" customWidth="1"/>
    <col min="12" max="12" width="18" style="4" customWidth="1"/>
    <col min="13" max="13" width="14.83203125" style="4" customWidth="1"/>
    <col min="14" max="14" width="21.5" style="4" customWidth="1"/>
    <col min="15" max="15" width="22.83203125" style="4" customWidth="1"/>
    <col min="16" max="16384" width="9.1640625" style="4"/>
  </cols>
  <sheetData>
    <row r="1" spans="1:15" ht="27.75" customHeight="1" x14ac:dyDescent="0.4">
      <c r="J1" s="165" t="s">
        <v>623</v>
      </c>
      <c r="K1" s="165"/>
      <c r="L1" s="165"/>
      <c r="M1" s="165"/>
      <c r="N1" s="165"/>
      <c r="O1" s="165"/>
    </row>
    <row r="2" spans="1:15" ht="24" customHeight="1" x14ac:dyDescent="0.25">
      <c r="J2" s="91" t="s">
        <v>577</v>
      </c>
      <c r="K2" s="91"/>
      <c r="L2" s="91"/>
      <c r="M2" s="91"/>
      <c r="N2" s="91"/>
      <c r="O2" s="91"/>
    </row>
    <row r="3" spans="1:15" ht="26.25" customHeight="1" x14ac:dyDescent="0.4">
      <c r="J3" s="158" t="s">
        <v>576</v>
      </c>
      <c r="K3" s="158"/>
      <c r="L3" s="158"/>
      <c r="M3" s="158"/>
      <c r="N3" s="158"/>
      <c r="O3" s="158"/>
    </row>
    <row r="4" spans="1:15" ht="26.25" customHeight="1" x14ac:dyDescent="0.4">
      <c r="J4" s="158" t="s">
        <v>607</v>
      </c>
      <c r="K4" s="158"/>
      <c r="L4" s="158"/>
      <c r="M4" s="158"/>
      <c r="N4" s="158"/>
      <c r="O4" s="158"/>
    </row>
    <row r="5" spans="1:15" ht="29.25" customHeight="1" x14ac:dyDescent="0.4">
      <c r="J5" s="158" t="s">
        <v>608</v>
      </c>
      <c r="K5" s="158"/>
      <c r="L5" s="158"/>
      <c r="M5" s="158"/>
      <c r="N5" s="158"/>
      <c r="O5" s="158"/>
    </row>
    <row r="6" spans="1:15" ht="29.25" customHeight="1" x14ac:dyDescent="0.4">
      <c r="J6" s="158" t="s">
        <v>578</v>
      </c>
      <c r="K6" s="158"/>
      <c r="L6" s="158"/>
      <c r="M6" s="158"/>
      <c r="N6" s="158"/>
      <c r="O6" s="158"/>
    </row>
    <row r="7" spans="1:15" ht="29.25" customHeight="1" x14ac:dyDescent="0.4">
      <c r="J7" s="146" t="s">
        <v>534</v>
      </c>
      <c r="K7" s="146"/>
      <c r="L7" s="146"/>
      <c r="M7" s="146"/>
      <c r="N7" s="146"/>
      <c r="O7" s="146"/>
    </row>
    <row r="8" spans="1:15" ht="29.25" customHeight="1" x14ac:dyDescent="0.4">
      <c r="J8" s="158" t="s">
        <v>624</v>
      </c>
      <c r="K8" s="158"/>
      <c r="L8" s="158"/>
      <c r="M8" s="158"/>
      <c r="N8" s="158"/>
      <c r="O8" s="158"/>
    </row>
    <row r="9" spans="1:15" ht="29.25" customHeight="1" x14ac:dyDescent="0.25">
      <c r="J9" s="91"/>
      <c r="K9" s="91"/>
      <c r="L9" s="91"/>
      <c r="M9" s="91"/>
      <c r="N9" s="91"/>
      <c r="O9" s="91"/>
    </row>
    <row r="10" spans="1:15" ht="105.75" customHeight="1" x14ac:dyDescent="0.25">
      <c r="A10" s="166" t="s">
        <v>449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</row>
    <row r="11" spans="1:15" ht="23.25" customHeight="1" x14ac:dyDescent="0.25">
      <c r="A11" s="164" t="s">
        <v>583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ht="21" customHeight="1" x14ac:dyDescent="0.25">
      <c r="A12" s="155" t="s">
        <v>582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</row>
    <row r="13" spans="1:15" s="17" customFormat="1" ht="20.25" customHeight="1" x14ac:dyDescent="0.3">
      <c r="A13" s="14"/>
      <c r="B13" s="15"/>
      <c r="C13" s="16"/>
      <c r="O13" s="150" t="s">
        <v>358</v>
      </c>
    </row>
    <row r="14" spans="1:15" s="52" customFormat="1" ht="21.75" customHeight="1" x14ac:dyDescent="0.25">
      <c r="A14" s="157" t="s">
        <v>337</v>
      </c>
      <c r="B14" s="157" t="s">
        <v>327</v>
      </c>
      <c r="C14" s="157" t="s">
        <v>339</v>
      </c>
      <c r="D14" s="163" t="s">
        <v>224</v>
      </c>
      <c r="E14" s="163"/>
      <c r="F14" s="163"/>
      <c r="G14" s="163"/>
      <c r="H14" s="163"/>
      <c r="I14" s="163" t="s">
        <v>225</v>
      </c>
      <c r="J14" s="163"/>
      <c r="K14" s="163"/>
      <c r="L14" s="163"/>
      <c r="M14" s="163"/>
      <c r="N14" s="163"/>
      <c r="O14" s="163" t="s">
        <v>226</v>
      </c>
    </row>
    <row r="15" spans="1:15" s="52" customFormat="1" ht="29.25" customHeight="1" x14ac:dyDescent="0.25">
      <c r="A15" s="157"/>
      <c r="B15" s="157"/>
      <c r="C15" s="157"/>
      <c r="D15" s="162" t="s">
        <v>328</v>
      </c>
      <c r="E15" s="162" t="s">
        <v>227</v>
      </c>
      <c r="F15" s="156" t="s">
        <v>228</v>
      </c>
      <c r="G15" s="156"/>
      <c r="H15" s="162" t="s">
        <v>229</v>
      </c>
      <c r="I15" s="162" t="s">
        <v>328</v>
      </c>
      <c r="J15" s="162" t="s">
        <v>329</v>
      </c>
      <c r="K15" s="162" t="s">
        <v>227</v>
      </c>
      <c r="L15" s="156" t="s">
        <v>228</v>
      </c>
      <c r="M15" s="156"/>
      <c r="N15" s="162" t="s">
        <v>229</v>
      </c>
      <c r="O15" s="163"/>
    </row>
    <row r="16" spans="1:15" s="52" customFormat="1" ht="60.75" customHeight="1" x14ac:dyDescent="0.25">
      <c r="A16" s="157"/>
      <c r="B16" s="157"/>
      <c r="C16" s="157"/>
      <c r="D16" s="162"/>
      <c r="E16" s="162"/>
      <c r="F16" s="147" t="s">
        <v>230</v>
      </c>
      <c r="G16" s="147" t="s">
        <v>231</v>
      </c>
      <c r="H16" s="162"/>
      <c r="I16" s="162"/>
      <c r="J16" s="162"/>
      <c r="K16" s="162"/>
      <c r="L16" s="147" t="s">
        <v>230</v>
      </c>
      <c r="M16" s="147" t="s">
        <v>231</v>
      </c>
      <c r="N16" s="162"/>
      <c r="O16" s="163"/>
    </row>
    <row r="17" spans="1:15" s="52" customFormat="1" ht="21" customHeight="1" x14ac:dyDescent="0.25">
      <c r="A17" s="7" t="s">
        <v>43</v>
      </c>
      <c r="B17" s="8"/>
      <c r="C17" s="9" t="s">
        <v>44</v>
      </c>
      <c r="D17" s="48">
        <f>D19+D20+D21+D22</f>
        <v>261999596</v>
      </c>
      <c r="E17" s="48">
        <f t="shared" ref="E17:O17" si="0">E19+E20+E21+E22</f>
        <v>261999596</v>
      </c>
      <c r="F17" s="48">
        <f>F19+F20+F21+F22</f>
        <v>196794600</v>
      </c>
      <c r="G17" s="48">
        <f t="shared" si="0"/>
        <v>6384303</v>
      </c>
      <c r="H17" s="48">
        <f t="shared" si="0"/>
        <v>0</v>
      </c>
      <c r="I17" s="48">
        <f t="shared" si="0"/>
        <v>3100000</v>
      </c>
      <c r="J17" s="48">
        <f t="shared" si="0"/>
        <v>1200000</v>
      </c>
      <c r="K17" s="48">
        <f t="shared" si="0"/>
        <v>1900000</v>
      </c>
      <c r="L17" s="48">
        <f t="shared" si="0"/>
        <v>1332000</v>
      </c>
      <c r="M17" s="48">
        <f t="shared" si="0"/>
        <v>71500</v>
      </c>
      <c r="N17" s="48">
        <f t="shared" si="0"/>
        <v>1200000</v>
      </c>
      <c r="O17" s="48">
        <f t="shared" si="0"/>
        <v>265099596</v>
      </c>
    </row>
    <row r="18" spans="1:15" s="52" customFormat="1" ht="61.5" hidden="1" customHeight="1" x14ac:dyDescent="0.25">
      <c r="A18" s="7"/>
      <c r="B18" s="8"/>
      <c r="C18" s="9" t="s">
        <v>439</v>
      </c>
      <c r="D18" s="48">
        <f>D23</f>
        <v>0</v>
      </c>
      <c r="E18" s="48">
        <f t="shared" ref="E18:O18" si="1">E23</f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</row>
    <row r="19" spans="1:15" ht="37.5" customHeight="1" x14ac:dyDescent="0.25">
      <c r="A19" s="37" t="s">
        <v>119</v>
      </c>
      <c r="B19" s="37" t="s">
        <v>46</v>
      </c>
      <c r="C19" s="6" t="s">
        <v>493</v>
      </c>
      <c r="D19" s="49">
        <f>'дод 3'!E21+'дод 3'!E77+'дод 3'!E137+'дод 3'!E170+'дод 3'!E207+'дод 3'!E214+'дод 3'!E231+'дод 3'!E269+'дод 3'!E274+'дод 3'!E294+'дод 3'!E301+'дод 3'!E304+'дод 3'!E315+'дод 3'!E312</f>
        <v>260964096</v>
      </c>
      <c r="E19" s="49">
        <f>'дод 3'!F21+'дод 3'!F77+'дод 3'!F137+'дод 3'!F170+'дод 3'!F207+'дод 3'!F214+'дод 3'!F231+'дод 3'!F269+'дод 3'!F274+'дод 3'!F294+'дод 3'!F301+'дод 3'!F304+'дод 3'!F315+'дод 3'!F312</f>
        <v>260964096</v>
      </c>
      <c r="F19" s="49">
        <f>'дод 3'!G21+'дод 3'!G77+'дод 3'!G137+'дод 3'!G170+'дод 3'!G207+'дод 3'!G214+'дод 3'!G231+'дод 3'!G269+'дод 3'!G274+'дод 3'!G294+'дод 3'!G301+'дод 3'!G304+'дод 3'!G315+'дод 3'!G312</f>
        <v>196794600</v>
      </c>
      <c r="G19" s="49">
        <f>'дод 3'!H21+'дод 3'!H77+'дод 3'!H137+'дод 3'!H170+'дод 3'!H207+'дод 3'!H214+'дод 3'!H231+'дод 3'!H269+'дод 3'!H274+'дод 3'!H294+'дод 3'!H301+'дод 3'!H304+'дод 3'!H315+'дод 3'!H312</f>
        <v>6384303</v>
      </c>
      <c r="H19" s="49">
        <f>'дод 3'!I21+'дод 3'!I77+'дод 3'!I137+'дод 3'!I170+'дод 3'!I207+'дод 3'!I214+'дод 3'!I231+'дод 3'!I269+'дод 3'!I274+'дод 3'!I294+'дод 3'!I301+'дод 3'!I304+'дод 3'!I315+'дод 3'!I312</f>
        <v>0</v>
      </c>
      <c r="I19" s="49">
        <f>'дод 3'!J21+'дод 3'!J77+'дод 3'!J137+'дод 3'!J170+'дод 3'!J207+'дод 3'!J214+'дод 3'!J231+'дод 3'!J269+'дод 3'!J274+'дод 3'!J294+'дод 3'!J301+'дод 3'!J304+'дод 3'!J315+'дод 3'!J312</f>
        <v>3100000</v>
      </c>
      <c r="J19" s="49">
        <f>'дод 3'!K21+'дод 3'!K77+'дод 3'!K137+'дод 3'!K170+'дод 3'!K207+'дод 3'!K214+'дод 3'!K231+'дод 3'!K269+'дод 3'!K274+'дод 3'!K294+'дод 3'!K301+'дод 3'!K304+'дод 3'!K315+'дод 3'!K312</f>
        <v>1200000</v>
      </c>
      <c r="K19" s="49">
        <f>'дод 3'!L21+'дод 3'!L77+'дод 3'!L137+'дод 3'!L170+'дод 3'!L207+'дод 3'!L214+'дод 3'!L231+'дод 3'!L269+'дод 3'!L274+'дод 3'!L294+'дод 3'!L301+'дод 3'!L304+'дод 3'!L315+'дод 3'!L312</f>
        <v>1900000</v>
      </c>
      <c r="L19" s="49">
        <f>'дод 3'!M21+'дод 3'!M77+'дод 3'!M137+'дод 3'!M170+'дод 3'!M207+'дод 3'!M214+'дод 3'!M231+'дод 3'!M269+'дод 3'!M274+'дод 3'!M294+'дод 3'!M301+'дод 3'!M304+'дод 3'!M315+'дод 3'!M312</f>
        <v>1332000</v>
      </c>
      <c r="M19" s="49">
        <f>'дод 3'!N21+'дод 3'!N77+'дод 3'!N137+'дод 3'!N170+'дод 3'!N207+'дод 3'!N214+'дод 3'!N231+'дод 3'!N269+'дод 3'!N274+'дод 3'!N294+'дод 3'!N301+'дод 3'!N304+'дод 3'!N315+'дод 3'!N312</f>
        <v>71500</v>
      </c>
      <c r="N19" s="49">
        <f>'дод 3'!O21+'дод 3'!O77+'дод 3'!O137+'дод 3'!O170+'дод 3'!O207+'дод 3'!O214+'дод 3'!O231+'дод 3'!O269+'дод 3'!O274+'дод 3'!O294+'дод 3'!O301+'дод 3'!O304+'дод 3'!O315+'дод 3'!O312</f>
        <v>1200000</v>
      </c>
      <c r="O19" s="49">
        <f>'дод 3'!P21+'дод 3'!P77+'дод 3'!P137+'дод 3'!P170+'дод 3'!P207+'дод 3'!P214+'дод 3'!P231+'дод 3'!P269+'дод 3'!P274+'дод 3'!P294+'дод 3'!P301+'дод 3'!P304+'дод 3'!P315+'дод 3'!P312</f>
        <v>264064096</v>
      </c>
    </row>
    <row r="20" spans="1:15" ht="33" hidden="1" customHeight="1" x14ac:dyDescent="0.25">
      <c r="A20" s="58" t="s">
        <v>90</v>
      </c>
      <c r="B20" s="58" t="s">
        <v>461</v>
      </c>
      <c r="C20" s="6" t="s">
        <v>452</v>
      </c>
      <c r="D20" s="49">
        <f>'дод 3'!E22</f>
        <v>0</v>
      </c>
      <c r="E20" s="49">
        <f>'дод 3'!F22</f>
        <v>0</v>
      </c>
      <c r="F20" s="49">
        <f>'дод 3'!G22</f>
        <v>0</v>
      </c>
      <c r="G20" s="49">
        <f>'дод 3'!H22</f>
        <v>0</v>
      </c>
      <c r="H20" s="49">
        <f>'дод 3'!I22</f>
        <v>0</v>
      </c>
      <c r="I20" s="49">
        <f>'дод 3'!J22</f>
        <v>0</v>
      </c>
      <c r="J20" s="49">
        <f>'дод 3'!K22</f>
        <v>0</v>
      </c>
      <c r="K20" s="49">
        <f>'дод 3'!L22</f>
        <v>0</v>
      </c>
      <c r="L20" s="49">
        <f>'дод 3'!M22</f>
        <v>0</v>
      </c>
      <c r="M20" s="49">
        <f>'дод 3'!N22</f>
        <v>0</v>
      </c>
      <c r="N20" s="49">
        <f>'дод 3'!O22</f>
        <v>0</v>
      </c>
      <c r="O20" s="49">
        <f>'дод 3'!P22</f>
        <v>0</v>
      </c>
    </row>
    <row r="21" spans="1:15" ht="22.5" customHeight="1" x14ac:dyDescent="0.25">
      <c r="A21" s="37" t="s">
        <v>45</v>
      </c>
      <c r="B21" s="37" t="s">
        <v>93</v>
      </c>
      <c r="C21" s="6" t="s">
        <v>242</v>
      </c>
      <c r="D21" s="49">
        <f>'дод 3'!E23+'дод 3'!E171+'дод 3'!E232</f>
        <v>1035500</v>
      </c>
      <c r="E21" s="49">
        <f>'дод 3'!F23+'дод 3'!F171+'дод 3'!F232</f>
        <v>1035500</v>
      </c>
      <c r="F21" s="49">
        <f>'дод 3'!G23+'дод 3'!G171+'дод 3'!G232</f>
        <v>0</v>
      </c>
      <c r="G21" s="49">
        <f>'дод 3'!H23+'дод 3'!H171+'дод 3'!H232</f>
        <v>0</v>
      </c>
      <c r="H21" s="49">
        <f>'дод 3'!I23+'дод 3'!I171+'дод 3'!I232</f>
        <v>0</v>
      </c>
      <c r="I21" s="49">
        <f>'дод 3'!J23+'дод 3'!J171+'дод 3'!J232</f>
        <v>0</v>
      </c>
      <c r="J21" s="49">
        <f>'дод 3'!K23+'дод 3'!K171+'дод 3'!K232</f>
        <v>0</v>
      </c>
      <c r="K21" s="49">
        <f>'дод 3'!L23+'дод 3'!L171+'дод 3'!L232</f>
        <v>0</v>
      </c>
      <c r="L21" s="49">
        <f>'дод 3'!M23+'дод 3'!M171+'дод 3'!M232</f>
        <v>0</v>
      </c>
      <c r="M21" s="49">
        <f>'дод 3'!N23+'дод 3'!N171+'дод 3'!N232</f>
        <v>0</v>
      </c>
      <c r="N21" s="49">
        <f>'дод 3'!O23+'дод 3'!O171+'дод 3'!O232</f>
        <v>0</v>
      </c>
      <c r="O21" s="49">
        <f>'дод 3'!P23+'дод 3'!P171+'дод 3'!P232</f>
        <v>1035500</v>
      </c>
    </row>
    <row r="22" spans="1:15" ht="27" hidden="1" customHeight="1" x14ac:dyDescent="0.25">
      <c r="A22" s="58" t="s">
        <v>435</v>
      </c>
      <c r="B22" s="58" t="s">
        <v>119</v>
      </c>
      <c r="C22" s="6" t="s">
        <v>436</v>
      </c>
      <c r="D22" s="49">
        <f>'дод 3'!E24</f>
        <v>0</v>
      </c>
      <c r="E22" s="49">
        <f>'дод 3'!F24</f>
        <v>0</v>
      </c>
      <c r="F22" s="49">
        <f>'дод 3'!G24</f>
        <v>0</v>
      </c>
      <c r="G22" s="49">
        <f>'дод 3'!H24</f>
        <v>0</v>
      </c>
      <c r="H22" s="49">
        <f>'дод 3'!I24</f>
        <v>0</v>
      </c>
      <c r="I22" s="49">
        <f>'дод 3'!J24</f>
        <v>0</v>
      </c>
      <c r="J22" s="49">
        <f>'дод 3'!K24</f>
        <v>0</v>
      </c>
      <c r="K22" s="49">
        <f>'дод 3'!L24</f>
        <v>0</v>
      </c>
      <c r="L22" s="49">
        <f>'дод 3'!M24</f>
        <v>0</v>
      </c>
      <c r="M22" s="49">
        <f>'дод 3'!N24</f>
        <v>0</v>
      </c>
      <c r="N22" s="49">
        <f>'дод 3'!O24</f>
        <v>0</v>
      </c>
      <c r="O22" s="49">
        <f>'дод 3'!P24</f>
        <v>0</v>
      </c>
    </row>
    <row r="23" spans="1:15" s="54" customFormat="1" ht="63" hidden="1" customHeight="1" x14ac:dyDescent="0.25">
      <c r="A23" s="77"/>
      <c r="B23" s="87"/>
      <c r="C23" s="78" t="s">
        <v>439</v>
      </c>
      <c r="D23" s="79">
        <f>'дод 3'!E25</f>
        <v>0</v>
      </c>
      <c r="E23" s="79">
        <f>'дод 3'!F25</f>
        <v>0</v>
      </c>
      <c r="F23" s="79">
        <f>'дод 3'!G25</f>
        <v>0</v>
      </c>
      <c r="G23" s="79">
        <f>'дод 3'!H25</f>
        <v>0</v>
      </c>
      <c r="H23" s="79">
        <f>'дод 3'!I25</f>
        <v>0</v>
      </c>
      <c r="I23" s="79">
        <f>'дод 3'!J25</f>
        <v>0</v>
      </c>
      <c r="J23" s="79">
        <f>'дод 3'!K25</f>
        <v>0</v>
      </c>
      <c r="K23" s="79">
        <f>'дод 3'!L25</f>
        <v>0</v>
      </c>
      <c r="L23" s="79">
        <f>'дод 3'!M25</f>
        <v>0</v>
      </c>
      <c r="M23" s="79">
        <f>'дод 3'!N25</f>
        <v>0</v>
      </c>
      <c r="N23" s="79">
        <f>'дод 3'!O25</f>
        <v>0</v>
      </c>
      <c r="O23" s="79">
        <f>'дод 3'!P25</f>
        <v>0</v>
      </c>
    </row>
    <row r="24" spans="1:15" s="52" customFormat="1" ht="18.75" customHeight="1" x14ac:dyDescent="0.25">
      <c r="A24" s="38" t="s">
        <v>47</v>
      </c>
      <c r="B24" s="39"/>
      <c r="C24" s="9" t="s">
        <v>403</v>
      </c>
      <c r="D24" s="48">
        <f>D36+D38+D45+D47+D48+D51+D53+D55+D58+D60+D61+D62+D63+D64+D65+D67+D68+D69+D71+D73+D75+D77</f>
        <v>1158386062.52</v>
      </c>
      <c r="E24" s="48">
        <f t="shared" ref="E24:O24" si="2">E36+E38+E45+E47+E48+E51+E53+E55+E58+E60+E61+E62+E63+E64+E65+E67+E68+E69+E71+E73+E75+E77</f>
        <v>1158386062.52</v>
      </c>
      <c r="F24" s="48">
        <f t="shared" si="2"/>
        <v>809430300</v>
      </c>
      <c r="G24" s="48">
        <f t="shared" si="2"/>
        <v>87415170</v>
      </c>
      <c r="H24" s="48">
        <f t="shared" si="2"/>
        <v>0</v>
      </c>
      <c r="I24" s="48">
        <f t="shared" si="2"/>
        <v>53874945.18</v>
      </c>
      <c r="J24" s="48">
        <f t="shared" si="2"/>
        <v>14255345.18</v>
      </c>
      <c r="K24" s="48">
        <f t="shared" si="2"/>
        <v>39616470</v>
      </c>
      <c r="L24" s="48">
        <f t="shared" si="2"/>
        <v>4494964</v>
      </c>
      <c r="M24" s="48">
        <f t="shared" si="2"/>
        <v>139890</v>
      </c>
      <c r="N24" s="48">
        <f t="shared" si="2"/>
        <v>14258475.18</v>
      </c>
      <c r="O24" s="48">
        <f t="shared" si="2"/>
        <v>1212261007.7</v>
      </c>
    </row>
    <row r="25" spans="1:15" s="53" customFormat="1" ht="31.5" x14ac:dyDescent="0.25">
      <c r="A25" s="70"/>
      <c r="B25" s="73"/>
      <c r="C25" s="74" t="s">
        <v>389</v>
      </c>
      <c r="D25" s="75">
        <f>D49+D52+D54</f>
        <v>482448000</v>
      </c>
      <c r="E25" s="75">
        <f t="shared" ref="E25:O25" si="3">E49+E52+E54</f>
        <v>482448000</v>
      </c>
      <c r="F25" s="75">
        <f t="shared" si="3"/>
        <v>395816000</v>
      </c>
      <c r="G25" s="75">
        <f t="shared" si="3"/>
        <v>0</v>
      </c>
      <c r="H25" s="75">
        <f t="shared" si="3"/>
        <v>0</v>
      </c>
      <c r="I25" s="75">
        <f t="shared" si="3"/>
        <v>0</v>
      </c>
      <c r="J25" s="75">
        <f t="shared" si="3"/>
        <v>0</v>
      </c>
      <c r="K25" s="75">
        <f t="shared" si="3"/>
        <v>0</v>
      </c>
      <c r="L25" s="75">
        <f t="shared" si="3"/>
        <v>0</v>
      </c>
      <c r="M25" s="75">
        <f t="shared" si="3"/>
        <v>0</v>
      </c>
      <c r="N25" s="75">
        <f t="shared" si="3"/>
        <v>0</v>
      </c>
      <c r="O25" s="75">
        <f t="shared" si="3"/>
        <v>482448000</v>
      </c>
    </row>
    <row r="26" spans="1:15" s="53" customFormat="1" ht="47.25" x14ac:dyDescent="0.25">
      <c r="A26" s="70"/>
      <c r="B26" s="73"/>
      <c r="C26" s="76" t="s">
        <v>543</v>
      </c>
      <c r="D26" s="75">
        <f>D56</f>
        <v>363000</v>
      </c>
      <c r="E26" s="75">
        <f t="shared" ref="E26:O26" si="4">E56</f>
        <v>363000</v>
      </c>
      <c r="F26" s="75">
        <f t="shared" si="4"/>
        <v>0</v>
      </c>
      <c r="G26" s="75">
        <f t="shared" si="4"/>
        <v>0</v>
      </c>
      <c r="H26" s="75">
        <f t="shared" si="4"/>
        <v>0</v>
      </c>
      <c r="I26" s="75">
        <f t="shared" si="4"/>
        <v>1637000</v>
      </c>
      <c r="J26" s="75">
        <f t="shared" si="4"/>
        <v>1637000</v>
      </c>
      <c r="K26" s="75">
        <f t="shared" si="4"/>
        <v>0</v>
      </c>
      <c r="L26" s="75">
        <f t="shared" si="4"/>
        <v>0</v>
      </c>
      <c r="M26" s="75">
        <f t="shared" si="4"/>
        <v>0</v>
      </c>
      <c r="N26" s="75">
        <f t="shared" si="4"/>
        <v>1637000</v>
      </c>
      <c r="O26" s="75">
        <f t="shared" si="4"/>
        <v>2000000</v>
      </c>
    </row>
    <row r="27" spans="1:15" s="53" customFormat="1" ht="47.25" x14ac:dyDescent="0.25">
      <c r="A27" s="70"/>
      <c r="B27" s="73"/>
      <c r="C27" s="74" t="s">
        <v>384</v>
      </c>
      <c r="D27" s="75">
        <f>D50+D66</f>
        <v>3578416</v>
      </c>
      <c r="E27" s="75">
        <f t="shared" ref="E27:O27" si="5">E50+E66</f>
        <v>3578416</v>
      </c>
      <c r="F27" s="75">
        <f t="shared" si="5"/>
        <v>1228720</v>
      </c>
      <c r="G27" s="75">
        <f t="shared" si="5"/>
        <v>0</v>
      </c>
      <c r="H27" s="75">
        <f t="shared" si="5"/>
        <v>0</v>
      </c>
      <c r="I27" s="75">
        <f t="shared" si="5"/>
        <v>0</v>
      </c>
      <c r="J27" s="75">
        <f t="shared" si="5"/>
        <v>0</v>
      </c>
      <c r="K27" s="75">
        <f t="shared" si="5"/>
        <v>0</v>
      </c>
      <c r="L27" s="75">
        <f t="shared" si="5"/>
        <v>0</v>
      </c>
      <c r="M27" s="75">
        <f t="shared" si="5"/>
        <v>0</v>
      </c>
      <c r="N27" s="75">
        <f t="shared" si="5"/>
        <v>0</v>
      </c>
      <c r="O27" s="75">
        <f t="shared" si="5"/>
        <v>3578416</v>
      </c>
    </row>
    <row r="28" spans="1:15" s="53" customFormat="1" ht="47.25" hidden="1" x14ac:dyDescent="0.25">
      <c r="A28" s="70"/>
      <c r="B28" s="73"/>
      <c r="C28" s="74" t="s">
        <v>386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s="53" customFormat="1" ht="50.25" customHeight="1" x14ac:dyDescent="0.25">
      <c r="A29" s="70"/>
      <c r="B29" s="73"/>
      <c r="C29" s="76" t="s">
        <v>383</v>
      </c>
      <c r="D29" s="75">
        <f>D76</f>
        <v>2417470</v>
      </c>
      <c r="E29" s="75">
        <f t="shared" ref="E29:O29" si="6">E76</f>
        <v>2417470</v>
      </c>
      <c r="F29" s="75">
        <f t="shared" si="6"/>
        <v>1299695</v>
      </c>
      <c r="G29" s="75">
        <f t="shared" si="6"/>
        <v>0</v>
      </c>
      <c r="H29" s="75">
        <f t="shared" si="6"/>
        <v>0</v>
      </c>
      <c r="I29" s="75">
        <f t="shared" si="6"/>
        <v>72000</v>
      </c>
      <c r="J29" s="75">
        <f t="shared" si="6"/>
        <v>72000</v>
      </c>
      <c r="K29" s="75">
        <f t="shared" si="6"/>
        <v>0</v>
      </c>
      <c r="L29" s="75">
        <f t="shared" si="6"/>
        <v>0</v>
      </c>
      <c r="M29" s="75">
        <f t="shared" si="6"/>
        <v>0</v>
      </c>
      <c r="N29" s="75">
        <f t="shared" si="6"/>
        <v>72000</v>
      </c>
      <c r="O29" s="75">
        <f t="shared" si="6"/>
        <v>2489470</v>
      </c>
    </row>
    <row r="30" spans="1:15" s="53" customFormat="1" ht="63" hidden="1" x14ac:dyDescent="0.25">
      <c r="A30" s="70"/>
      <c r="B30" s="73"/>
      <c r="C30" s="74" t="s">
        <v>385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s="53" customFormat="1" ht="63" x14ac:dyDescent="0.25">
      <c r="A31" s="70"/>
      <c r="B31" s="70"/>
      <c r="C31" s="76" t="s">
        <v>523</v>
      </c>
      <c r="D31" s="75">
        <f>D78</f>
        <v>1315285.79</v>
      </c>
      <c r="E31" s="75">
        <f t="shared" ref="E31:O31" si="7">E78</f>
        <v>1315285.79</v>
      </c>
      <c r="F31" s="75">
        <f t="shared" si="7"/>
        <v>1034620</v>
      </c>
      <c r="G31" s="75">
        <f t="shared" si="7"/>
        <v>0</v>
      </c>
      <c r="H31" s="75">
        <f t="shared" si="7"/>
        <v>0</v>
      </c>
      <c r="I31" s="75">
        <f t="shared" si="7"/>
        <v>0</v>
      </c>
      <c r="J31" s="75">
        <f t="shared" si="7"/>
        <v>0</v>
      </c>
      <c r="K31" s="75">
        <f t="shared" si="7"/>
        <v>0</v>
      </c>
      <c r="L31" s="75">
        <f t="shared" si="7"/>
        <v>0</v>
      </c>
      <c r="M31" s="75">
        <f t="shared" si="7"/>
        <v>0</v>
      </c>
      <c r="N31" s="75">
        <f t="shared" si="7"/>
        <v>0</v>
      </c>
      <c r="O31" s="75">
        <f t="shared" si="7"/>
        <v>1315285.79</v>
      </c>
    </row>
    <row r="32" spans="1:15" s="53" customFormat="1" ht="31.5" x14ac:dyDescent="0.25">
      <c r="A32" s="70"/>
      <c r="B32" s="70"/>
      <c r="C32" s="76" t="s">
        <v>540</v>
      </c>
      <c r="D32" s="75">
        <f>D57+D59</f>
        <v>741017.59999999998</v>
      </c>
      <c r="E32" s="75">
        <f t="shared" ref="E32:O32" si="8">E57+E59</f>
        <v>741017.59999999998</v>
      </c>
      <c r="F32" s="75">
        <f t="shared" si="8"/>
        <v>0</v>
      </c>
      <c r="G32" s="75">
        <f t="shared" si="8"/>
        <v>0</v>
      </c>
      <c r="H32" s="75">
        <f t="shared" si="8"/>
        <v>0</v>
      </c>
      <c r="I32" s="75">
        <f t="shared" si="8"/>
        <v>4356725.18</v>
      </c>
      <c r="J32" s="75">
        <f t="shared" si="8"/>
        <v>4356725.18</v>
      </c>
      <c r="K32" s="75">
        <f t="shared" si="8"/>
        <v>0</v>
      </c>
      <c r="L32" s="75">
        <f t="shared" si="8"/>
        <v>0</v>
      </c>
      <c r="M32" s="75">
        <f t="shared" si="8"/>
        <v>0</v>
      </c>
      <c r="N32" s="75">
        <f t="shared" si="8"/>
        <v>4356725.18</v>
      </c>
      <c r="O32" s="75">
        <f t="shared" si="8"/>
        <v>5097742.7799999993</v>
      </c>
    </row>
    <row r="33" spans="1:15" s="53" customFormat="1" ht="55.5" customHeight="1" x14ac:dyDescent="0.25">
      <c r="A33" s="70"/>
      <c r="B33" s="70"/>
      <c r="C33" s="76" t="s">
        <v>602</v>
      </c>
      <c r="D33" s="75">
        <f>D70</f>
        <v>287772</v>
      </c>
      <c r="E33" s="75">
        <f t="shared" ref="E33:O33" si="9">E70</f>
        <v>287772</v>
      </c>
      <c r="F33" s="75">
        <f t="shared" si="9"/>
        <v>0</v>
      </c>
      <c r="G33" s="75">
        <f t="shared" si="9"/>
        <v>0</v>
      </c>
      <c r="H33" s="75">
        <f t="shared" si="9"/>
        <v>0</v>
      </c>
      <c r="I33" s="75">
        <f t="shared" si="9"/>
        <v>2859728</v>
      </c>
      <c r="J33" s="75">
        <f t="shared" si="9"/>
        <v>2859728</v>
      </c>
      <c r="K33" s="75">
        <f t="shared" si="9"/>
        <v>0</v>
      </c>
      <c r="L33" s="75">
        <f t="shared" si="9"/>
        <v>0</v>
      </c>
      <c r="M33" s="75">
        <f t="shared" si="9"/>
        <v>0</v>
      </c>
      <c r="N33" s="75">
        <f t="shared" si="9"/>
        <v>2859728</v>
      </c>
      <c r="O33" s="75">
        <f t="shared" si="9"/>
        <v>3147500</v>
      </c>
    </row>
    <row r="34" spans="1:15" s="53" customFormat="1" ht="63" x14ac:dyDescent="0.25">
      <c r="A34" s="70"/>
      <c r="B34" s="70"/>
      <c r="C34" s="76" t="s">
        <v>559</v>
      </c>
      <c r="D34" s="75">
        <f>D74</f>
        <v>6262701.0999999996</v>
      </c>
      <c r="E34" s="75">
        <f t="shared" ref="E34:O34" si="10">E74</f>
        <v>6262701.0999999996</v>
      </c>
      <c r="F34" s="75">
        <f t="shared" si="10"/>
        <v>57829</v>
      </c>
      <c r="G34" s="75">
        <f t="shared" si="10"/>
        <v>0</v>
      </c>
      <c r="H34" s="75">
        <f t="shared" si="10"/>
        <v>0</v>
      </c>
      <c r="I34" s="75">
        <f t="shared" si="10"/>
        <v>644361.9</v>
      </c>
      <c r="J34" s="75">
        <f t="shared" si="10"/>
        <v>644361.9</v>
      </c>
      <c r="K34" s="75">
        <f t="shared" si="10"/>
        <v>0</v>
      </c>
      <c r="L34" s="75">
        <f t="shared" si="10"/>
        <v>0</v>
      </c>
      <c r="M34" s="75">
        <f t="shared" si="10"/>
        <v>0</v>
      </c>
      <c r="N34" s="75">
        <f t="shared" si="10"/>
        <v>644361.9</v>
      </c>
      <c r="O34" s="75">
        <f t="shared" si="10"/>
        <v>6907063</v>
      </c>
    </row>
    <row r="35" spans="1:15" s="53" customFormat="1" x14ac:dyDescent="0.25">
      <c r="A35" s="70"/>
      <c r="B35" s="70"/>
      <c r="C35" s="76" t="s">
        <v>395</v>
      </c>
      <c r="D35" s="75">
        <f>D72</f>
        <v>150000</v>
      </c>
      <c r="E35" s="75">
        <f t="shared" ref="E35:O35" si="11">E72</f>
        <v>150000</v>
      </c>
      <c r="F35" s="75">
        <f t="shared" si="11"/>
        <v>0</v>
      </c>
      <c r="G35" s="75">
        <f t="shared" si="11"/>
        <v>0</v>
      </c>
      <c r="H35" s="75">
        <f t="shared" si="11"/>
        <v>0</v>
      </c>
      <c r="I35" s="75">
        <f t="shared" si="11"/>
        <v>0</v>
      </c>
      <c r="J35" s="75">
        <f t="shared" si="11"/>
        <v>0</v>
      </c>
      <c r="K35" s="75">
        <f t="shared" si="11"/>
        <v>0</v>
      </c>
      <c r="L35" s="75">
        <f t="shared" si="11"/>
        <v>0</v>
      </c>
      <c r="M35" s="75">
        <f t="shared" si="11"/>
        <v>0</v>
      </c>
      <c r="N35" s="75">
        <f t="shared" si="11"/>
        <v>0</v>
      </c>
      <c r="O35" s="75">
        <f t="shared" si="11"/>
        <v>150000</v>
      </c>
    </row>
    <row r="36" spans="1:15" ht="17.25" customHeight="1" x14ac:dyDescent="0.25">
      <c r="A36" s="37" t="s">
        <v>48</v>
      </c>
      <c r="B36" s="37" t="s">
        <v>49</v>
      </c>
      <c r="C36" s="6" t="s">
        <v>502</v>
      </c>
      <c r="D36" s="49">
        <f>'дод 3'!E78</f>
        <v>312891086</v>
      </c>
      <c r="E36" s="49">
        <f>'дод 3'!F78</f>
        <v>312891086</v>
      </c>
      <c r="F36" s="49">
        <f>'дод 3'!G78</f>
        <v>204672330</v>
      </c>
      <c r="G36" s="49">
        <f>'дод 3'!H78</f>
        <v>32970107</v>
      </c>
      <c r="H36" s="49">
        <f>'дод 3'!I78</f>
        <v>0</v>
      </c>
      <c r="I36" s="49">
        <f>'дод 3'!J78</f>
        <v>13014798</v>
      </c>
      <c r="J36" s="49">
        <f>'дод 3'!K78</f>
        <v>1255098</v>
      </c>
      <c r="K36" s="49">
        <f>'дод 3'!L78</f>
        <v>11759700</v>
      </c>
      <c r="L36" s="49">
        <f>'дод 3'!M78</f>
        <v>0</v>
      </c>
      <c r="M36" s="49">
        <f>'дод 3'!N78</f>
        <v>0</v>
      </c>
      <c r="N36" s="49">
        <f>'дод 3'!O78</f>
        <v>1255098</v>
      </c>
      <c r="O36" s="49">
        <f>'дод 3'!P78</f>
        <v>325905884</v>
      </c>
    </row>
    <row r="37" spans="1:15" s="54" customFormat="1" ht="47.25" hidden="1" customHeight="1" x14ac:dyDescent="0.25">
      <c r="A37" s="77"/>
      <c r="B37" s="77"/>
      <c r="C37" s="78" t="s">
        <v>383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ht="38.25" customHeight="1" x14ac:dyDescent="0.25">
      <c r="A38" s="37">
        <v>1021</v>
      </c>
      <c r="B38" s="37" t="s">
        <v>51</v>
      </c>
      <c r="C38" s="60" t="s">
        <v>470</v>
      </c>
      <c r="D38" s="49">
        <f>'дод 3'!E79</f>
        <v>224822308.69999999</v>
      </c>
      <c r="E38" s="49">
        <f>'дод 3'!F79</f>
        <v>224822308.69999999</v>
      </c>
      <c r="F38" s="49">
        <f>'дод 3'!G79</f>
        <v>116673485.94</v>
      </c>
      <c r="G38" s="49">
        <f>'дод 3'!H79</f>
        <v>46189009.549999997</v>
      </c>
      <c r="H38" s="49">
        <f>'дод 3'!I79</f>
        <v>0</v>
      </c>
      <c r="I38" s="49">
        <f>'дод 3'!J79</f>
        <v>26423904</v>
      </c>
      <c r="J38" s="49">
        <f>'дод 3'!K79</f>
        <v>1293104</v>
      </c>
      <c r="K38" s="49">
        <f>'дод 3'!L79</f>
        <v>25130800</v>
      </c>
      <c r="L38" s="49">
        <f>'дод 3'!M79</f>
        <v>2268060</v>
      </c>
      <c r="M38" s="49">
        <f>'дод 3'!N79</f>
        <v>139890</v>
      </c>
      <c r="N38" s="49">
        <f>'дод 3'!O79</f>
        <v>1293104</v>
      </c>
      <c r="O38" s="49">
        <f>'дод 3'!P79</f>
        <v>251246212.69999999</v>
      </c>
    </row>
    <row r="39" spans="1:15" s="54" customFormat="1" ht="63" hidden="1" customHeight="1" x14ac:dyDescent="0.25">
      <c r="A39" s="77"/>
      <c r="B39" s="77"/>
      <c r="C39" s="78" t="s">
        <v>387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 s="54" customFormat="1" ht="47.25" hidden="1" customHeight="1" x14ac:dyDescent="0.25">
      <c r="A40" s="77"/>
      <c r="B40" s="77"/>
      <c r="C40" s="78" t="s">
        <v>384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 s="54" customFormat="1" ht="47.25" hidden="1" customHeight="1" x14ac:dyDescent="0.25">
      <c r="A41" s="77"/>
      <c r="B41" s="77"/>
      <c r="C41" s="78" t="s">
        <v>386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s="54" customFormat="1" ht="47.25" hidden="1" customHeight="1" x14ac:dyDescent="0.25">
      <c r="A42" s="77"/>
      <c r="B42" s="77"/>
      <c r="C42" s="78" t="s">
        <v>383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s="54" customFormat="1" ht="31.5" hidden="1" customHeight="1" x14ac:dyDescent="0.25">
      <c r="A43" s="77"/>
      <c r="B43" s="77"/>
      <c r="C43" s="78" t="s">
        <v>389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1:15" s="54" customFormat="1" ht="63" hidden="1" customHeight="1" x14ac:dyDescent="0.25">
      <c r="A44" s="77"/>
      <c r="B44" s="77"/>
      <c r="C44" s="78" t="s">
        <v>385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69.75" customHeight="1" x14ac:dyDescent="0.25">
      <c r="A45" s="37">
        <v>1022</v>
      </c>
      <c r="B45" s="59" t="s">
        <v>55</v>
      </c>
      <c r="C45" s="36" t="s">
        <v>472</v>
      </c>
      <c r="D45" s="49">
        <f>'дод 3'!E80</f>
        <v>15021607</v>
      </c>
      <c r="E45" s="49">
        <f>'дод 3'!F80</f>
        <v>15021607</v>
      </c>
      <c r="F45" s="49">
        <f>'дод 3'!G80</f>
        <v>8830500</v>
      </c>
      <c r="G45" s="49">
        <f>'дод 3'!H80</f>
        <v>2117607</v>
      </c>
      <c r="H45" s="49">
        <f>'дод 3'!I80</f>
        <v>0</v>
      </c>
      <c r="I45" s="49">
        <f>'дод 3'!J80</f>
        <v>97000</v>
      </c>
      <c r="J45" s="49">
        <f>'дод 3'!K80</f>
        <v>97000</v>
      </c>
      <c r="K45" s="49">
        <f>'дод 3'!L80</f>
        <v>0</v>
      </c>
      <c r="L45" s="49">
        <f>'дод 3'!M80</f>
        <v>0</v>
      </c>
      <c r="M45" s="49">
        <f>'дод 3'!N80</f>
        <v>0</v>
      </c>
      <c r="N45" s="49">
        <f>'дод 3'!O80</f>
        <v>97000</v>
      </c>
      <c r="O45" s="49">
        <f>'дод 3'!P80</f>
        <v>15118607</v>
      </c>
    </row>
    <row r="46" spans="1:15" ht="63" hidden="1" x14ac:dyDescent="0.25">
      <c r="A46" s="37"/>
      <c r="B46" s="37"/>
      <c r="C46" s="78" t="s">
        <v>387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63" x14ac:dyDescent="0.25">
      <c r="A47" s="37">
        <v>1025</v>
      </c>
      <c r="B47" s="37" t="s">
        <v>55</v>
      </c>
      <c r="C47" s="3" t="s">
        <v>598</v>
      </c>
      <c r="D47" s="49">
        <f>'дод 3'!E81</f>
        <v>4167674.43</v>
      </c>
      <c r="E47" s="49">
        <f>'дод 3'!F81</f>
        <v>4167674.43</v>
      </c>
      <c r="F47" s="49">
        <f>'дод 3'!G81</f>
        <v>2829220.06</v>
      </c>
      <c r="G47" s="49">
        <f>'дод 3'!H81</f>
        <v>410366.45</v>
      </c>
      <c r="H47" s="49">
        <f>'дод 3'!I81</f>
        <v>0</v>
      </c>
      <c r="I47" s="49">
        <f>'дод 3'!J81</f>
        <v>0</v>
      </c>
      <c r="J47" s="49">
        <f>'дод 3'!K81</f>
        <v>0</v>
      </c>
      <c r="K47" s="49">
        <f>'дод 3'!L81</f>
        <v>0</v>
      </c>
      <c r="L47" s="49">
        <f>'дод 3'!M81</f>
        <v>0</v>
      </c>
      <c r="M47" s="49">
        <f>'дод 3'!N81</f>
        <v>0</v>
      </c>
      <c r="N47" s="49">
        <f>'дод 3'!O81</f>
        <v>0</v>
      </c>
      <c r="O47" s="49">
        <f>'дод 3'!P81</f>
        <v>4167674.43</v>
      </c>
    </row>
    <row r="48" spans="1:15" s="54" customFormat="1" ht="35.25" customHeight="1" x14ac:dyDescent="0.25">
      <c r="A48" s="92">
        <v>1031</v>
      </c>
      <c r="B48" s="59" t="s">
        <v>51</v>
      </c>
      <c r="C48" s="60" t="s">
        <v>503</v>
      </c>
      <c r="D48" s="49">
        <f>'дод 3'!E82</f>
        <v>468297758.54000002</v>
      </c>
      <c r="E48" s="49">
        <f>'дод 3'!F82</f>
        <v>468297758.54000002</v>
      </c>
      <c r="F48" s="49">
        <f>'дод 3'!G82</f>
        <v>382501138.35000002</v>
      </c>
      <c r="G48" s="49">
        <f>'дод 3'!H82</f>
        <v>0</v>
      </c>
      <c r="H48" s="49">
        <f>'дод 3'!I82</f>
        <v>0</v>
      </c>
      <c r="I48" s="49">
        <f>'дод 3'!J82</f>
        <v>0</v>
      </c>
      <c r="J48" s="49">
        <f>'дод 3'!K82</f>
        <v>0</v>
      </c>
      <c r="K48" s="49">
        <f>'дод 3'!L82</f>
        <v>0</v>
      </c>
      <c r="L48" s="49">
        <f>'дод 3'!M82</f>
        <v>0</v>
      </c>
      <c r="M48" s="49">
        <f>'дод 3'!N82</f>
        <v>0</v>
      </c>
      <c r="N48" s="49">
        <f>'дод 3'!O82</f>
        <v>0</v>
      </c>
      <c r="O48" s="49">
        <f>'дод 3'!P82</f>
        <v>468297758.54000002</v>
      </c>
    </row>
    <row r="49" spans="1:15" s="54" customFormat="1" ht="31.5" x14ac:dyDescent="0.25">
      <c r="A49" s="77"/>
      <c r="B49" s="77"/>
      <c r="C49" s="86" t="s">
        <v>389</v>
      </c>
      <c r="D49" s="79">
        <f>'дод 3'!E83</f>
        <v>466218378.54000002</v>
      </c>
      <c r="E49" s="79">
        <f>'дод 3'!F83</f>
        <v>466218378.54000002</v>
      </c>
      <c r="F49" s="79">
        <f>'дод 3'!G83</f>
        <v>382501138.35000002</v>
      </c>
      <c r="G49" s="79">
        <f>'дод 3'!H83</f>
        <v>0</v>
      </c>
      <c r="H49" s="79">
        <f>'дод 3'!I83</f>
        <v>0</v>
      </c>
      <c r="I49" s="79">
        <f>'дод 3'!J83</f>
        <v>0</v>
      </c>
      <c r="J49" s="79">
        <f>'дод 3'!K83</f>
        <v>0</v>
      </c>
      <c r="K49" s="79">
        <f>'дод 3'!L83</f>
        <v>0</v>
      </c>
      <c r="L49" s="79">
        <f>'дод 3'!M83</f>
        <v>0</v>
      </c>
      <c r="M49" s="79">
        <f>'дод 3'!N83</f>
        <v>0</v>
      </c>
      <c r="N49" s="79">
        <f>'дод 3'!O83</f>
        <v>0</v>
      </c>
      <c r="O49" s="79">
        <f>'дод 3'!P83</f>
        <v>466218378.54000002</v>
      </c>
    </row>
    <row r="50" spans="1:15" ht="50.25" customHeight="1" x14ac:dyDescent="0.25">
      <c r="A50" s="37"/>
      <c r="B50" s="37"/>
      <c r="C50" s="86" t="s">
        <v>384</v>
      </c>
      <c r="D50" s="79">
        <f>'дод 3'!E84</f>
        <v>2079380</v>
      </c>
      <c r="E50" s="79">
        <f>'дод 3'!F84</f>
        <v>2079380</v>
      </c>
      <c r="F50" s="79">
        <f>'дод 3'!G84</f>
        <v>0</v>
      </c>
      <c r="G50" s="79">
        <f>'дод 3'!H84</f>
        <v>0</v>
      </c>
      <c r="H50" s="79">
        <f>'дод 3'!I84</f>
        <v>0</v>
      </c>
      <c r="I50" s="79">
        <f>'дод 3'!J84</f>
        <v>0</v>
      </c>
      <c r="J50" s="79">
        <f>'дод 3'!K84</f>
        <v>0</v>
      </c>
      <c r="K50" s="79">
        <f>'дод 3'!L84</f>
        <v>0</v>
      </c>
      <c r="L50" s="79">
        <f>'дод 3'!M84</f>
        <v>0</v>
      </c>
      <c r="M50" s="79">
        <f>'дод 3'!N84</f>
        <v>0</v>
      </c>
      <c r="N50" s="79">
        <f>'дод 3'!O84</f>
        <v>0</v>
      </c>
      <c r="O50" s="79">
        <f>'дод 3'!P84</f>
        <v>2079380</v>
      </c>
    </row>
    <row r="51" spans="1:15" ht="63.75" customHeight="1" x14ac:dyDescent="0.25">
      <c r="A51" s="59" t="s">
        <v>475</v>
      </c>
      <c r="B51" s="59" t="s">
        <v>55</v>
      </c>
      <c r="C51" s="60" t="s">
        <v>504</v>
      </c>
      <c r="D51" s="49">
        <f>'дод 3'!E85</f>
        <v>15808500</v>
      </c>
      <c r="E51" s="49">
        <f>'дод 3'!F85</f>
        <v>15808500</v>
      </c>
      <c r="F51" s="49">
        <f>'дод 3'!G85</f>
        <v>12969100</v>
      </c>
      <c r="G51" s="49">
        <f>'дод 3'!H85</f>
        <v>0</v>
      </c>
      <c r="H51" s="49">
        <f>'дод 3'!I85</f>
        <v>0</v>
      </c>
      <c r="I51" s="49">
        <f>'дод 3'!J85</f>
        <v>0</v>
      </c>
      <c r="J51" s="49">
        <f>'дод 3'!K85</f>
        <v>0</v>
      </c>
      <c r="K51" s="49">
        <f>'дод 3'!L85</f>
        <v>0</v>
      </c>
      <c r="L51" s="49">
        <f>'дод 3'!M85</f>
        <v>0</v>
      </c>
      <c r="M51" s="49">
        <f>'дод 3'!N85</f>
        <v>0</v>
      </c>
      <c r="N51" s="49">
        <f>'дод 3'!O85</f>
        <v>0</v>
      </c>
      <c r="O51" s="49">
        <f>'дод 3'!P85</f>
        <v>15808500</v>
      </c>
    </row>
    <row r="52" spans="1:15" ht="31.5" x14ac:dyDescent="0.25">
      <c r="A52" s="37"/>
      <c r="B52" s="37"/>
      <c r="C52" s="86" t="s">
        <v>389</v>
      </c>
      <c r="D52" s="79">
        <f>'дод 3'!E86</f>
        <v>15808500</v>
      </c>
      <c r="E52" s="79">
        <f>'дод 3'!F86</f>
        <v>15808500</v>
      </c>
      <c r="F52" s="79">
        <f>'дод 3'!G86</f>
        <v>12969100</v>
      </c>
      <c r="G52" s="79">
        <f>'дод 3'!H86</f>
        <v>0</v>
      </c>
      <c r="H52" s="79">
        <f>'дод 3'!I86</f>
        <v>0</v>
      </c>
      <c r="I52" s="79">
        <f>'дод 3'!J86</f>
        <v>0</v>
      </c>
      <c r="J52" s="79">
        <f>'дод 3'!K86</f>
        <v>0</v>
      </c>
      <c r="K52" s="79">
        <f>'дод 3'!L86</f>
        <v>0</v>
      </c>
      <c r="L52" s="79">
        <f>'дод 3'!M86</f>
        <v>0</v>
      </c>
      <c r="M52" s="79">
        <f>'дод 3'!N86</f>
        <v>0</v>
      </c>
      <c r="N52" s="79">
        <f>'дод 3'!O86</f>
        <v>0</v>
      </c>
      <c r="O52" s="79">
        <f>'дод 3'!P86</f>
        <v>15808500</v>
      </c>
    </row>
    <row r="53" spans="1:15" ht="66.75" customHeight="1" x14ac:dyDescent="0.25">
      <c r="A53" s="37">
        <v>1035</v>
      </c>
      <c r="B53" s="37" t="s">
        <v>55</v>
      </c>
      <c r="C53" s="36" t="s">
        <v>600</v>
      </c>
      <c r="D53" s="49">
        <f>'дод 3'!E87</f>
        <v>421121.46</v>
      </c>
      <c r="E53" s="49">
        <f>'дод 3'!F87</f>
        <v>421121.46</v>
      </c>
      <c r="F53" s="49">
        <f>'дод 3'!G87</f>
        <v>345761.65</v>
      </c>
      <c r="G53" s="49">
        <f>'дод 3'!H87</f>
        <v>0</v>
      </c>
      <c r="H53" s="49">
        <f>'дод 3'!I87</f>
        <v>0</v>
      </c>
      <c r="I53" s="49">
        <f>'дод 3'!J87</f>
        <v>0</v>
      </c>
      <c r="J53" s="49">
        <f>'дод 3'!K87</f>
        <v>0</v>
      </c>
      <c r="K53" s="49">
        <f>'дод 3'!L87</f>
        <v>0</v>
      </c>
      <c r="L53" s="49">
        <f>'дод 3'!M87</f>
        <v>0</v>
      </c>
      <c r="M53" s="49">
        <f>'дод 3'!N87</f>
        <v>0</v>
      </c>
      <c r="N53" s="49">
        <f>'дод 3'!O87</f>
        <v>0</v>
      </c>
      <c r="O53" s="49">
        <f>'дод 3'!P87</f>
        <v>421121.46</v>
      </c>
    </row>
    <row r="54" spans="1:15" ht="31.5" x14ac:dyDescent="0.25">
      <c r="A54" s="37"/>
      <c r="B54" s="37"/>
      <c r="C54" s="86" t="s">
        <v>389</v>
      </c>
      <c r="D54" s="79">
        <f>'дод 3'!E88</f>
        <v>421121.46</v>
      </c>
      <c r="E54" s="79">
        <f>'дод 3'!F88</f>
        <v>421121.46</v>
      </c>
      <c r="F54" s="79">
        <f>'дод 3'!G88</f>
        <v>345761.65</v>
      </c>
      <c r="G54" s="79">
        <f>'дод 3'!H88</f>
        <v>0</v>
      </c>
      <c r="H54" s="79">
        <f>'дод 3'!I88</f>
        <v>0</v>
      </c>
      <c r="I54" s="79">
        <f>'дод 3'!J88</f>
        <v>0</v>
      </c>
      <c r="J54" s="79">
        <f>'дод 3'!K88</f>
        <v>0</v>
      </c>
      <c r="K54" s="79">
        <f>'дод 3'!L88</f>
        <v>0</v>
      </c>
      <c r="L54" s="79">
        <f>'дод 3'!M88</f>
        <v>0</v>
      </c>
      <c r="M54" s="79">
        <f>'дод 3'!N88</f>
        <v>0</v>
      </c>
      <c r="N54" s="79">
        <f>'дод 3'!O88</f>
        <v>0</v>
      </c>
      <c r="O54" s="79">
        <f>'дод 3'!P88</f>
        <v>421121.46</v>
      </c>
    </row>
    <row r="55" spans="1:15" ht="31.5" x14ac:dyDescent="0.25">
      <c r="A55" s="37">
        <v>1061</v>
      </c>
      <c r="B55" s="59" t="s">
        <v>51</v>
      </c>
      <c r="C55" s="36" t="s">
        <v>532</v>
      </c>
      <c r="D55" s="49">
        <f>'дод 3'!E89</f>
        <v>1064017.6000000001</v>
      </c>
      <c r="E55" s="49">
        <f>'дод 3'!F89</f>
        <v>1064017.6000000001</v>
      </c>
      <c r="F55" s="49">
        <f>'дод 3'!G89</f>
        <v>0</v>
      </c>
      <c r="G55" s="49">
        <f>'дод 3'!H89</f>
        <v>0</v>
      </c>
      <c r="H55" s="49">
        <f>'дод 3'!I89</f>
        <v>0</v>
      </c>
      <c r="I55" s="49">
        <f>'дод 3'!J89</f>
        <v>5993725.1799999997</v>
      </c>
      <c r="J55" s="49">
        <f>'дод 3'!K89</f>
        <v>5993725.1799999997</v>
      </c>
      <c r="K55" s="49">
        <f>'дод 3'!L89</f>
        <v>0</v>
      </c>
      <c r="L55" s="49">
        <f>'дод 3'!M89</f>
        <v>0</v>
      </c>
      <c r="M55" s="49">
        <f>'дод 3'!N89</f>
        <v>0</v>
      </c>
      <c r="N55" s="49">
        <f>'дод 3'!O89</f>
        <v>5993725.1799999997</v>
      </c>
      <c r="O55" s="49">
        <f>'дод 3'!P89</f>
        <v>7057742.7799999993</v>
      </c>
    </row>
    <row r="56" spans="1:15" ht="48.75" customHeight="1" x14ac:dyDescent="0.25">
      <c r="A56" s="37"/>
      <c r="B56" s="59"/>
      <c r="C56" s="86" t="s">
        <v>543</v>
      </c>
      <c r="D56" s="79">
        <f>'дод 3'!E90</f>
        <v>363000</v>
      </c>
      <c r="E56" s="79">
        <f>'дод 3'!F90</f>
        <v>363000</v>
      </c>
      <c r="F56" s="79">
        <f>'дод 3'!G90</f>
        <v>0</v>
      </c>
      <c r="G56" s="79">
        <f>'дод 3'!H90</f>
        <v>0</v>
      </c>
      <c r="H56" s="79">
        <f>'дод 3'!I90</f>
        <v>0</v>
      </c>
      <c r="I56" s="79">
        <f>'дод 3'!J90</f>
        <v>1637000</v>
      </c>
      <c r="J56" s="79">
        <f>'дод 3'!K90</f>
        <v>1637000</v>
      </c>
      <c r="K56" s="79">
        <f>'дод 3'!L90</f>
        <v>0</v>
      </c>
      <c r="L56" s="79">
        <f>'дод 3'!M90</f>
        <v>0</v>
      </c>
      <c r="M56" s="79">
        <f>'дод 3'!N90</f>
        <v>0</v>
      </c>
      <c r="N56" s="79">
        <f>'дод 3'!O90</f>
        <v>1637000</v>
      </c>
      <c r="O56" s="79">
        <f>'дод 3'!P90</f>
        <v>2000000</v>
      </c>
    </row>
    <row r="57" spans="1:15" s="54" customFormat="1" ht="32.25" customHeight="1" x14ac:dyDescent="0.25">
      <c r="A57" s="77"/>
      <c r="B57" s="83"/>
      <c r="C57" s="86" t="s">
        <v>540</v>
      </c>
      <c r="D57" s="79">
        <f>'дод 3'!E91</f>
        <v>701017.59999999998</v>
      </c>
      <c r="E57" s="79">
        <f>'дод 3'!F91</f>
        <v>701017.59999999998</v>
      </c>
      <c r="F57" s="79">
        <f>'дод 3'!G91</f>
        <v>0</v>
      </c>
      <c r="G57" s="79">
        <f>'дод 3'!H91</f>
        <v>0</v>
      </c>
      <c r="H57" s="79">
        <f>'дод 3'!I91</f>
        <v>0</v>
      </c>
      <c r="I57" s="79">
        <f>'дод 3'!J91</f>
        <v>4356725.18</v>
      </c>
      <c r="J57" s="79">
        <f>'дод 3'!K91</f>
        <v>4356725.18</v>
      </c>
      <c r="K57" s="79">
        <f>'дод 3'!L91</f>
        <v>0</v>
      </c>
      <c r="L57" s="79">
        <f>'дод 3'!M91</f>
        <v>0</v>
      </c>
      <c r="M57" s="79">
        <f>'дод 3'!N91</f>
        <v>0</v>
      </c>
      <c r="N57" s="79">
        <f>'дод 3'!O91</f>
        <v>4356725.18</v>
      </c>
      <c r="O57" s="79">
        <f>'дод 3'!P91</f>
        <v>5057742.7799999993</v>
      </c>
    </row>
    <row r="58" spans="1:15" s="54" customFormat="1" ht="69" customHeight="1" x14ac:dyDescent="0.25">
      <c r="A58" s="37">
        <v>1062</v>
      </c>
      <c r="B58" s="59" t="s">
        <v>55</v>
      </c>
      <c r="C58" s="60" t="s">
        <v>504</v>
      </c>
      <c r="D58" s="49">
        <f>'дод 3'!E92</f>
        <v>40000</v>
      </c>
      <c r="E58" s="49">
        <f>'дод 3'!F92</f>
        <v>40000</v>
      </c>
      <c r="F58" s="49">
        <f>'дод 3'!G92</f>
        <v>0</v>
      </c>
      <c r="G58" s="49">
        <f>'дод 3'!H92</f>
        <v>0</v>
      </c>
      <c r="H58" s="49">
        <f>'дод 3'!I92</f>
        <v>0</v>
      </c>
      <c r="I58" s="49">
        <f>'дод 3'!J92</f>
        <v>0</v>
      </c>
      <c r="J58" s="49">
        <f>'дод 3'!K92</f>
        <v>0</v>
      </c>
      <c r="K58" s="49">
        <f>'дод 3'!L92</f>
        <v>0</v>
      </c>
      <c r="L58" s="49">
        <f>'дод 3'!M92</f>
        <v>0</v>
      </c>
      <c r="M58" s="49">
        <f>'дод 3'!N92</f>
        <v>0</v>
      </c>
      <c r="N58" s="49">
        <f>'дод 3'!O92</f>
        <v>0</v>
      </c>
      <c r="O58" s="49">
        <f>'дод 3'!P92</f>
        <v>40000</v>
      </c>
    </row>
    <row r="59" spans="1:15" s="54" customFormat="1" ht="32.25" customHeight="1" x14ac:dyDescent="0.25">
      <c r="A59" s="77"/>
      <c r="B59" s="83"/>
      <c r="C59" s="86" t="s">
        <v>540</v>
      </c>
      <c r="D59" s="79">
        <f>'дод 3'!E93</f>
        <v>40000</v>
      </c>
      <c r="E59" s="79">
        <f>'дод 3'!F93</f>
        <v>40000</v>
      </c>
      <c r="F59" s="79">
        <f>'дод 3'!G93</f>
        <v>0</v>
      </c>
      <c r="G59" s="79">
        <f>'дод 3'!H93</f>
        <v>0</v>
      </c>
      <c r="H59" s="79">
        <f>'дод 3'!I93</f>
        <v>0</v>
      </c>
      <c r="I59" s="79">
        <f>'дод 3'!J93</f>
        <v>0</v>
      </c>
      <c r="J59" s="79">
        <f>'дод 3'!K93</f>
        <v>0</v>
      </c>
      <c r="K59" s="79">
        <f>'дод 3'!L93</f>
        <v>0</v>
      </c>
      <c r="L59" s="79">
        <f>'дод 3'!M93</f>
        <v>0</v>
      </c>
      <c r="M59" s="79">
        <f>'дод 3'!N93</f>
        <v>0</v>
      </c>
      <c r="N59" s="79">
        <f>'дод 3'!O93</f>
        <v>0</v>
      </c>
      <c r="O59" s="79">
        <f>'дод 3'!P93</f>
        <v>40000</v>
      </c>
    </row>
    <row r="60" spans="1:15" s="54" customFormat="1" ht="38.25" customHeight="1" x14ac:dyDescent="0.25">
      <c r="A60" s="59" t="s">
        <v>54</v>
      </c>
      <c r="B60" s="59" t="s">
        <v>57</v>
      </c>
      <c r="C60" s="60" t="s">
        <v>365</v>
      </c>
      <c r="D60" s="49">
        <f>'дод 3'!E94</f>
        <v>36446395</v>
      </c>
      <c r="E60" s="49">
        <f>'дод 3'!F94</f>
        <v>36446395</v>
      </c>
      <c r="F60" s="49">
        <f>'дод 3'!G94</f>
        <v>26185400</v>
      </c>
      <c r="G60" s="49">
        <f>'дод 3'!H94</f>
        <v>3773845</v>
      </c>
      <c r="H60" s="49">
        <f>'дод 3'!I94</f>
        <v>0</v>
      </c>
      <c r="I60" s="49">
        <f>'дод 3'!J94</f>
        <v>112500</v>
      </c>
      <c r="J60" s="49">
        <f>'дод 3'!K94</f>
        <v>112500</v>
      </c>
      <c r="K60" s="49">
        <f>'дод 3'!L94</f>
        <v>0</v>
      </c>
      <c r="L60" s="49">
        <f>'дод 3'!M94</f>
        <v>0</v>
      </c>
      <c r="M60" s="49">
        <f>'дод 3'!N94</f>
        <v>0</v>
      </c>
      <c r="N60" s="49">
        <f>'дод 3'!O94</f>
        <v>112500</v>
      </c>
      <c r="O60" s="49">
        <f>'дод 3'!P94</f>
        <v>36558895</v>
      </c>
    </row>
    <row r="61" spans="1:15" s="54" customFormat="1" ht="16.5" customHeight="1" x14ac:dyDescent="0.25">
      <c r="A61" s="92">
        <v>1080</v>
      </c>
      <c r="B61" s="59" t="s">
        <v>57</v>
      </c>
      <c r="C61" s="60" t="s">
        <v>509</v>
      </c>
      <c r="D61" s="49">
        <f>'дод 3'!E215</f>
        <v>51160475</v>
      </c>
      <c r="E61" s="49">
        <f>'дод 3'!F215</f>
        <v>51160475</v>
      </c>
      <c r="F61" s="49">
        <f>'дод 3'!G215</f>
        <v>40594000</v>
      </c>
      <c r="G61" s="49">
        <f>'дод 3'!H215</f>
        <v>990275</v>
      </c>
      <c r="H61" s="49">
        <f>'дод 3'!I215</f>
        <v>0</v>
      </c>
      <c r="I61" s="49">
        <f>'дод 3'!J215</f>
        <v>2729100</v>
      </c>
      <c r="J61" s="49">
        <f>'дод 3'!K215</f>
        <v>0</v>
      </c>
      <c r="K61" s="49">
        <f>'дод 3'!L215</f>
        <v>2725970</v>
      </c>
      <c r="L61" s="49">
        <f>'дод 3'!M215</f>
        <v>2226904</v>
      </c>
      <c r="M61" s="49">
        <f>'дод 3'!N215</f>
        <v>0</v>
      </c>
      <c r="N61" s="49">
        <f>'дод 3'!O215</f>
        <v>3130</v>
      </c>
      <c r="O61" s="49">
        <f>'дод 3'!P215</f>
        <v>53889575</v>
      </c>
    </row>
    <row r="62" spans="1:15" s="54" customFormat="1" ht="21" customHeight="1" x14ac:dyDescent="0.25">
      <c r="A62" s="59" t="s">
        <v>478</v>
      </c>
      <c r="B62" s="59" t="s">
        <v>58</v>
      </c>
      <c r="C62" s="36" t="s">
        <v>510</v>
      </c>
      <c r="D62" s="49">
        <f>'дод 3'!E95</f>
        <v>11570150</v>
      </c>
      <c r="E62" s="49">
        <f>'дод 3'!F95</f>
        <v>11570150</v>
      </c>
      <c r="F62" s="49">
        <f>'дод 3'!G95</f>
        <v>8331500</v>
      </c>
      <c r="G62" s="49">
        <f>'дод 3'!H95</f>
        <v>768150</v>
      </c>
      <c r="H62" s="49">
        <f>'дод 3'!I95</f>
        <v>0</v>
      </c>
      <c r="I62" s="49">
        <f>'дод 3'!J95</f>
        <v>0</v>
      </c>
      <c r="J62" s="49">
        <f>'дод 3'!K95</f>
        <v>0</v>
      </c>
      <c r="K62" s="49">
        <f>'дод 3'!L95</f>
        <v>0</v>
      </c>
      <c r="L62" s="49">
        <f>'дод 3'!M95</f>
        <v>0</v>
      </c>
      <c r="M62" s="49">
        <f>'дод 3'!N95</f>
        <v>0</v>
      </c>
      <c r="N62" s="49">
        <f>'дод 3'!O95</f>
        <v>0</v>
      </c>
      <c r="O62" s="49">
        <f>'дод 3'!P95</f>
        <v>11570150</v>
      </c>
    </row>
    <row r="63" spans="1:15" x14ac:dyDescent="0.25">
      <c r="A63" s="59" t="s">
        <v>480</v>
      </c>
      <c r="B63" s="59" t="s">
        <v>58</v>
      </c>
      <c r="C63" s="36" t="s">
        <v>281</v>
      </c>
      <c r="D63" s="49">
        <f>'дод 3'!E96</f>
        <v>113000</v>
      </c>
      <c r="E63" s="49">
        <f>'дод 3'!F96</f>
        <v>113000</v>
      </c>
      <c r="F63" s="49">
        <f>'дод 3'!G96</f>
        <v>0</v>
      </c>
      <c r="G63" s="49">
        <f>'дод 3'!H96</f>
        <v>0</v>
      </c>
      <c r="H63" s="49">
        <f>'дод 3'!I96</f>
        <v>0</v>
      </c>
      <c r="I63" s="49">
        <f>'дод 3'!J96</f>
        <v>0</v>
      </c>
      <c r="J63" s="49">
        <f>'дод 3'!K96</f>
        <v>0</v>
      </c>
      <c r="K63" s="49">
        <f>'дод 3'!L96</f>
        <v>0</v>
      </c>
      <c r="L63" s="49">
        <f>'дод 3'!M96</f>
        <v>0</v>
      </c>
      <c r="M63" s="49">
        <f>'дод 3'!N96</f>
        <v>0</v>
      </c>
      <c r="N63" s="49">
        <f>'дод 3'!O96</f>
        <v>0</v>
      </c>
      <c r="O63" s="49">
        <f>'дод 3'!P96</f>
        <v>113000</v>
      </c>
    </row>
    <row r="64" spans="1:15" ht="31.5" x14ac:dyDescent="0.25">
      <c r="A64" s="59" t="s">
        <v>482</v>
      </c>
      <c r="B64" s="59" t="s">
        <v>58</v>
      </c>
      <c r="C64" s="60" t="s">
        <v>483</v>
      </c>
      <c r="D64" s="49">
        <f>'дод 3'!E97</f>
        <v>135033</v>
      </c>
      <c r="E64" s="49">
        <f>'дод 3'!F97</f>
        <v>135033</v>
      </c>
      <c r="F64" s="49">
        <f>'дод 3'!G97</f>
        <v>0</v>
      </c>
      <c r="G64" s="49">
        <f>'дод 3'!H97</f>
        <v>80633</v>
      </c>
      <c r="H64" s="49">
        <f>'дод 3'!I97</f>
        <v>0</v>
      </c>
      <c r="I64" s="49">
        <f>'дод 3'!J97</f>
        <v>0</v>
      </c>
      <c r="J64" s="49">
        <f>'дод 3'!K97</f>
        <v>0</v>
      </c>
      <c r="K64" s="49">
        <f>'дод 3'!L97</f>
        <v>0</v>
      </c>
      <c r="L64" s="49">
        <f>'дод 3'!M97</f>
        <v>0</v>
      </c>
      <c r="M64" s="49">
        <f>'дод 3'!N97</f>
        <v>0</v>
      </c>
      <c r="N64" s="49">
        <f>'дод 3'!O97</f>
        <v>0</v>
      </c>
      <c r="O64" s="49">
        <f>'дод 3'!P97</f>
        <v>135033</v>
      </c>
    </row>
    <row r="65" spans="1:15" ht="36.75" customHeight="1" x14ac:dyDescent="0.25">
      <c r="A65" s="59" t="s">
        <v>485</v>
      </c>
      <c r="B65" s="59" t="s">
        <v>58</v>
      </c>
      <c r="C65" s="60" t="s">
        <v>511</v>
      </c>
      <c r="D65" s="49">
        <f>'дод 3'!E98</f>
        <v>1499036</v>
      </c>
      <c r="E65" s="49">
        <f>'дод 3'!F98</f>
        <v>1499036</v>
      </c>
      <c r="F65" s="49">
        <f>'дод 3'!G98</f>
        <v>1228720</v>
      </c>
      <c r="G65" s="49">
        <f>'дод 3'!H98</f>
        <v>0</v>
      </c>
      <c r="H65" s="49">
        <f>'дод 3'!I98</f>
        <v>0</v>
      </c>
      <c r="I65" s="49">
        <f>'дод 3'!J98</f>
        <v>0</v>
      </c>
      <c r="J65" s="49">
        <f>'дод 3'!K98</f>
        <v>0</v>
      </c>
      <c r="K65" s="49">
        <f>'дод 3'!L98</f>
        <v>0</v>
      </c>
      <c r="L65" s="49">
        <f>'дод 3'!M98</f>
        <v>0</v>
      </c>
      <c r="M65" s="49">
        <f>'дод 3'!N98</f>
        <v>0</v>
      </c>
      <c r="N65" s="49">
        <f>'дод 3'!O98</f>
        <v>0</v>
      </c>
      <c r="O65" s="49">
        <f>'дод 3'!P98</f>
        <v>1499036</v>
      </c>
    </row>
    <row r="66" spans="1:15" ht="49.5" customHeight="1" x14ac:dyDescent="0.25">
      <c r="A66" s="37"/>
      <c r="B66" s="37"/>
      <c r="C66" s="86" t="s">
        <v>384</v>
      </c>
      <c r="D66" s="79">
        <f>'дод 3'!E99</f>
        <v>1499036</v>
      </c>
      <c r="E66" s="79">
        <f>'дод 3'!F99</f>
        <v>1499036</v>
      </c>
      <c r="F66" s="79">
        <f>'дод 3'!G99</f>
        <v>1228720</v>
      </c>
      <c r="G66" s="79">
        <f>'дод 3'!H99</f>
        <v>0</v>
      </c>
      <c r="H66" s="79">
        <f>'дод 3'!I99</f>
        <v>0</v>
      </c>
      <c r="I66" s="79">
        <f>'дод 3'!J99</f>
        <v>0</v>
      </c>
      <c r="J66" s="79">
        <f>'дод 3'!K99</f>
        <v>0</v>
      </c>
      <c r="K66" s="79">
        <f>'дод 3'!L99</f>
        <v>0</v>
      </c>
      <c r="L66" s="79">
        <f>'дод 3'!M99</f>
        <v>0</v>
      </c>
      <c r="M66" s="79">
        <f>'дод 3'!N99</f>
        <v>0</v>
      </c>
      <c r="N66" s="79">
        <f>'дод 3'!O99</f>
        <v>0</v>
      </c>
      <c r="O66" s="79">
        <f>'дод 3'!P99</f>
        <v>1499036</v>
      </c>
    </row>
    <row r="67" spans="1:15" s="54" customFormat="1" ht="31.5" x14ac:dyDescent="0.25">
      <c r="A67" s="59" t="s">
        <v>487</v>
      </c>
      <c r="B67" s="59" t="str">
        <f>'дод 7'!A19</f>
        <v>0160</v>
      </c>
      <c r="C67" s="60" t="s">
        <v>488</v>
      </c>
      <c r="D67" s="49">
        <f>'дод 3'!E100</f>
        <v>2552577</v>
      </c>
      <c r="E67" s="49">
        <f>'дод 3'!F100</f>
        <v>2552577</v>
      </c>
      <c r="F67" s="49">
        <f>'дод 3'!G100</f>
        <v>1877000</v>
      </c>
      <c r="G67" s="49">
        <f>'дод 3'!H100</f>
        <v>115177</v>
      </c>
      <c r="H67" s="49">
        <f>'дод 3'!I100</f>
        <v>0</v>
      </c>
      <c r="I67" s="49">
        <f>'дод 3'!J100</f>
        <v>41000</v>
      </c>
      <c r="J67" s="49">
        <f>'дод 3'!K100</f>
        <v>41000</v>
      </c>
      <c r="K67" s="49">
        <f>'дод 3'!L100</f>
        <v>0</v>
      </c>
      <c r="L67" s="49">
        <f>'дод 3'!M100</f>
        <v>0</v>
      </c>
      <c r="M67" s="49">
        <f>'дод 3'!N100</f>
        <v>0</v>
      </c>
      <c r="N67" s="49">
        <f>'дод 3'!O100</f>
        <v>41000</v>
      </c>
      <c r="O67" s="49">
        <f>'дод 3'!P100</f>
        <v>2593577</v>
      </c>
    </row>
    <row r="68" spans="1:15" s="54" customFormat="1" ht="66" customHeight="1" x14ac:dyDescent="0.25">
      <c r="A68" s="59" t="s">
        <v>567</v>
      </c>
      <c r="B68" s="59" t="s">
        <v>58</v>
      </c>
      <c r="C68" s="60" t="s">
        <v>570</v>
      </c>
      <c r="D68" s="49">
        <f>'дод 3'!E101</f>
        <v>0</v>
      </c>
      <c r="E68" s="49">
        <f>'дод 3'!F101</f>
        <v>0</v>
      </c>
      <c r="F68" s="49">
        <f>'дод 3'!G101</f>
        <v>0</v>
      </c>
      <c r="G68" s="49">
        <f>'дод 3'!H101</f>
        <v>0</v>
      </c>
      <c r="H68" s="49">
        <f>'дод 3'!I101</f>
        <v>0</v>
      </c>
      <c r="I68" s="49">
        <f>'дод 3'!J101</f>
        <v>1522670</v>
      </c>
      <c r="J68" s="49">
        <f>'дод 3'!K101</f>
        <v>1522670</v>
      </c>
      <c r="K68" s="49">
        <f>'дод 3'!L101</f>
        <v>0</v>
      </c>
      <c r="L68" s="49">
        <f>'дод 3'!M101</f>
        <v>0</v>
      </c>
      <c r="M68" s="49">
        <f>'дод 3'!N101</f>
        <v>0</v>
      </c>
      <c r="N68" s="49">
        <f>'дод 3'!O101</f>
        <v>1522670</v>
      </c>
      <c r="O68" s="49">
        <f>'дод 3'!P101</f>
        <v>1522670</v>
      </c>
    </row>
    <row r="69" spans="1:15" s="54" customFormat="1" ht="65.25" customHeight="1" x14ac:dyDescent="0.25">
      <c r="A69" s="59" t="s">
        <v>557</v>
      </c>
      <c r="B69" s="59" t="s">
        <v>58</v>
      </c>
      <c r="C69" s="60" t="s">
        <v>617</v>
      </c>
      <c r="D69" s="98">
        <f>'дод 3'!E102</f>
        <v>287772</v>
      </c>
      <c r="E69" s="98">
        <f>'дод 3'!F102</f>
        <v>287772</v>
      </c>
      <c r="F69" s="98">
        <f>'дод 3'!G102</f>
        <v>0</v>
      </c>
      <c r="G69" s="98">
        <f>'дод 3'!H102</f>
        <v>0</v>
      </c>
      <c r="H69" s="98">
        <f>'дод 3'!I102</f>
        <v>0</v>
      </c>
      <c r="I69" s="98">
        <f>'дод 3'!J102</f>
        <v>2859728</v>
      </c>
      <c r="J69" s="98">
        <f>'дод 3'!K102</f>
        <v>2859728</v>
      </c>
      <c r="K69" s="98">
        <f>'дод 3'!L102</f>
        <v>0</v>
      </c>
      <c r="L69" s="98">
        <f>'дод 3'!M102</f>
        <v>0</v>
      </c>
      <c r="M69" s="98">
        <f>'дод 3'!N102</f>
        <v>0</v>
      </c>
      <c r="N69" s="98">
        <f>'дод 3'!O102</f>
        <v>2859728</v>
      </c>
      <c r="O69" s="98">
        <f>'дод 3'!P102</f>
        <v>3147500</v>
      </c>
    </row>
    <row r="70" spans="1:15" s="54" customFormat="1" ht="47.25" x14ac:dyDescent="0.25">
      <c r="A70" s="83"/>
      <c r="B70" s="83"/>
      <c r="C70" s="86" t="s">
        <v>602</v>
      </c>
      <c r="D70" s="100">
        <f>'дод 3'!E103</f>
        <v>287772</v>
      </c>
      <c r="E70" s="100">
        <f>'дод 3'!F103</f>
        <v>287772</v>
      </c>
      <c r="F70" s="100">
        <f>'дод 3'!G103</f>
        <v>0</v>
      </c>
      <c r="G70" s="100">
        <f>'дод 3'!H103</f>
        <v>0</v>
      </c>
      <c r="H70" s="100">
        <f>'дод 3'!I103</f>
        <v>0</v>
      </c>
      <c r="I70" s="100">
        <f>'дод 3'!J103</f>
        <v>2859728</v>
      </c>
      <c r="J70" s="100">
        <f>'дод 3'!K103</f>
        <v>2859728</v>
      </c>
      <c r="K70" s="100">
        <f>'дод 3'!L103</f>
        <v>0</v>
      </c>
      <c r="L70" s="100">
        <f>'дод 3'!M103</f>
        <v>0</v>
      </c>
      <c r="M70" s="100">
        <f>'дод 3'!N103</f>
        <v>0</v>
      </c>
      <c r="N70" s="100">
        <f>'дод 3'!O103</f>
        <v>2859728</v>
      </c>
      <c r="O70" s="100">
        <f>'дод 3'!P103</f>
        <v>3147500</v>
      </c>
    </row>
    <row r="71" spans="1:15" s="54" customFormat="1" ht="78.75" x14ac:dyDescent="0.25">
      <c r="A71" s="59" t="s">
        <v>569</v>
      </c>
      <c r="B71" s="59" t="s">
        <v>58</v>
      </c>
      <c r="C71" s="60" t="s">
        <v>595</v>
      </c>
      <c r="D71" s="98">
        <f>'дод 3'!E104</f>
        <v>2092093.9</v>
      </c>
      <c r="E71" s="98">
        <f>'дод 3'!F104</f>
        <v>2092093.9</v>
      </c>
      <c r="F71" s="98">
        <f>'дод 3'!G104</f>
        <v>0</v>
      </c>
      <c r="G71" s="98">
        <f>'дод 3'!H104</f>
        <v>0</v>
      </c>
      <c r="H71" s="98">
        <f>'дод 3'!I104</f>
        <v>0</v>
      </c>
      <c r="I71" s="98">
        <f>'дод 3'!J104</f>
        <v>364158.1</v>
      </c>
      <c r="J71" s="98">
        <f>'дод 3'!K104</f>
        <v>364158.1</v>
      </c>
      <c r="K71" s="98">
        <f>'дод 3'!L104</f>
        <v>0</v>
      </c>
      <c r="L71" s="98">
        <f>'дод 3'!M104</f>
        <v>0</v>
      </c>
      <c r="M71" s="98">
        <f>'дод 3'!N104</f>
        <v>0</v>
      </c>
      <c r="N71" s="98">
        <f>'дод 3'!O104</f>
        <v>364158.1</v>
      </c>
      <c r="O71" s="98">
        <f>'дод 3'!P104</f>
        <v>2456252</v>
      </c>
    </row>
    <row r="72" spans="1:15" s="54" customFormat="1" x14ac:dyDescent="0.25">
      <c r="A72" s="83"/>
      <c r="B72" s="83"/>
      <c r="C72" s="86" t="s">
        <v>395</v>
      </c>
      <c r="D72" s="100">
        <f>'дод 3'!E105</f>
        <v>150000</v>
      </c>
      <c r="E72" s="100">
        <f>'дод 3'!F105</f>
        <v>150000</v>
      </c>
      <c r="F72" s="100">
        <f>'дод 3'!G105</f>
        <v>0</v>
      </c>
      <c r="G72" s="100">
        <f>'дод 3'!H105</f>
        <v>0</v>
      </c>
      <c r="H72" s="100">
        <f>'дод 3'!I105</f>
        <v>0</v>
      </c>
      <c r="I72" s="100">
        <f>'дод 3'!J105</f>
        <v>0</v>
      </c>
      <c r="J72" s="100">
        <f>'дод 3'!K105</f>
        <v>0</v>
      </c>
      <c r="K72" s="100">
        <f>'дод 3'!L105</f>
        <v>0</v>
      </c>
      <c r="L72" s="100">
        <f>'дод 3'!M105</f>
        <v>0</v>
      </c>
      <c r="M72" s="100">
        <f>'дод 3'!N105</f>
        <v>0</v>
      </c>
      <c r="N72" s="100">
        <f>'дод 3'!O105</f>
        <v>0</v>
      </c>
      <c r="O72" s="100">
        <f>'дод 3'!P105</f>
        <v>150000</v>
      </c>
    </row>
    <row r="73" spans="1:15" s="54" customFormat="1" ht="63" x14ac:dyDescent="0.25">
      <c r="A73" s="59" t="s">
        <v>558</v>
      </c>
      <c r="B73" s="59" t="s">
        <v>58</v>
      </c>
      <c r="C73" s="60" t="s">
        <v>603</v>
      </c>
      <c r="D73" s="49">
        <f>'дод 3'!E106</f>
        <v>6262701.0999999996</v>
      </c>
      <c r="E73" s="49">
        <f>'дод 3'!F106</f>
        <v>6262701.0999999996</v>
      </c>
      <c r="F73" s="49">
        <f>'дод 3'!G106</f>
        <v>57829</v>
      </c>
      <c r="G73" s="49">
        <f>'дод 3'!H106</f>
        <v>0</v>
      </c>
      <c r="H73" s="49">
        <f>'дод 3'!I106</f>
        <v>0</v>
      </c>
      <c r="I73" s="49">
        <f>'дод 3'!J106</f>
        <v>644361.9</v>
      </c>
      <c r="J73" s="49">
        <f>'дод 3'!K106</f>
        <v>644361.9</v>
      </c>
      <c r="K73" s="49">
        <f>'дод 3'!L106</f>
        <v>0</v>
      </c>
      <c r="L73" s="49">
        <f>'дод 3'!M106</f>
        <v>0</v>
      </c>
      <c r="M73" s="49">
        <f>'дод 3'!N106</f>
        <v>0</v>
      </c>
      <c r="N73" s="49">
        <f>'дод 3'!O106</f>
        <v>644361.9</v>
      </c>
      <c r="O73" s="49">
        <f>'дод 3'!P106</f>
        <v>6907063</v>
      </c>
    </row>
    <row r="74" spans="1:15" s="54" customFormat="1" ht="68.25" customHeight="1" x14ac:dyDescent="0.25">
      <c r="A74" s="83"/>
      <c r="B74" s="83"/>
      <c r="C74" s="86" t="s">
        <v>559</v>
      </c>
      <c r="D74" s="79">
        <f>'дод 3'!E107</f>
        <v>6262701.0999999996</v>
      </c>
      <c r="E74" s="79">
        <f>'дод 3'!F107</f>
        <v>6262701.0999999996</v>
      </c>
      <c r="F74" s="79">
        <f>'дод 3'!G107</f>
        <v>57829</v>
      </c>
      <c r="G74" s="79">
        <f>'дод 3'!H107</f>
        <v>0</v>
      </c>
      <c r="H74" s="79">
        <f>'дод 3'!I107</f>
        <v>0</v>
      </c>
      <c r="I74" s="79">
        <f>'дод 3'!J107</f>
        <v>644361.9</v>
      </c>
      <c r="J74" s="79">
        <f>'дод 3'!K107</f>
        <v>644361.9</v>
      </c>
      <c r="K74" s="79">
        <f>'дод 3'!L107</f>
        <v>0</v>
      </c>
      <c r="L74" s="79">
        <f>'дод 3'!M107</f>
        <v>0</v>
      </c>
      <c r="M74" s="79">
        <f>'дод 3'!N107</f>
        <v>0</v>
      </c>
      <c r="N74" s="79">
        <f>'дод 3'!O107</f>
        <v>644361.9</v>
      </c>
      <c r="O74" s="79">
        <f>'дод 3'!P107</f>
        <v>6907063</v>
      </c>
    </row>
    <row r="75" spans="1:15" s="54" customFormat="1" ht="63" x14ac:dyDescent="0.25">
      <c r="A75" s="59" t="s">
        <v>490</v>
      </c>
      <c r="B75" s="59" t="s">
        <v>58</v>
      </c>
      <c r="C75" s="93" t="s">
        <v>512</v>
      </c>
      <c r="D75" s="49">
        <f>'дод 3'!E108</f>
        <v>2417470</v>
      </c>
      <c r="E75" s="49">
        <f>'дод 3'!F108</f>
        <v>2417470</v>
      </c>
      <c r="F75" s="49">
        <f>'дод 3'!G108</f>
        <v>1299695</v>
      </c>
      <c r="G75" s="49">
        <f>'дод 3'!H108</f>
        <v>0</v>
      </c>
      <c r="H75" s="49">
        <f>'дод 3'!I108</f>
        <v>0</v>
      </c>
      <c r="I75" s="49">
        <f>'дод 3'!J108</f>
        <v>72000</v>
      </c>
      <c r="J75" s="49">
        <f>'дод 3'!K108</f>
        <v>72000</v>
      </c>
      <c r="K75" s="49">
        <f>'дод 3'!L108</f>
        <v>0</v>
      </c>
      <c r="L75" s="49">
        <f>'дод 3'!M108</f>
        <v>0</v>
      </c>
      <c r="M75" s="49">
        <f>'дод 3'!N108</f>
        <v>0</v>
      </c>
      <c r="N75" s="49">
        <f>'дод 3'!O108</f>
        <v>72000</v>
      </c>
      <c r="O75" s="49">
        <f>'дод 3'!P108</f>
        <v>2489470</v>
      </c>
    </row>
    <row r="76" spans="1:15" s="54" customFormat="1" ht="65.25" customHeight="1" x14ac:dyDescent="0.25">
      <c r="A76" s="59"/>
      <c r="B76" s="59"/>
      <c r="C76" s="86" t="s">
        <v>383</v>
      </c>
      <c r="D76" s="79">
        <f>'дод 3'!E109</f>
        <v>2417470</v>
      </c>
      <c r="E76" s="79">
        <f>'дод 3'!F109</f>
        <v>2417470</v>
      </c>
      <c r="F76" s="79">
        <f>'дод 3'!G109</f>
        <v>1299695</v>
      </c>
      <c r="G76" s="79">
        <f>'дод 3'!H109</f>
        <v>0</v>
      </c>
      <c r="H76" s="79">
        <f>'дод 3'!I109</f>
        <v>0</v>
      </c>
      <c r="I76" s="79">
        <f>'дод 3'!J109</f>
        <v>72000</v>
      </c>
      <c r="J76" s="79">
        <f>'дод 3'!K109</f>
        <v>72000</v>
      </c>
      <c r="K76" s="79">
        <f>'дод 3'!L109</f>
        <v>0</v>
      </c>
      <c r="L76" s="79">
        <f>'дод 3'!M109</f>
        <v>0</v>
      </c>
      <c r="M76" s="79">
        <f>'дод 3'!N109</f>
        <v>0</v>
      </c>
      <c r="N76" s="79">
        <f>'дод 3'!O109</f>
        <v>72000</v>
      </c>
      <c r="O76" s="79">
        <f>'дод 3'!P109</f>
        <v>2489470</v>
      </c>
    </row>
    <row r="77" spans="1:15" s="54" customFormat="1" ht="63" x14ac:dyDescent="0.25">
      <c r="A77" s="59" t="s">
        <v>524</v>
      </c>
      <c r="B77" s="59" t="s">
        <v>58</v>
      </c>
      <c r="C77" s="36" t="s">
        <v>522</v>
      </c>
      <c r="D77" s="49">
        <f>'дод 3'!E110</f>
        <v>1315285.79</v>
      </c>
      <c r="E77" s="49">
        <f>'дод 3'!F110</f>
        <v>1315285.79</v>
      </c>
      <c r="F77" s="49">
        <f>'дод 3'!G110</f>
        <v>1034620</v>
      </c>
      <c r="G77" s="49">
        <f>'дод 3'!H110</f>
        <v>0</v>
      </c>
      <c r="H77" s="49">
        <f>'дод 3'!I110</f>
        <v>0</v>
      </c>
      <c r="I77" s="49">
        <f>'дод 3'!J110</f>
        <v>0</v>
      </c>
      <c r="J77" s="49">
        <f>'дод 3'!K110</f>
        <v>0</v>
      </c>
      <c r="K77" s="49">
        <f>'дод 3'!L110</f>
        <v>0</v>
      </c>
      <c r="L77" s="49">
        <f>'дод 3'!M110</f>
        <v>0</v>
      </c>
      <c r="M77" s="49">
        <f>'дод 3'!N110</f>
        <v>0</v>
      </c>
      <c r="N77" s="49">
        <f>'дод 3'!O110</f>
        <v>0</v>
      </c>
      <c r="O77" s="49">
        <f>'дод 3'!P110</f>
        <v>1315285.79</v>
      </c>
    </row>
    <row r="78" spans="1:15" s="54" customFormat="1" ht="63" x14ac:dyDescent="0.25">
      <c r="A78" s="59"/>
      <c r="B78" s="59"/>
      <c r="C78" s="86" t="s">
        <v>523</v>
      </c>
      <c r="D78" s="79">
        <f>'дод 3'!E111</f>
        <v>1315285.79</v>
      </c>
      <c r="E78" s="79">
        <f>'дод 3'!F111</f>
        <v>1315285.79</v>
      </c>
      <c r="F78" s="79">
        <f>'дод 3'!G111</f>
        <v>1034620</v>
      </c>
      <c r="G78" s="79">
        <f>'дод 3'!H111</f>
        <v>0</v>
      </c>
      <c r="H78" s="79">
        <f>'дод 3'!I111</f>
        <v>0</v>
      </c>
      <c r="I78" s="79">
        <f>'дод 3'!J111</f>
        <v>0</v>
      </c>
      <c r="J78" s="79">
        <f>'дод 3'!K111</f>
        <v>0</v>
      </c>
      <c r="K78" s="79">
        <f>'дод 3'!L111</f>
        <v>0</v>
      </c>
      <c r="L78" s="79">
        <f>'дод 3'!M111</f>
        <v>0</v>
      </c>
      <c r="M78" s="79">
        <f>'дод 3'!N111</f>
        <v>0</v>
      </c>
      <c r="N78" s="79">
        <f>'дод 3'!O111</f>
        <v>0</v>
      </c>
      <c r="O78" s="79">
        <f>'дод 3'!P111</f>
        <v>1315285.79</v>
      </c>
    </row>
    <row r="79" spans="1:15" s="52" customFormat="1" ht="19.5" customHeight="1" x14ac:dyDescent="0.25">
      <c r="A79" s="38" t="s">
        <v>59</v>
      </c>
      <c r="B79" s="39"/>
      <c r="C79" s="9" t="s">
        <v>525</v>
      </c>
      <c r="D79" s="48">
        <f>D84+D89+D91+D93+D95+D98+D99+D88</f>
        <v>97517093.400000006</v>
      </c>
      <c r="E79" s="48">
        <f t="shared" ref="E79:O79" si="12">E84+E89+E91+E93+E95+E98+E99+E88</f>
        <v>97517093.400000006</v>
      </c>
      <c r="F79" s="48">
        <f t="shared" si="12"/>
        <v>2387600</v>
      </c>
      <c r="G79" s="48">
        <f t="shared" si="12"/>
        <v>75184</v>
      </c>
      <c r="H79" s="48">
        <f t="shared" si="12"/>
        <v>0</v>
      </c>
      <c r="I79" s="48">
        <f t="shared" si="12"/>
        <v>98537320.819999993</v>
      </c>
      <c r="J79" s="48">
        <f t="shared" si="12"/>
        <v>98537320.819999993</v>
      </c>
      <c r="K79" s="48">
        <f t="shared" si="12"/>
        <v>0</v>
      </c>
      <c r="L79" s="48">
        <f t="shared" si="12"/>
        <v>0</v>
      </c>
      <c r="M79" s="48">
        <f t="shared" si="12"/>
        <v>0</v>
      </c>
      <c r="N79" s="48">
        <f t="shared" si="12"/>
        <v>98537320.819999993</v>
      </c>
      <c r="O79" s="48">
        <f t="shared" si="12"/>
        <v>196054414.22</v>
      </c>
    </row>
    <row r="80" spans="1:15" s="53" customFormat="1" ht="31.5" hidden="1" x14ac:dyDescent="0.25">
      <c r="A80" s="70"/>
      <c r="B80" s="73"/>
      <c r="C80" s="74" t="s">
        <v>390</v>
      </c>
      <c r="D80" s="75">
        <f>D85+D90+D92</f>
        <v>0</v>
      </c>
      <c r="E80" s="75">
        <f t="shared" ref="E80:O80" si="13">E85+E90+E92</f>
        <v>0</v>
      </c>
      <c r="F80" s="75">
        <f t="shared" si="13"/>
        <v>0</v>
      </c>
      <c r="G80" s="75">
        <f t="shared" si="13"/>
        <v>0</v>
      </c>
      <c r="H80" s="75">
        <f t="shared" si="13"/>
        <v>0</v>
      </c>
      <c r="I80" s="75">
        <f t="shared" si="13"/>
        <v>0</v>
      </c>
      <c r="J80" s="75">
        <f t="shared" si="13"/>
        <v>0</v>
      </c>
      <c r="K80" s="75">
        <f t="shared" si="13"/>
        <v>0</v>
      </c>
      <c r="L80" s="75">
        <f t="shared" si="13"/>
        <v>0</v>
      </c>
      <c r="M80" s="75">
        <f t="shared" si="13"/>
        <v>0</v>
      </c>
      <c r="N80" s="75">
        <f t="shared" si="13"/>
        <v>0</v>
      </c>
      <c r="O80" s="75">
        <f t="shared" si="13"/>
        <v>0</v>
      </c>
    </row>
    <row r="81" spans="1:15" s="53" customFormat="1" ht="47.25" hidden="1" x14ac:dyDescent="0.25">
      <c r="A81" s="70"/>
      <c r="B81" s="73"/>
      <c r="C81" s="74" t="s">
        <v>391</v>
      </c>
      <c r="D81" s="75">
        <f>D86+D96</f>
        <v>0</v>
      </c>
      <c r="E81" s="75">
        <f t="shared" ref="E81:O81" si="14">E86+E96</f>
        <v>0</v>
      </c>
      <c r="F81" s="75">
        <f t="shared" si="14"/>
        <v>0</v>
      </c>
      <c r="G81" s="75">
        <f t="shared" si="14"/>
        <v>0</v>
      </c>
      <c r="H81" s="75">
        <f t="shared" si="14"/>
        <v>0</v>
      </c>
      <c r="I81" s="75">
        <f t="shared" si="14"/>
        <v>0</v>
      </c>
      <c r="J81" s="75">
        <f t="shared" si="14"/>
        <v>0</v>
      </c>
      <c r="K81" s="75">
        <f t="shared" si="14"/>
        <v>0</v>
      </c>
      <c r="L81" s="75">
        <f t="shared" si="14"/>
        <v>0</v>
      </c>
      <c r="M81" s="75">
        <f t="shared" si="14"/>
        <v>0</v>
      </c>
      <c r="N81" s="75">
        <f t="shared" si="14"/>
        <v>0</v>
      </c>
      <c r="O81" s="75">
        <f t="shared" si="14"/>
        <v>0</v>
      </c>
    </row>
    <row r="82" spans="1:15" s="53" customFormat="1" ht="66.75" customHeight="1" x14ac:dyDescent="0.25">
      <c r="A82" s="70"/>
      <c r="B82" s="73"/>
      <c r="C82" s="74" t="s">
        <v>392</v>
      </c>
      <c r="D82" s="75">
        <f>D94+D97</f>
        <v>11403700</v>
      </c>
      <c r="E82" s="75">
        <f t="shared" ref="E82:O82" si="15">E94+E97</f>
        <v>11403700</v>
      </c>
      <c r="F82" s="75">
        <f t="shared" si="15"/>
        <v>0</v>
      </c>
      <c r="G82" s="75">
        <f t="shared" si="15"/>
        <v>0</v>
      </c>
      <c r="H82" s="75">
        <f t="shared" si="15"/>
        <v>0</v>
      </c>
      <c r="I82" s="75">
        <f t="shared" si="15"/>
        <v>0</v>
      </c>
      <c r="J82" s="75">
        <f t="shared" si="15"/>
        <v>0</v>
      </c>
      <c r="K82" s="75">
        <f t="shared" si="15"/>
        <v>0</v>
      </c>
      <c r="L82" s="75">
        <f t="shared" si="15"/>
        <v>0</v>
      </c>
      <c r="M82" s="75">
        <f t="shared" si="15"/>
        <v>0</v>
      </c>
      <c r="N82" s="75">
        <f t="shared" si="15"/>
        <v>0</v>
      </c>
      <c r="O82" s="75">
        <f t="shared" si="15"/>
        <v>11403700</v>
      </c>
    </row>
    <row r="83" spans="1:15" s="53" customFormat="1" x14ac:dyDescent="0.25">
      <c r="A83" s="70"/>
      <c r="B83" s="73"/>
      <c r="C83" s="74" t="s">
        <v>393</v>
      </c>
      <c r="D83" s="75">
        <f>D87</f>
        <v>124646</v>
      </c>
      <c r="E83" s="75">
        <f t="shared" ref="E83:O83" si="16">E87</f>
        <v>124646</v>
      </c>
      <c r="F83" s="75">
        <f t="shared" si="16"/>
        <v>0</v>
      </c>
      <c r="G83" s="75">
        <f t="shared" si="16"/>
        <v>0</v>
      </c>
      <c r="H83" s="75">
        <f t="shared" si="16"/>
        <v>0</v>
      </c>
      <c r="I83" s="75">
        <f t="shared" si="16"/>
        <v>5750000</v>
      </c>
      <c r="J83" s="75">
        <f t="shared" si="16"/>
        <v>5750000</v>
      </c>
      <c r="K83" s="75">
        <f t="shared" si="16"/>
        <v>0</v>
      </c>
      <c r="L83" s="75">
        <f t="shared" si="16"/>
        <v>0</v>
      </c>
      <c r="M83" s="75">
        <f t="shared" si="16"/>
        <v>0</v>
      </c>
      <c r="N83" s="75">
        <f t="shared" si="16"/>
        <v>5750000</v>
      </c>
      <c r="O83" s="75">
        <f t="shared" si="16"/>
        <v>5874646</v>
      </c>
    </row>
    <row r="84" spans="1:15" ht="33" customHeight="1" x14ac:dyDescent="0.25">
      <c r="A84" s="37" t="s">
        <v>60</v>
      </c>
      <c r="B84" s="37" t="s">
        <v>61</v>
      </c>
      <c r="C84" s="6" t="s">
        <v>612</v>
      </c>
      <c r="D84" s="49">
        <f>'дод 3'!E138</f>
        <v>46532713.399999999</v>
      </c>
      <c r="E84" s="49">
        <f>'дод 3'!F138</f>
        <v>46532713.399999999</v>
      </c>
      <c r="F84" s="49">
        <f>'дод 3'!G138</f>
        <v>0</v>
      </c>
      <c r="G84" s="49">
        <f>'дод 3'!H138</f>
        <v>0</v>
      </c>
      <c r="H84" s="49">
        <f>'дод 3'!I138</f>
        <v>0</v>
      </c>
      <c r="I84" s="49">
        <f>'дод 3'!J138</f>
        <v>53545966.82</v>
      </c>
      <c r="J84" s="49">
        <f>'дод 3'!K138</f>
        <v>53545966.82</v>
      </c>
      <c r="K84" s="49">
        <f>'дод 3'!L138</f>
        <v>0</v>
      </c>
      <c r="L84" s="49">
        <f>'дод 3'!M138</f>
        <v>0</v>
      </c>
      <c r="M84" s="49">
        <f>'дод 3'!N138</f>
        <v>0</v>
      </c>
      <c r="N84" s="49">
        <f>'дод 3'!O138</f>
        <v>53545966.82</v>
      </c>
      <c r="O84" s="49">
        <f>'дод 3'!P138</f>
        <v>100078680.22</v>
      </c>
    </row>
    <row r="85" spans="1:15" s="54" customFormat="1" ht="31.5" hidden="1" customHeight="1" x14ac:dyDescent="0.25">
      <c r="A85" s="77"/>
      <c r="B85" s="77"/>
      <c r="C85" s="78" t="s">
        <v>390</v>
      </c>
      <c r="D85" s="79">
        <f>'дод 3'!E139</f>
        <v>0</v>
      </c>
      <c r="E85" s="79">
        <f>'дод 3'!F139</f>
        <v>0</v>
      </c>
      <c r="F85" s="79">
        <f>'дод 3'!G139</f>
        <v>0</v>
      </c>
      <c r="G85" s="79">
        <f>'дод 3'!H139</f>
        <v>0</v>
      </c>
      <c r="H85" s="79">
        <f>'дод 3'!I139</f>
        <v>0</v>
      </c>
      <c r="I85" s="79">
        <f>'дод 3'!J139</f>
        <v>0</v>
      </c>
      <c r="J85" s="79">
        <f>'дод 3'!K139</f>
        <v>0</v>
      </c>
      <c r="K85" s="79">
        <f>'дод 3'!L139</f>
        <v>0</v>
      </c>
      <c r="L85" s="79">
        <f>'дод 3'!M139</f>
        <v>0</v>
      </c>
      <c r="M85" s="79">
        <f>'дод 3'!N139</f>
        <v>0</v>
      </c>
      <c r="N85" s="79">
        <f>'дод 3'!O139</f>
        <v>0</v>
      </c>
      <c r="O85" s="79">
        <f>'дод 3'!P139</f>
        <v>0</v>
      </c>
    </row>
    <row r="86" spans="1:15" s="54" customFormat="1" ht="47.25" hidden="1" x14ac:dyDescent="0.25">
      <c r="A86" s="77"/>
      <c r="B86" s="77"/>
      <c r="C86" s="78" t="s">
        <v>391</v>
      </c>
      <c r="D86" s="79">
        <f>'дод 3'!E140</f>
        <v>0</v>
      </c>
      <c r="E86" s="79">
        <f>'дод 3'!F140</f>
        <v>0</v>
      </c>
      <c r="F86" s="79">
        <f>'дод 3'!G140</f>
        <v>0</v>
      </c>
      <c r="G86" s="79">
        <f>'дод 3'!H140</f>
        <v>0</v>
      </c>
      <c r="H86" s="79">
        <f>'дод 3'!I140</f>
        <v>0</v>
      </c>
      <c r="I86" s="79">
        <f>'дод 3'!J140</f>
        <v>0</v>
      </c>
      <c r="J86" s="79">
        <f>'дод 3'!K140</f>
        <v>0</v>
      </c>
      <c r="K86" s="79">
        <f>'дод 3'!L140</f>
        <v>0</v>
      </c>
      <c r="L86" s="79">
        <f>'дод 3'!M140</f>
        <v>0</v>
      </c>
      <c r="M86" s="79">
        <f>'дод 3'!N140</f>
        <v>0</v>
      </c>
      <c r="N86" s="79">
        <f>'дод 3'!O140</f>
        <v>0</v>
      </c>
      <c r="O86" s="79">
        <f>'дод 3'!P140</f>
        <v>0</v>
      </c>
    </row>
    <row r="87" spans="1:15" s="54" customFormat="1" x14ac:dyDescent="0.25">
      <c r="A87" s="77"/>
      <c r="B87" s="77"/>
      <c r="C87" s="78" t="s">
        <v>393</v>
      </c>
      <c r="D87" s="79">
        <f>'дод 3'!E141</f>
        <v>124646</v>
      </c>
      <c r="E87" s="79">
        <f>'дод 3'!F141</f>
        <v>124646</v>
      </c>
      <c r="F87" s="79">
        <f>'дод 3'!G141</f>
        <v>0</v>
      </c>
      <c r="G87" s="79">
        <f>'дод 3'!H141</f>
        <v>0</v>
      </c>
      <c r="H87" s="79">
        <f>'дод 3'!I141</f>
        <v>0</v>
      </c>
      <c r="I87" s="79">
        <f>'дод 3'!J141</f>
        <v>5750000</v>
      </c>
      <c r="J87" s="79">
        <f>'дод 3'!K141</f>
        <v>5750000</v>
      </c>
      <c r="K87" s="79">
        <f>'дод 3'!L141</f>
        <v>0</v>
      </c>
      <c r="L87" s="79">
        <f>'дод 3'!M141</f>
        <v>0</v>
      </c>
      <c r="M87" s="79">
        <f>'дод 3'!N141</f>
        <v>0</v>
      </c>
      <c r="N87" s="79">
        <f>'дод 3'!O141</f>
        <v>5750000</v>
      </c>
      <c r="O87" s="79">
        <f>'дод 3'!P141</f>
        <v>5874646</v>
      </c>
    </row>
    <row r="88" spans="1:15" ht="31.5" x14ac:dyDescent="0.25">
      <c r="A88" s="37">
        <v>2020</v>
      </c>
      <c r="B88" s="58" t="s">
        <v>447</v>
      </c>
      <c r="C88" s="6" t="s">
        <v>450</v>
      </c>
      <c r="D88" s="49">
        <f>'дод 3'!E142</f>
        <v>90000</v>
      </c>
      <c r="E88" s="49">
        <f>'дод 3'!F142</f>
        <v>90000</v>
      </c>
      <c r="F88" s="49">
        <f>'дод 3'!G142</f>
        <v>0</v>
      </c>
      <c r="G88" s="49">
        <f>'дод 3'!H142</f>
        <v>0</v>
      </c>
      <c r="H88" s="49">
        <f>'дод 3'!I142</f>
        <v>0</v>
      </c>
      <c r="I88" s="49">
        <f>'дод 3'!J142</f>
        <v>0</v>
      </c>
      <c r="J88" s="49">
        <f>'дод 3'!K142</f>
        <v>0</v>
      </c>
      <c r="K88" s="49">
        <f>'дод 3'!L142</f>
        <v>0</v>
      </c>
      <c r="L88" s="49">
        <f>'дод 3'!M142</f>
        <v>0</v>
      </c>
      <c r="M88" s="49">
        <f>'дод 3'!N142</f>
        <v>0</v>
      </c>
      <c r="N88" s="49">
        <f>'дод 3'!O142</f>
        <v>0</v>
      </c>
      <c r="O88" s="49">
        <f>'дод 3'!P142</f>
        <v>90000</v>
      </c>
    </row>
    <row r="89" spans="1:15" ht="36.75" customHeight="1" x14ac:dyDescent="0.25">
      <c r="A89" s="37" t="s">
        <v>120</v>
      </c>
      <c r="B89" s="37" t="s">
        <v>62</v>
      </c>
      <c r="C89" s="6" t="s">
        <v>463</v>
      </c>
      <c r="D89" s="49">
        <f>'дод 3'!E143</f>
        <v>4498159</v>
      </c>
      <c r="E89" s="49">
        <f>'дод 3'!F143</f>
        <v>4498159</v>
      </c>
      <c r="F89" s="49">
        <f>'дод 3'!G143</f>
        <v>0</v>
      </c>
      <c r="G89" s="49">
        <f>'дод 3'!H143</f>
        <v>0</v>
      </c>
      <c r="H89" s="49">
        <f>'дод 3'!I143</f>
        <v>0</v>
      </c>
      <c r="I89" s="49">
        <f>'дод 3'!J143</f>
        <v>5100000</v>
      </c>
      <c r="J89" s="49">
        <f>'дод 3'!K143</f>
        <v>5100000</v>
      </c>
      <c r="K89" s="49">
        <f>'дод 3'!L143</f>
        <v>0</v>
      </c>
      <c r="L89" s="49">
        <f>'дод 3'!M143</f>
        <v>0</v>
      </c>
      <c r="M89" s="49">
        <f>'дод 3'!N143</f>
        <v>0</v>
      </c>
      <c r="N89" s="49">
        <f>'дод 3'!O143</f>
        <v>5100000</v>
      </c>
      <c r="O89" s="49">
        <f>'дод 3'!P143</f>
        <v>9598159</v>
      </c>
    </row>
    <row r="90" spans="1:15" s="54" customFormat="1" ht="31.5" hidden="1" customHeight="1" x14ac:dyDescent="0.25">
      <c r="A90" s="77"/>
      <c r="B90" s="77"/>
      <c r="C90" s="78" t="s">
        <v>390</v>
      </c>
      <c r="D90" s="79">
        <f>'дод 3'!E144</f>
        <v>0</v>
      </c>
      <c r="E90" s="79">
        <f>'дод 3'!F144</f>
        <v>0</v>
      </c>
      <c r="F90" s="79">
        <f>'дод 3'!G144</f>
        <v>0</v>
      </c>
      <c r="G90" s="79">
        <f>'дод 3'!H144</f>
        <v>0</v>
      </c>
      <c r="H90" s="79">
        <f>'дод 3'!I144</f>
        <v>0</v>
      </c>
      <c r="I90" s="79">
        <f>'дод 3'!J144</f>
        <v>0</v>
      </c>
      <c r="J90" s="79">
        <f>'дод 3'!K144</f>
        <v>0</v>
      </c>
      <c r="K90" s="79">
        <f>'дод 3'!L144</f>
        <v>0</v>
      </c>
      <c r="L90" s="79">
        <f>'дод 3'!M144</f>
        <v>0</v>
      </c>
      <c r="M90" s="79">
        <f>'дод 3'!N144</f>
        <v>0</v>
      </c>
      <c r="N90" s="79">
        <f>'дод 3'!O144</f>
        <v>0</v>
      </c>
      <c r="O90" s="79">
        <f>'дод 3'!P144</f>
        <v>0</v>
      </c>
    </row>
    <row r="91" spans="1:15" ht="19.5" customHeight="1" x14ac:dyDescent="0.25">
      <c r="A91" s="37" t="s">
        <v>121</v>
      </c>
      <c r="B91" s="37" t="s">
        <v>63</v>
      </c>
      <c r="C91" s="6" t="s">
        <v>464</v>
      </c>
      <c r="D91" s="49">
        <f>'дод 3'!E145</f>
        <v>7745106</v>
      </c>
      <c r="E91" s="49">
        <f>'дод 3'!F145</f>
        <v>7745106</v>
      </c>
      <c r="F91" s="49">
        <f>'дод 3'!G145</f>
        <v>0</v>
      </c>
      <c r="G91" s="49">
        <f>'дод 3'!H145</f>
        <v>0</v>
      </c>
      <c r="H91" s="49">
        <f>'дод 3'!I145</f>
        <v>0</v>
      </c>
      <c r="I91" s="49">
        <f>'дод 3'!J145</f>
        <v>0</v>
      </c>
      <c r="J91" s="49">
        <f>'дод 3'!K145</f>
        <v>0</v>
      </c>
      <c r="K91" s="49">
        <f>'дод 3'!L145</f>
        <v>0</v>
      </c>
      <c r="L91" s="49">
        <f>'дод 3'!M145</f>
        <v>0</v>
      </c>
      <c r="M91" s="49">
        <f>'дод 3'!N145</f>
        <v>0</v>
      </c>
      <c r="N91" s="49">
        <f>'дод 3'!O145</f>
        <v>0</v>
      </c>
      <c r="O91" s="49">
        <f>'дод 3'!P145</f>
        <v>7745106</v>
      </c>
    </row>
    <row r="92" spans="1:15" s="54" customFormat="1" ht="31.5" hidden="1" customHeight="1" x14ac:dyDescent="0.25">
      <c r="A92" s="77"/>
      <c r="B92" s="77"/>
      <c r="C92" s="78" t="s">
        <v>390</v>
      </c>
      <c r="D92" s="79">
        <f>'дод 3'!E146</f>
        <v>0</v>
      </c>
      <c r="E92" s="79">
        <f>'дод 3'!F146</f>
        <v>0</v>
      </c>
      <c r="F92" s="79">
        <f>'дод 3'!G146</f>
        <v>0</v>
      </c>
      <c r="G92" s="79">
        <f>'дод 3'!H146</f>
        <v>0</v>
      </c>
      <c r="H92" s="79">
        <f>'дод 3'!I146</f>
        <v>0</v>
      </c>
      <c r="I92" s="79">
        <f>'дод 3'!J146</f>
        <v>0</v>
      </c>
      <c r="J92" s="79">
        <f>'дод 3'!K146</f>
        <v>0</v>
      </c>
      <c r="K92" s="79">
        <f>'дод 3'!L146</f>
        <v>0</v>
      </c>
      <c r="L92" s="79">
        <f>'дод 3'!M146</f>
        <v>0</v>
      </c>
      <c r="M92" s="79">
        <f>'дод 3'!N146</f>
        <v>0</v>
      </c>
      <c r="N92" s="79">
        <f>'дод 3'!O146</f>
        <v>0</v>
      </c>
      <c r="O92" s="79">
        <f>'дод 3'!P146</f>
        <v>0</v>
      </c>
    </row>
    <row r="93" spans="1:15" ht="48.75" customHeight="1" x14ac:dyDescent="0.25">
      <c r="A93" s="37" t="s">
        <v>122</v>
      </c>
      <c r="B93" s="37" t="s">
        <v>313</v>
      </c>
      <c r="C93" s="6" t="s">
        <v>465</v>
      </c>
      <c r="D93" s="49">
        <f>'дод 3'!E147</f>
        <v>3732831</v>
      </c>
      <c r="E93" s="49">
        <f>'дод 3'!F147</f>
        <v>3732831</v>
      </c>
      <c r="F93" s="49">
        <f>'дод 3'!G147</f>
        <v>0</v>
      </c>
      <c r="G93" s="49">
        <f>'дод 3'!H147</f>
        <v>0</v>
      </c>
      <c r="H93" s="49">
        <f>'дод 3'!I147</f>
        <v>0</v>
      </c>
      <c r="I93" s="49">
        <f>'дод 3'!J147</f>
        <v>0</v>
      </c>
      <c r="J93" s="49">
        <f>'дод 3'!K147</f>
        <v>0</v>
      </c>
      <c r="K93" s="49">
        <f>'дод 3'!L147</f>
        <v>0</v>
      </c>
      <c r="L93" s="49">
        <f>'дод 3'!M147</f>
        <v>0</v>
      </c>
      <c r="M93" s="49">
        <f>'дод 3'!N147</f>
        <v>0</v>
      </c>
      <c r="N93" s="49">
        <f>'дод 3'!O147</f>
        <v>0</v>
      </c>
      <c r="O93" s="49">
        <f>'дод 3'!P147</f>
        <v>3732831</v>
      </c>
    </row>
    <row r="94" spans="1:15" s="54" customFormat="1" ht="47.25" hidden="1" customHeight="1" x14ac:dyDescent="0.25">
      <c r="A94" s="77"/>
      <c r="B94" s="77"/>
      <c r="C94" s="80" t="s">
        <v>392</v>
      </c>
      <c r="D94" s="79">
        <f>'дод 3'!E148</f>
        <v>0</v>
      </c>
      <c r="E94" s="79">
        <f>'дод 3'!F148</f>
        <v>0</v>
      </c>
      <c r="F94" s="79">
        <f>'дод 3'!G148</f>
        <v>0</v>
      </c>
      <c r="G94" s="79">
        <f>'дод 3'!H148</f>
        <v>0</v>
      </c>
      <c r="H94" s="79">
        <f>'дод 3'!I148</f>
        <v>0</v>
      </c>
      <c r="I94" s="79">
        <f>'дод 3'!J148</f>
        <v>0</v>
      </c>
      <c r="J94" s="79">
        <f>'дод 3'!K148</f>
        <v>0</v>
      </c>
      <c r="K94" s="79">
        <f>'дод 3'!L148</f>
        <v>0</v>
      </c>
      <c r="L94" s="79">
        <f>'дод 3'!M148</f>
        <v>0</v>
      </c>
      <c r="M94" s="79">
        <f>'дод 3'!N148</f>
        <v>0</v>
      </c>
      <c r="N94" s="79">
        <f>'дод 3'!O148</f>
        <v>0</v>
      </c>
      <c r="O94" s="79">
        <f>'дод 3'!P148</f>
        <v>0</v>
      </c>
    </row>
    <row r="95" spans="1:15" ht="31.5" x14ac:dyDescent="0.25">
      <c r="A95" s="40">
        <v>2144</v>
      </c>
      <c r="B95" s="37" t="s">
        <v>64</v>
      </c>
      <c r="C95" s="6" t="s">
        <v>404</v>
      </c>
      <c r="D95" s="49">
        <f>'дод 3'!E149</f>
        <v>11403700</v>
      </c>
      <c r="E95" s="49">
        <f>'дод 3'!F149</f>
        <v>11403700</v>
      </c>
      <c r="F95" s="49">
        <f>'дод 3'!G149</f>
        <v>0</v>
      </c>
      <c r="G95" s="49">
        <f>'дод 3'!H149</f>
        <v>0</v>
      </c>
      <c r="H95" s="49">
        <f>'дод 3'!I149</f>
        <v>0</v>
      </c>
      <c r="I95" s="49">
        <f>'дод 3'!J149</f>
        <v>0</v>
      </c>
      <c r="J95" s="49">
        <f>'дод 3'!K149</f>
        <v>0</v>
      </c>
      <c r="K95" s="49">
        <f>'дод 3'!L149</f>
        <v>0</v>
      </c>
      <c r="L95" s="49">
        <f>'дод 3'!M149</f>
        <v>0</v>
      </c>
      <c r="M95" s="49">
        <f>'дод 3'!N149</f>
        <v>0</v>
      </c>
      <c r="N95" s="49">
        <f>'дод 3'!O149</f>
        <v>0</v>
      </c>
      <c r="O95" s="49">
        <f>'дод 3'!P149</f>
        <v>11403700</v>
      </c>
    </row>
    <row r="96" spans="1:15" s="54" customFormat="1" ht="47.25" hidden="1" customHeight="1" x14ac:dyDescent="0.25">
      <c r="A96" s="81"/>
      <c r="B96" s="77"/>
      <c r="C96" s="78" t="s">
        <v>391</v>
      </c>
      <c r="D96" s="79">
        <f>'дод 3'!E150</f>
        <v>0</v>
      </c>
      <c r="E96" s="79">
        <f>'дод 3'!F150</f>
        <v>0</v>
      </c>
      <c r="F96" s="79">
        <f>'дод 3'!G150</f>
        <v>0</v>
      </c>
      <c r="G96" s="79">
        <f>'дод 3'!H150</f>
        <v>0</v>
      </c>
      <c r="H96" s="79">
        <f>'дод 3'!I150</f>
        <v>0</v>
      </c>
      <c r="I96" s="79">
        <f>'дод 3'!J150</f>
        <v>0</v>
      </c>
      <c r="J96" s="79">
        <f>'дод 3'!K150</f>
        <v>0</v>
      </c>
      <c r="K96" s="79">
        <f>'дод 3'!L150</f>
        <v>0</v>
      </c>
      <c r="L96" s="79">
        <f>'дод 3'!M150</f>
        <v>0</v>
      </c>
      <c r="M96" s="79">
        <f>'дод 3'!N150</f>
        <v>0</v>
      </c>
      <c r="N96" s="79">
        <f>'дод 3'!O150</f>
        <v>0</v>
      </c>
      <c r="O96" s="79">
        <f>'дод 3'!P150</f>
        <v>0</v>
      </c>
    </row>
    <row r="97" spans="1:15" s="54" customFormat="1" ht="47.25" x14ac:dyDescent="0.25">
      <c r="A97" s="81"/>
      <c r="B97" s="77"/>
      <c r="C97" s="78" t="s">
        <v>392</v>
      </c>
      <c r="D97" s="79">
        <f>'дод 3'!E151</f>
        <v>11403700</v>
      </c>
      <c r="E97" s="79">
        <f>'дод 3'!F151</f>
        <v>11403700</v>
      </c>
      <c r="F97" s="79">
        <f>'дод 3'!G151</f>
        <v>0</v>
      </c>
      <c r="G97" s="79">
        <f>'дод 3'!H151</f>
        <v>0</v>
      </c>
      <c r="H97" s="79">
        <f>'дод 3'!I151</f>
        <v>0</v>
      </c>
      <c r="I97" s="79">
        <f>'дод 3'!J151</f>
        <v>0</v>
      </c>
      <c r="J97" s="79">
        <f>'дод 3'!K151</f>
        <v>0</v>
      </c>
      <c r="K97" s="79">
        <f>'дод 3'!L151</f>
        <v>0</v>
      </c>
      <c r="L97" s="79">
        <f>'дод 3'!M151</f>
        <v>0</v>
      </c>
      <c r="M97" s="79">
        <f>'дод 3'!N151</f>
        <v>0</v>
      </c>
      <c r="N97" s="79">
        <f>'дод 3'!O151</f>
        <v>0</v>
      </c>
      <c r="O97" s="79">
        <f>'дод 3'!P151</f>
        <v>11403700</v>
      </c>
    </row>
    <row r="98" spans="1:15" ht="33.75" customHeight="1" x14ac:dyDescent="0.25">
      <c r="A98" s="37" t="s">
        <v>282</v>
      </c>
      <c r="B98" s="37" t="s">
        <v>64</v>
      </c>
      <c r="C98" s="3" t="s">
        <v>284</v>
      </c>
      <c r="D98" s="49">
        <f>'дод 3'!E152</f>
        <v>3075784</v>
      </c>
      <c r="E98" s="49">
        <f>'дод 3'!F152</f>
        <v>3075784</v>
      </c>
      <c r="F98" s="49">
        <f>'дод 3'!G152</f>
        <v>2387600</v>
      </c>
      <c r="G98" s="49">
        <f>'дод 3'!H152</f>
        <v>75184</v>
      </c>
      <c r="H98" s="49">
        <f>'дод 3'!I152</f>
        <v>0</v>
      </c>
      <c r="I98" s="49">
        <f>'дод 3'!J152</f>
        <v>0</v>
      </c>
      <c r="J98" s="49">
        <f>'дод 3'!K152</f>
        <v>0</v>
      </c>
      <c r="K98" s="49">
        <f>'дод 3'!L152</f>
        <v>0</v>
      </c>
      <c r="L98" s="49">
        <f>'дод 3'!M152</f>
        <v>0</v>
      </c>
      <c r="M98" s="49">
        <f>'дод 3'!N152</f>
        <v>0</v>
      </c>
      <c r="N98" s="49">
        <f>'дод 3'!O152</f>
        <v>0</v>
      </c>
      <c r="O98" s="49">
        <f>'дод 3'!P152</f>
        <v>3075784</v>
      </c>
    </row>
    <row r="99" spans="1:15" ht="21.75" customHeight="1" x14ac:dyDescent="0.25">
      <c r="A99" s="37" t="s">
        <v>283</v>
      </c>
      <c r="B99" s="37" t="s">
        <v>64</v>
      </c>
      <c r="C99" s="3" t="s">
        <v>285</v>
      </c>
      <c r="D99" s="49">
        <f>'дод 3'!E153</f>
        <v>20438800</v>
      </c>
      <c r="E99" s="49">
        <f>'дод 3'!F153</f>
        <v>20438800</v>
      </c>
      <c r="F99" s="49">
        <f>'дод 3'!G153</f>
        <v>0</v>
      </c>
      <c r="G99" s="49">
        <f>'дод 3'!H153</f>
        <v>0</v>
      </c>
      <c r="H99" s="49">
        <f>'дод 3'!I153</f>
        <v>0</v>
      </c>
      <c r="I99" s="49">
        <f>'дод 3'!J153</f>
        <v>39891354</v>
      </c>
      <c r="J99" s="49">
        <f>'дод 3'!K153</f>
        <v>39891354</v>
      </c>
      <c r="K99" s="49">
        <f>'дод 3'!L153</f>
        <v>0</v>
      </c>
      <c r="L99" s="49">
        <f>'дод 3'!M153</f>
        <v>0</v>
      </c>
      <c r="M99" s="49">
        <f>'дод 3'!N153</f>
        <v>0</v>
      </c>
      <c r="N99" s="49">
        <f>'дод 3'!O153</f>
        <v>39891354</v>
      </c>
      <c r="O99" s="49">
        <f>'дод 3'!P153</f>
        <v>60330154</v>
      </c>
    </row>
    <row r="100" spans="1:15" s="52" customFormat="1" ht="33" customHeight="1" x14ac:dyDescent="0.25">
      <c r="A100" s="38" t="s">
        <v>65</v>
      </c>
      <c r="B100" s="41"/>
      <c r="C100" s="2" t="s">
        <v>513</v>
      </c>
      <c r="D100" s="48">
        <f>D106+D107+D108+D110+D111+D112+D114+D116+D117+D118+D119+D120+D121+D122+D123+D125+D127+D128+D129+D130+D131+D132+D134+D138+D139</f>
        <v>150036390.34999999</v>
      </c>
      <c r="E100" s="48">
        <f t="shared" ref="E100:O100" si="17">E106+E107+E108+E110+E111+E112+E114+E116+E117+E118+E119+E120+E121+E122+E123+E125+E127+E128+E129+E130+E131+E132+E134+E138+E139</f>
        <v>150036390.34999999</v>
      </c>
      <c r="F100" s="48">
        <f t="shared" si="17"/>
        <v>21152068</v>
      </c>
      <c r="G100" s="48">
        <f t="shared" si="17"/>
        <v>977151</v>
      </c>
      <c r="H100" s="48">
        <f t="shared" si="17"/>
        <v>0</v>
      </c>
      <c r="I100" s="48">
        <f t="shared" si="17"/>
        <v>2465611.0499999998</v>
      </c>
      <c r="J100" s="48">
        <f t="shared" si="17"/>
        <v>2369411.0499999998</v>
      </c>
      <c r="K100" s="48">
        <f t="shared" si="17"/>
        <v>96200</v>
      </c>
      <c r="L100" s="48">
        <f t="shared" si="17"/>
        <v>75000</v>
      </c>
      <c r="M100" s="48">
        <f t="shared" si="17"/>
        <v>0</v>
      </c>
      <c r="N100" s="48">
        <f t="shared" si="17"/>
        <v>2369411.0499999998</v>
      </c>
      <c r="O100" s="48">
        <f t="shared" si="17"/>
        <v>152502001.39999998</v>
      </c>
    </row>
    <row r="101" spans="1:15" s="53" customFormat="1" ht="262.5" hidden="1" customHeight="1" x14ac:dyDescent="0.25">
      <c r="A101" s="70"/>
      <c r="B101" s="71"/>
      <c r="C101" s="74" t="s">
        <v>444</v>
      </c>
      <c r="D101" s="75">
        <f>D133</f>
        <v>0</v>
      </c>
      <c r="E101" s="75">
        <f t="shared" ref="E101:O101" si="18">E133</f>
        <v>0</v>
      </c>
      <c r="F101" s="75">
        <f t="shared" si="18"/>
        <v>0</v>
      </c>
      <c r="G101" s="75">
        <f t="shared" si="18"/>
        <v>0</v>
      </c>
      <c r="H101" s="75">
        <f t="shared" si="18"/>
        <v>0</v>
      </c>
      <c r="I101" s="75">
        <f t="shared" si="18"/>
        <v>975480.06</v>
      </c>
      <c r="J101" s="75">
        <f t="shared" si="18"/>
        <v>975480.06</v>
      </c>
      <c r="K101" s="75">
        <f t="shared" si="18"/>
        <v>0</v>
      </c>
      <c r="L101" s="75">
        <f t="shared" si="18"/>
        <v>0</v>
      </c>
      <c r="M101" s="75">
        <f t="shared" si="18"/>
        <v>0</v>
      </c>
      <c r="N101" s="75">
        <f t="shared" si="18"/>
        <v>975480.06</v>
      </c>
      <c r="O101" s="75">
        <f t="shared" si="18"/>
        <v>975480.06</v>
      </c>
    </row>
    <row r="102" spans="1:15" s="53" customFormat="1" ht="231" hidden="1" customHeight="1" x14ac:dyDescent="0.25">
      <c r="A102" s="70"/>
      <c r="B102" s="71"/>
      <c r="C102" s="74" t="s">
        <v>443</v>
      </c>
      <c r="D102" s="75">
        <f>D137</f>
        <v>0</v>
      </c>
      <c r="E102" s="75">
        <f t="shared" ref="E102:O102" si="19">E137</f>
        <v>0</v>
      </c>
      <c r="F102" s="75">
        <f t="shared" si="19"/>
        <v>0</v>
      </c>
      <c r="G102" s="75">
        <f t="shared" si="19"/>
        <v>0</v>
      </c>
      <c r="H102" s="75">
        <f t="shared" si="19"/>
        <v>0</v>
      </c>
      <c r="I102" s="75">
        <f t="shared" si="19"/>
        <v>0</v>
      </c>
      <c r="J102" s="75">
        <f t="shared" si="19"/>
        <v>0</v>
      </c>
      <c r="K102" s="75">
        <f t="shared" si="19"/>
        <v>0</v>
      </c>
      <c r="L102" s="75">
        <f t="shared" si="19"/>
        <v>0</v>
      </c>
      <c r="M102" s="75">
        <f t="shared" si="19"/>
        <v>0</v>
      </c>
      <c r="N102" s="75">
        <f t="shared" si="19"/>
        <v>0</v>
      </c>
      <c r="O102" s="75">
        <f t="shared" si="19"/>
        <v>0</v>
      </c>
    </row>
    <row r="103" spans="1:15" s="53" customFormat="1" x14ac:dyDescent="0.25">
      <c r="A103" s="70"/>
      <c r="B103" s="71"/>
      <c r="C103" s="74" t="s">
        <v>395</v>
      </c>
      <c r="D103" s="75">
        <f>D109+D113+D115+D124+D126+D140</f>
        <v>7402508.2400000002</v>
      </c>
      <c r="E103" s="75">
        <f t="shared" ref="E103:O103" si="20">E109+E113+E115+E124+E126+E140</f>
        <v>7402508.2400000002</v>
      </c>
      <c r="F103" s="75">
        <f t="shared" si="20"/>
        <v>0</v>
      </c>
      <c r="G103" s="75">
        <f t="shared" si="20"/>
        <v>0</v>
      </c>
      <c r="H103" s="75">
        <f t="shared" si="20"/>
        <v>0</v>
      </c>
      <c r="I103" s="75">
        <f t="shared" si="20"/>
        <v>0</v>
      </c>
      <c r="J103" s="75">
        <f t="shared" si="20"/>
        <v>0</v>
      </c>
      <c r="K103" s="75">
        <f t="shared" si="20"/>
        <v>0</v>
      </c>
      <c r="L103" s="75">
        <f t="shared" si="20"/>
        <v>0</v>
      </c>
      <c r="M103" s="75">
        <f t="shared" si="20"/>
        <v>0</v>
      </c>
      <c r="N103" s="75">
        <f t="shared" si="20"/>
        <v>0</v>
      </c>
      <c r="O103" s="75">
        <f t="shared" si="20"/>
        <v>7402508.2400000002</v>
      </c>
    </row>
    <row r="104" spans="1:15" s="53" customFormat="1" ht="291" customHeight="1" x14ac:dyDescent="0.25">
      <c r="A104" s="70"/>
      <c r="B104" s="71"/>
      <c r="C104" s="76" t="s">
        <v>579</v>
      </c>
      <c r="D104" s="75">
        <f>D133</f>
        <v>0</v>
      </c>
      <c r="E104" s="75">
        <f t="shared" ref="E104:O104" si="21">E133</f>
        <v>0</v>
      </c>
      <c r="F104" s="75">
        <f t="shared" si="21"/>
        <v>0</v>
      </c>
      <c r="G104" s="75">
        <f t="shared" si="21"/>
        <v>0</v>
      </c>
      <c r="H104" s="75">
        <f t="shared" si="21"/>
        <v>0</v>
      </c>
      <c r="I104" s="75">
        <f t="shared" si="21"/>
        <v>975480.06</v>
      </c>
      <c r="J104" s="75">
        <f t="shared" si="21"/>
        <v>975480.06</v>
      </c>
      <c r="K104" s="75">
        <f t="shared" si="21"/>
        <v>0</v>
      </c>
      <c r="L104" s="75">
        <f t="shared" si="21"/>
        <v>0</v>
      </c>
      <c r="M104" s="75">
        <f t="shared" si="21"/>
        <v>0</v>
      </c>
      <c r="N104" s="75">
        <f t="shared" si="21"/>
        <v>975480.06</v>
      </c>
      <c r="O104" s="75">
        <f t="shared" si="21"/>
        <v>975480.06</v>
      </c>
    </row>
    <row r="105" spans="1:15" s="53" customFormat="1" ht="350.25" customHeight="1" x14ac:dyDescent="0.25">
      <c r="A105" s="70"/>
      <c r="B105" s="71"/>
      <c r="C105" s="76" t="s">
        <v>604</v>
      </c>
      <c r="D105" s="75">
        <f>D135</f>
        <v>0</v>
      </c>
      <c r="E105" s="75">
        <f t="shared" ref="E105:O105" si="22">E135</f>
        <v>0</v>
      </c>
      <c r="F105" s="75">
        <f t="shared" si="22"/>
        <v>0</v>
      </c>
      <c r="G105" s="75">
        <f t="shared" si="22"/>
        <v>0</v>
      </c>
      <c r="H105" s="75">
        <f t="shared" si="22"/>
        <v>0</v>
      </c>
      <c r="I105" s="75">
        <f t="shared" si="22"/>
        <v>1176130.99</v>
      </c>
      <c r="J105" s="75">
        <f t="shared" si="22"/>
        <v>1176130.99</v>
      </c>
      <c r="K105" s="75">
        <f t="shared" si="22"/>
        <v>0</v>
      </c>
      <c r="L105" s="75">
        <f t="shared" si="22"/>
        <v>0</v>
      </c>
      <c r="M105" s="75">
        <f t="shared" si="22"/>
        <v>0</v>
      </c>
      <c r="N105" s="75">
        <f t="shared" si="22"/>
        <v>1176130.99</v>
      </c>
      <c r="O105" s="75">
        <f t="shared" si="22"/>
        <v>1176130.99</v>
      </c>
    </row>
    <row r="106" spans="1:15" ht="38.25" customHeight="1" x14ac:dyDescent="0.25">
      <c r="A106" s="37" t="s">
        <v>98</v>
      </c>
      <c r="B106" s="37" t="s">
        <v>52</v>
      </c>
      <c r="C106" s="3" t="s">
        <v>123</v>
      </c>
      <c r="D106" s="49">
        <f>'дод 3'!E172</f>
        <v>806663</v>
      </c>
      <c r="E106" s="49">
        <f>'дод 3'!F172</f>
        <v>806663</v>
      </c>
      <c r="F106" s="49">
        <f>'дод 3'!G172</f>
        <v>0</v>
      </c>
      <c r="G106" s="49">
        <f>'дод 3'!H172</f>
        <v>0</v>
      </c>
      <c r="H106" s="49">
        <f>'дод 3'!I172</f>
        <v>0</v>
      </c>
      <c r="I106" s="49">
        <f>'дод 3'!J172</f>
        <v>0</v>
      </c>
      <c r="J106" s="49">
        <f>'дод 3'!K172</f>
        <v>0</v>
      </c>
      <c r="K106" s="49">
        <f>'дод 3'!L172</f>
        <v>0</v>
      </c>
      <c r="L106" s="49">
        <f>'дод 3'!M172</f>
        <v>0</v>
      </c>
      <c r="M106" s="49">
        <f>'дод 3'!N172</f>
        <v>0</v>
      </c>
      <c r="N106" s="49">
        <f>'дод 3'!O172</f>
        <v>0</v>
      </c>
      <c r="O106" s="49">
        <f>'дод 3'!P172</f>
        <v>806663</v>
      </c>
    </row>
    <row r="107" spans="1:15" ht="36.75" customHeight="1" x14ac:dyDescent="0.25">
      <c r="A107" s="37" t="s">
        <v>124</v>
      </c>
      <c r="B107" s="37" t="s">
        <v>54</v>
      </c>
      <c r="C107" s="3" t="s">
        <v>360</v>
      </c>
      <c r="D107" s="49">
        <f>'дод 3'!E173</f>
        <v>900230</v>
      </c>
      <c r="E107" s="49">
        <f>'дод 3'!F173</f>
        <v>900230</v>
      </c>
      <c r="F107" s="49">
        <f>'дод 3'!G173</f>
        <v>0</v>
      </c>
      <c r="G107" s="49">
        <f>'дод 3'!H173</f>
        <v>0</v>
      </c>
      <c r="H107" s="49">
        <f>'дод 3'!I173</f>
        <v>0</v>
      </c>
      <c r="I107" s="49">
        <f>'дод 3'!J173</f>
        <v>0</v>
      </c>
      <c r="J107" s="49">
        <f>'дод 3'!K173</f>
        <v>0</v>
      </c>
      <c r="K107" s="49">
        <f>'дод 3'!L173</f>
        <v>0</v>
      </c>
      <c r="L107" s="49">
        <f>'дод 3'!M173</f>
        <v>0</v>
      </c>
      <c r="M107" s="49">
        <f>'дод 3'!N173</f>
        <v>0</v>
      </c>
      <c r="N107" s="49">
        <f>'дод 3'!O173</f>
        <v>0</v>
      </c>
      <c r="O107" s="49">
        <f>'дод 3'!P173</f>
        <v>900230</v>
      </c>
    </row>
    <row r="108" spans="1:15" ht="47.25" x14ac:dyDescent="0.25">
      <c r="A108" s="37" t="s">
        <v>99</v>
      </c>
      <c r="B108" s="37" t="s">
        <v>54</v>
      </c>
      <c r="C108" s="3" t="s">
        <v>594</v>
      </c>
      <c r="D108" s="49">
        <f>'дод 3'!E174+'дод 3'!E26</f>
        <v>22348327.240000002</v>
      </c>
      <c r="E108" s="49">
        <f>'дод 3'!F174+'дод 3'!F26</f>
        <v>22348327.240000002</v>
      </c>
      <c r="F108" s="49">
        <f>'дод 3'!G174+'дод 3'!G26</f>
        <v>0</v>
      </c>
      <c r="G108" s="49">
        <f>'дод 3'!H174+'дод 3'!H26</f>
        <v>0</v>
      </c>
      <c r="H108" s="49">
        <f>'дод 3'!I174+'дод 3'!I26</f>
        <v>0</v>
      </c>
      <c r="I108" s="49">
        <f>'дод 3'!J174+'дод 3'!J26</f>
        <v>0</v>
      </c>
      <c r="J108" s="49">
        <f>'дод 3'!K174+'дод 3'!K26</f>
        <v>0</v>
      </c>
      <c r="K108" s="49">
        <f>'дод 3'!L174+'дод 3'!L26</f>
        <v>0</v>
      </c>
      <c r="L108" s="49">
        <f>'дод 3'!M174+'дод 3'!M26</f>
        <v>0</v>
      </c>
      <c r="M108" s="49">
        <f>'дод 3'!N174+'дод 3'!N26</f>
        <v>0</v>
      </c>
      <c r="N108" s="49">
        <f>'дод 3'!O174+'дод 3'!O26</f>
        <v>0</v>
      </c>
      <c r="O108" s="49">
        <f>'дод 3'!P174+'дод 3'!P26</f>
        <v>22348327.240000002</v>
      </c>
    </row>
    <row r="109" spans="1:15" s="54" customFormat="1" ht="21.75" customHeight="1" x14ac:dyDescent="0.25">
      <c r="A109" s="77"/>
      <c r="B109" s="77"/>
      <c r="C109" s="78" t="s">
        <v>393</v>
      </c>
      <c r="D109" s="79">
        <f>'дод 3'!E175</f>
        <v>5943709.2400000002</v>
      </c>
      <c r="E109" s="79">
        <f>'дод 3'!F175</f>
        <v>5943709.2400000002</v>
      </c>
      <c r="F109" s="79">
        <f>'дод 3'!G175</f>
        <v>0</v>
      </c>
      <c r="G109" s="79">
        <f>'дод 3'!H175</f>
        <v>0</v>
      </c>
      <c r="H109" s="79">
        <f>'дод 3'!I175</f>
        <v>0</v>
      </c>
      <c r="I109" s="79">
        <f>'дод 3'!J175</f>
        <v>0</v>
      </c>
      <c r="J109" s="79">
        <f>'дод 3'!K175</f>
        <v>0</v>
      </c>
      <c r="K109" s="79">
        <f>'дод 3'!L175</f>
        <v>0</v>
      </c>
      <c r="L109" s="79">
        <f>'дод 3'!M175</f>
        <v>0</v>
      </c>
      <c r="M109" s="79">
        <f>'дод 3'!N175</f>
        <v>0</v>
      </c>
      <c r="N109" s="79">
        <f>'дод 3'!O175</f>
        <v>0</v>
      </c>
      <c r="O109" s="79">
        <f>'дод 3'!P175</f>
        <v>5943709.2400000002</v>
      </c>
    </row>
    <row r="110" spans="1:15" ht="36" customHeight="1" x14ac:dyDescent="0.25">
      <c r="A110" s="37" t="s">
        <v>323</v>
      </c>
      <c r="B110" s="37" t="s">
        <v>54</v>
      </c>
      <c r="C110" s="3" t="s">
        <v>322</v>
      </c>
      <c r="D110" s="49">
        <f>'дод 3'!E176</f>
        <v>2000000</v>
      </c>
      <c r="E110" s="49">
        <f>'дод 3'!F176</f>
        <v>2000000</v>
      </c>
      <c r="F110" s="49">
        <f>'дод 3'!G176</f>
        <v>0</v>
      </c>
      <c r="G110" s="49">
        <f>'дод 3'!H176</f>
        <v>0</v>
      </c>
      <c r="H110" s="49">
        <f>'дод 3'!I176</f>
        <v>0</v>
      </c>
      <c r="I110" s="49">
        <f>'дод 3'!J176</f>
        <v>0</v>
      </c>
      <c r="J110" s="49">
        <f>'дод 3'!K176</f>
        <v>0</v>
      </c>
      <c r="K110" s="49">
        <f>'дод 3'!L176</f>
        <v>0</v>
      </c>
      <c r="L110" s="49">
        <f>'дод 3'!M176</f>
        <v>0</v>
      </c>
      <c r="M110" s="49">
        <f>'дод 3'!N176</f>
        <v>0</v>
      </c>
      <c r="N110" s="49">
        <f>'дод 3'!O176</f>
        <v>0</v>
      </c>
      <c r="O110" s="49">
        <f>'дод 3'!P176</f>
        <v>2000000</v>
      </c>
    </row>
    <row r="111" spans="1:15" ht="44.25" customHeight="1" x14ac:dyDescent="0.25">
      <c r="A111" s="37" t="s">
        <v>125</v>
      </c>
      <c r="B111" s="37" t="s">
        <v>54</v>
      </c>
      <c r="C111" s="3" t="s">
        <v>19</v>
      </c>
      <c r="D111" s="49">
        <f>'дод 3'!E177+'дод 3'!E27</f>
        <v>36042686</v>
      </c>
      <c r="E111" s="49">
        <f>'дод 3'!F177+'дод 3'!F27</f>
        <v>36042686</v>
      </c>
      <c r="F111" s="49">
        <f>'дод 3'!G177+'дод 3'!G27</f>
        <v>0</v>
      </c>
      <c r="G111" s="49">
        <f>'дод 3'!H177+'дод 3'!H27</f>
        <v>0</v>
      </c>
      <c r="H111" s="49">
        <f>'дод 3'!I177+'дод 3'!I27</f>
        <v>0</v>
      </c>
      <c r="I111" s="49">
        <f>'дод 3'!J177+'дод 3'!J27</f>
        <v>0</v>
      </c>
      <c r="J111" s="49">
        <f>'дод 3'!K177+'дод 3'!K27</f>
        <v>0</v>
      </c>
      <c r="K111" s="49">
        <f>'дод 3'!L177+'дод 3'!L27</f>
        <v>0</v>
      </c>
      <c r="L111" s="49">
        <f>'дод 3'!M177+'дод 3'!M27</f>
        <v>0</v>
      </c>
      <c r="M111" s="49">
        <f>'дод 3'!N177+'дод 3'!N27</f>
        <v>0</v>
      </c>
      <c r="N111" s="49">
        <f>'дод 3'!O177+'дод 3'!O27</f>
        <v>0</v>
      </c>
      <c r="O111" s="49">
        <f>'дод 3'!P177+'дод 3'!P27</f>
        <v>36042686</v>
      </c>
    </row>
    <row r="112" spans="1:15" ht="45" customHeight="1" x14ac:dyDescent="0.25">
      <c r="A112" s="37" t="s">
        <v>101</v>
      </c>
      <c r="B112" s="37" t="s">
        <v>54</v>
      </c>
      <c r="C112" s="3" t="s">
        <v>409</v>
      </c>
      <c r="D112" s="49">
        <f>'дод 3'!E178</f>
        <v>667500</v>
      </c>
      <c r="E112" s="49">
        <f>'дод 3'!F178</f>
        <v>667500</v>
      </c>
      <c r="F112" s="49">
        <f>'дод 3'!G178</f>
        <v>0</v>
      </c>
      <c r="G112" s="49">
        <f>'дод 3'!H178</f>
        <v>0</v>
      </c>
      <c r="H112" s="49">
        <f>'дод 3'!I178</f>
        <v>0</v>
      </c>
      <c r="I112" s="49">
        <f>'дод 3'!J178</f>
        <v>0</v>
      </c>
      <c r="J112" s="49">
        <f>'дод 3'!K178</f>
        <v>0</v>
      </c>
      <c r="K112" s="49">
        <f>'дод 3'!L178</f>
        <v>0</v>
      </c>
      <c r="L112" s="49">
        <f>'дод 3'!M178</f>
        <v>0</v>
      </c>
      <c r="M112" s="49">
        <f>'дод 3'!N178</f>
        <v>0</v>
      </c>
      <c r="N112" s="49">
        <f>'дод 3'!O178</f>
        <v>0</v>
      </c>
      <c r="O112" s="49">
        <f>'дод 3'!P178</f>
        <v>667500</v>
      </c>
    </row>
    <row r="113" spans="1:15" s="54" customFormat="1" x14ac:dyDescent="0.25">
      <c r="A113" s="77"/>
      <c r="B113" s="77"/>
      <c r="C113" s="78" t="s">
        <v>393</v>
      </c>
      <c r="D113" s="79">
        <f>'дод 3'!E179</f>
        <v>667500</v>
      </c>
      <c r="E113" s="79">
        <f>'дод 3'!F179</f>
        <v>667500</v>
      </c>
      <c r="F113" s="79">
        <f>'дод 3'!G179</f>
        <v>0</v>
      </c>
      <c r="G113" s="79">
        <f>'дод 3'!H179</f>
        <v>0</v>
      </c>
      <c r="H113" s="79">
        <f>'дод 3'!I179</f>
        <v>0</v>
      </c>
      <c r="I113" s="79">
        <f>'дод 3'!J179</f>
        <v>0</v>
      </c>
      <c r="J113" s="79">
        <f>'дод 3'!K179</f>
        <v>0</v>
      </c>
      <c r="K113" s="79">
        <f>'дод 3'!L179</f>
        <v>0</v>
      </c>
      <c r="L113" s="79">
        <f>'дод 3'!M179</f>
        <v>0</v>
      </c>
      <c r="M113" s="79">
        <f>'дод 3'!N179</f>
        <v>0</v>
      </c>
      <c r="N113" s="79">
        <f>'дод 3'!O179</f>
        <v>0</v>
      </c>
      <c r="O113" s="79">
        <f>'дод 3'!P179</f>
        <v>667500</v>
      </c>
    </row>
    <row r="114" spans="1:15" ht="40.5" customHeight="1" x14ac:dyDescent="0.25">
      <c r="A114" s="37" t="s">
        <v>315</v>
      </c>
      <c r="B114" s="37" t="s">
        <v>52</v>
      </c>
      <c r="C114" s="3" t="s">
        <v>410</v>
      </c>
      <c r="D114" s="49">
        <f>'дод 3'!E180</f>
        <v>245000</v>
      </c>
      <c r="E114" s="49">
        <f>'дод 3'!F180</f>
        <v>245000</v>
      </c>
      <c r="F114" s="49">
        <f>'дод 3'!G180</f>
        <v>0</v>
      </c>
      <c r="G114" s="49">
        <f>'дод 3'!H180</f>
        <v>0</v>
      </c>
      <c r="H114" s="49">
        <f>'дод 3'!I180</f>
        <v>0</v>
      </c>
      <c r="I114" s="49">
        <f>'дод 3'!J180</f>
        <v>0</v>
      </c>
      <c r="J114" s="49">
        <f>'дод 3'!K180</f>
        <v>0</v>
      </c>
      <c r="K114" s="49">
        <f>'дод 3'!L180</f>
        <v>0</v>
      </c>
      <c r="L114" s="49">
        <f>'дод 3'!M180</f>
        <v>0</v>
      </c>
      <c r="M114" s="49">
        <f>'дод 3'!N180</f>
        <v>0</v>
      </c>
      <c r="N114" s="49">
        <f>'дод 3'!O180</f>
        <v>0</v>
      </c>
      <c r="O114" s="49">
        <f>'дод 3'!P180</f>
        <v>245000</v>
      </c>
    </row>
    <row r="115" spans="1:15" s="54" customFormat="1" x14ac:dyDescent="0.25">
      <c r="A115" s="77"/>
      <c r="B115" s="77"/>
      <c r="C115" s="78" t="s">
        <v>393</v>
      </c>
      <c r="D115" s="79">
        <f>'дод 3'!E181</f>
        <v>245000</v>
      </c>
      <c r="E115" s="79">
        <f>'дод 3'!F181</f>
        <v>245000</v>
      </c>
      <c r="F115" s="79">
        <f>'дод 3'!G181</f>
        <v>0</v>
      </c>
      <c r="G115" s="79">
        <f>'дод 3'!H181</f>
        <v>0</v>
      </c>
      <c r="H115" s="79">
        <f>'дод 3'!I181</f>
        <v>0</v>
      </c>
      <c r="I115" s="79">
        <f>'дод 3'!J181</f>
        <v>0</v>
      </c>
      <c r="J115" s="79">
        <f>'дод 3'!K181</f>
        <v>0</v>
      </c>
      <c r="K115" s="79">
        <f>'дод 3'!L181</f>
        <v>0</v>
      </c>
      <c r="L115" s="79">
        <f>'дод 3'!M181</f>
        <v>0</v>
      </c>
      <c r="M115" s="79">
        <f>'дод 3'!N181</f>
        <v>0</v>
      </c>
      <c r="N115" s="79">
        <f>'дод 3'!O181</f>
        <v>0</v>
      </c>
      <c r="O115" s="79">
        <f>'дод 3'!P181</f>
        <v>245000</v>
      </c>
    </row>
    <row r="116" spans="1:15" ht="63.75" customHeight="1" x14ac:dyDescent="0.25">
      <c r="A116" s="37" t="s">
        <v>102</v>
      </c>
      <c r="B116" s="37" t="s">
        <v>50</v>
      </c>
      <c r="C116" s="3" t="s">
        <v>30</v>
      </c>
      <c r="D116" s="49">
        <f>'дод 3'!E182</f>
        <v>18402127.48</v>
      </c>
      <c r="E116" s="49">
        <f>'дод 3'!F182</f>
        <v>18402127.48</v>
      </c>
      <c r="F116" s="49">
        <f>'дод 3'!G182</f>
        <v>14027514.66</v>
      </c>
      <c r="G116" s="49">
        <f>'дод 3'!H182</f>
        <v>409914.4</v>
      </c>
      <c r="H116" s="49">
        <f>'дод 3'!I182</f>
        <v>0</v>
      </c>
      <c r="I116" s="49">
        <f>'дод 3'!J182</f>
        <v>96200</v>
      </c>
      <c r="J116" s="49">
        <f>'дод 3'!K182</f>
        <v>0</v>
      </c>
      <c r="K116" s="49">
        <f>'дод 3'!L182</f>
        <v>96200</v>
      </c>
      <c r="L116" s="49">
        <f>'дод 3'!M182</f>
        <v>75000</v>
      </c>
      <c r="M116" s="49">
        <f>'дод 3'!N182</f>
        <v>0</v>
      </c>
      <c r="N116" s="49">
        <f>'дод 3'!O182</f>
        <v>0</v>
      </c>
      <c r="O116" s="49">
        <f>'дод 3'!P182</f>
        <v>18498327.48</v>
      </c>
    </row>
    <row r="117" spans="1:15" ht="69.75" customHeight="1" x14ac:dyDescent="0.25">
      <c r="A117" s="37" t="s">
        <v>332</v>
      </c>
      <c r="B117" s="37" t="s">
        <v>100</v>
      </c>
      <c r="C117" s="36" t="s">
        <v>333</v>
      </c>
      <c r="D117" s="49">
        <f>SUM('дод 3'!E208)</f>
        <v>91140</v>
      </c>
      <c r="E117" s="49">
        <f>SUM('дод 3'!F208)</f>
        <v>91140</v>
      </c>
      <c r="F117" s="49">
        <f>SUM('дод 3'!G208)</f>
        <v>0</v>
      </c>
      <c r="G117" s="49">
        <f>SUM('дод 3'!H208)</f>
        <v>0</v>
      </c>
      <c r="H117" s="49">
        <f>SUM('дод 3'!I208)</f>
        <v>0</v>
      </c>
      <c r="I117" s="49">
        <f>SUM('дод 3'!J208)</f>
        <v>0</v>
      </c>
      <c r="J117" s="49">
        <f>SUM('дод 3'!K208)</f>
        <v>0</v>
      </c>
      <c r="K117" s="49">
        <f>SUM('дод 3'!L208)</f>
        <v>0</v>
      </c>
      <c r="L117" s="49">
        <f>SUM('дод 3'!M208)</f>
        <v>0</v>
      </c>
      <c r="M117" s="49">
        <f>SUM('дод 3'!N208)</f>
        <v>0</v>
      </c>
      <c r="N117" s="49">
        <f>SUM('дод 3'!O208)</f>
        <v>0</v>
      </c>
      <c r="O117" s="49">
        <f>SUM('дод 3'!P208)</f>
        <v>91140</v>
      </c>
    </row>
    <row r="118" spans="1:15" s="54" customFormat="1" ht="36" customHeight="1" x14ac:dyDescent="0.25">
      <c r="A118" s="37" t="s">
        <v>103</v>
      </c>
      <c r="B118" s="37" t="s">
        <v>100</v>
      </c>
      <c r="C118" s="3" t="s">
        <v>31</v>
      </c>
      <c r="D118" s="49">
        <f>'дод 3'!E209</f>
        <v>93040</v>
      </c>
      <c r="E118" s="49">
        <f>'дод 3'!F209</f>
        <v>93040</v>
      </c>
      <c r="F118" s="49">
        <f>'дод 3'!G209</f>
        <v>0</v>
      </c>
      <c r="G118" s="49">
        <f>'дод 3'!H209</f>
        <v>0</v>
      </c>
      <c r="H118" s="49">
        <f>'дод 3'!I209</f>
        <v>0</v>
      </c>
      <c r="I118" s="49">
        <f>'дод 3'!J209</f>
        <v>0</v>
      </c>
      <c r="J118" s="49">
        <f>'дод 3'!K209</f>
        <v>0</v>
      </c>
      <c r="K118" s="49">
        <f>'дод 3'!L209</f>
        <v>0</v>
      </c>
      <c r="L118" s="49">
        <f>'дод 3'!M209</f>
        <v>0</v>
      </c>
      <c r="M118" s="49">
        <f>'дод 3'!N209</f>
        <v>0</v>
      </c>
      <c r="N118" s="49">
        <f>'дод 3'!O209</f>
        <v>0</v>
      </c>
      <c r="O118" s="49">
        <f>'дод 3'!P209</f>
        <v>93040</v>
      </c>
    </row>
    <row r="119" spans="1:15" s="54" customFormat="1" ht="38.25" customHeight="1" x14ac:dyDescent="0.25">
      <c r="A119" s="37" t="s">
        <v>126</v>
      </c>
      <c r="B119" s="37" t="s">
        <v>100</v>
      </c>
      <c r="C119" s="3" t="s">
        <v>500</v>
      </c>
      <c r="D119" s="49">
        <f>'дод 3'!E28</f>
        <v>3222540</v>
      </c>
      <c r="E119" s="49">
        <f>'дод 3'!F28</f>
        <v>3222540</v>
      </c>
      <c r="F119" s="49">
        <f>'дод 3'!G28</f>
        <v>2407050</v>
      </c>
      <c r="G119" s="49">
        <f>'дод 3'!H28</f>
        <v>55730</v>
      </c>
      <c r="H119" s="49">
        <f>'дод 3'!I28</f>
        <v>0</v>
      </c>
      <c r="I119" s="49">
        <f>'дод 3'!J28</f>
        <v>0</v>
      </c>
      <c r="J119" s="49">
        <f>'дод 3'!K28</f>
        <v>0</v>
      </c>
      <c r="K119" s="49">
        <f>'дод 3'!L28</f>
        <v>0</v>
      </c>
      <c r="L119" s="49">
        <f>'дод 3'!M28</f>
        <v>0</v>
      </c>
      <c r="M119" s="49">
        <f>'дод 3'!N28</f>
        <v>0</v>
      </c>
      <c r="N119" s="49">
        <f>'дод 3'!O28</f>
        <v>0</v>
      </c>
      <c r="O119" s="49">
        <f>'дод 3'!P28</f>
        <v>3222540</v>
      </c>
    </row>
    <row r="120" spans="1:15" s="54" customFormat="1" ht="43.5" customHeight="1" x14ac:dyDescent="0.25">
      <c r="A120" s="40" t="s">
        <v>107</v>
      </c>
      <c r="B120" s="40" t="s">
        <v>100</v>
      </c>
      <c r="C120" s="3" t="s">
        <v>340</v>
      </c>
      <c r="D120" s="49">
        <f>'дод 3'!E29</f>
        <v>556216</v>
      </c>
      <c r="E120" s="49">
        <f>'дод 3'!F29</f>
        <v>556216</v>
      </c>
      <c r="F120" s="49">
        <f>'дод 3'!G29</f>
        <v>0</v>
      </c>
      <c r="G120" s="49">
        <f>'дод 3'!H29</f>
        <v>0</v>
      </c>
      <c r="H120" s="49">
        <f>'дод 3'!I29</f>
        <v>0</v>
      </c>
      <c r="I120" s="49">
        <f>'дод 3'!J29</f>
        <v>0</v>
      </c>
      <c r="J120" s="49">
        <f>'дод 3'!K29</f>
        <v>0</v>
      </c>
      <c r="K120" s="49">
        <f>'дод 3'!L29</f>
        <v>0</v>
      </c>
      <c r="L120" s="49">
        <f>'дод 3'!M29</f>
        <v>0</v>
      </c>
      <c r="M120" s="49">
        <f>'дод 3'!N29</f>
        <v>0</v>
      </c>
      <c r="N120" s="49">
        <f>'дод 3'!O29</f>
        <v>0</v>
      </c>
      <c r="O120" s="49">
        <f>'дод 3'!P29</f>
        <v>556216</v>
      </c>
    </row>
    <row r="121" spans="1:15" ht="69" customHeight="1" x14ac:dyDescent="0.25">
      <c r="A121" s="37" t="s">
        <v>108</v>
      </c>
      <c r="B121" s="37" t="s">
        <v>100</v>
      </c>
      <c r="C121" s="6" t="s">
        <v>20</v>
      </c>
      <c r="D121" s="49">
        <f>'дод 3'!E30+'дод 3'!E112</f>
        <v>5780000</v>
      </c>
      <c r="E121" s="49">
        <f>'дод 3'!F30+'дод 3'!F112</f>
        <v>5780000</v>
      </c>
      <c r="F121" s="49">
        <f>'дод 3'!G30+'дод 3'!G112</f>
        <v>0</v>
      </c>
      <c r="G121" s="49">
        <f>'дод 3'!H30+'дод 3'!H112</f>
        <v>0</v>
      </c>
      <c r="H121" s="49">
        <f>'дод 3'!I30+'дод 3'!I112</f>
        <v>0</v>
      </c>
      <c r="I121" s="49">
        <f>'дод 3'!J30+'дод 3'!J112</f>
        <v>0</v>
      </c>
      <c r="J121" s="49">
        <f>'дод 3'!K30+'дод 3'!K112</f>
        <v>0</v>
      </c>
      <c r="K121" s="49">
        <f>'дод 3'!L30+'дод 3'!L112</f>
        <v>0</v>
      </c>
      <c r="L121" s="49">
        <f>'дод 3'!M30+'дод 3'!M112</f>
        <v>0</v>
      </c>
      <c r="M121" s="49">
        <f>'дод 3'!N30+'дод 3'!N112</f>
        <v>0</v>
      </c>
      <c r="N121" s="49">
        <f>'дод 3'!O30+'дод 3'!O112</f>
        <v>0</v>
      </c>
      <c r="O121" s="49">
        <f>'дод 3'!P30+'дод 3'!P112</f>
        <v>5780000</v>
      </c>
    </row>
    <row r="122" spans="1:15" ht="78.75" x14ac:dyDescent="0.25">
      <c r="A122" s="37" t="s">
        <v>109</v>
      </c>
      <c r="B122" s="37">
        <v>1010</v>
      </c>
      <c r="C122" s="3" t="s">
        <v>286</v>
      </c>
      <c r="D122" s="49">
        <f>'дод 3'!E183</f>
        <v>4071000</v>
      </c>
      <c r="E122" s="49">
        <f>'дод 3'!F183</f>
        <v>4071000</v>
      </c>
      <c r="F122" s="49">
        <f>'дод 3'!G183</f>
        <v>0</v>
      </c>
      <c r="G122" s="49">
        <f>'дод 3'!H183</f>
        <v>0</v>
      </c>
      <c r="H122" s="49">
        <f>'дод 3'!I183</f>
        <v>0</v>
      </c>
      <c r="I122" s="49">
        <f>'дод 3'!J183</f>
        <v>0</v>
      </c>
      <c r="J122" s="49">
        <f>'дод 3'!K183</f>
        <v>0</v>
      </c>
      <c r="K122" s="49">
        <f>'дод 3'!L183</f>
        <v>0</v>
      </c>
      <c r="L122" s="49">
        <f>'дод 3'!M183</f>
        <v>0</v>
      </c>
      <c r="M122" s="49">
        <f>'дод 3'!N183</f>
        <v>0</v>
      </c>
      <c r="N122" s="49">
        <f>'дод 3'!O183</f>
        <v>0</v>
      </c>
      <c r="O122" s="49">
        <f>'дод 3'!P183</f>
        <v>4071000</v>
      </c>
    </row>
    <row r="123" spans="1:15" s="54" customFormat="1" ht="63" x14ac:dyDescent="0.25">
      <c r="A123" s="37" t="s">
        <v>316</v>
      </c>
      <c r="B123" s="37">
        <v>1010</v>
      </c>
      <c r="C123" s="3" t="s">
        <v>405</v>
      </c>
      <c r="D123" s="49">
        <f>'дод 3'!E184</f>
        <v>198209</v>
      </c>
      <c r="E123" s="49">
        <f>'дод 3'!F184</f>
        <v>198209</v>
      </c>
      <c r="F123" s="49">
        <f>'дод 3'!G184</f>
        <v>0</v>
      </c>
      <c r="G123" s="49">
        <f>'дод 3'!H184</f>
        <v>0</v>
      </c>
      <c r="H123" s="49">
        <f>'дод 3'!I184</f>
        <v>0</v>
      </c>
      <c r="I123" s="49">
        <f>'дод 3'!J184</f>
        <v>0</v>
      </c>
      <c r="J123" s="49">
        <f>'дод 3'!K184</f>
        <v>0</v>
      </c>
      <c r="K123" s="49">
        <f>'дод 3'!L184</f>
        <v>0</v>
      </c>
      <c r="L123" s="49">
        <f>'дод 3'!M184</f>
        <v>0</v>
      </c>
      <c r="M123" s="49">
        <f>'дод 3'!N184</f>
        <v>0</v>
      </c>
      <c r="N123" s="49">
        <f>'дод 3'!O184</f>
        <v>0</v>
      </c>
      <c r="O123" s="49">
        <f>'дод 3'!P184</f>
        <v>198209</v>
      </c>
    </row>
    <row r="124" spans="1:15" s="54" customFormat="1" x14ac:dyDescent="0.25">
      <c r="A124" s="77"/>
      <c r="B124" s="77"/>
      <c r="C124" s="78" t="s">
        <v>393</v>
      </c>
      <c r="D124" s="79">
        <f>'дод 3'!E185</f>
        <v>198209</v>
      </c>
      <c r="E124" s="79">
        <f>'дод 3'!F185</f>
        <v>198209</v>
      </c>
      <c r="F124" s="79">
        <f>'дод 3'!G185</f>
        <v>0</v>
      </c>
      <c r="G124" s="79">
        <f>'дод 3'!H185</f>
        <v>0</v>
      </c>
      <c r="H124" s="79">
        <f>'дод 3'!I185</f>
        <v>0</v>
      </c>
      <c r="I124" s="79">
        <f>'дод 3'!J185</f>
        <v>0</v>
      </c>
      <c r="J124" s="79">
        <f>'дод 3'!K185</f>
        <v>0</v>
      </c>
      <c r="K124" s="79">
        <f>'дод 3'!L185</f>
        <v>0</v>
      </c>
      <c r="L124" s="79">
        <f>'дод 3'!M185</f>
        <v>0</v>
      </c>
      <c r="M124" s="79">
        <f>'дод 3'!N185</f>
        <v>0</v>
      </c>
      <c r="N124" s="79">
        <f>'дод 3'!O185</f>
        <v>0</v>
      </c>
      <c r="O124" s="79">
        <f>'дод 3'!P185</f>
        <v>198209</v>
      </c>
    </row>
    <row r="125" spans="1:15" s="54" customFormat="1" ht="36" customHeight="1" x14ac:dyDescent="0.25">
      <c r="A125" s="37" t="s">
        <v>317</v>
      </c>
      <c r="B125" s="37">
        <v>1010</v>
      </c>
      <c r="C125" s="3" t="s">
        <v>406</v>
      </c>
      <c r="D125" s="49">
        <f>'дод 3'!E186</f>
        <v>90</v>
      </c>
      <c r="E125" s="49">
        <f>'дод 3'!F186</f>
        <v>90</v>
      </c>
      <c r="F125" s="49">
        <f>'дод 3'!G186</f>
        <v>0</v>
      </c>
      <c r="G125" s="49">
        <f>'дод 3'!H186</f>
        <v>0</v>
      </c>
      <c r="H125" s="49">
        <f>'дод 3'!I186</f>
        <v>0</v>
      </c>
      <c r="I125" s="49">
        <f>'дод 3'!J186</f>
        <v>0</v>
      </c>
      <c r="J125" s="49">
        <f>'дод 3'!K186</f>
        <v>0</v>
      </c>
      <c r="K125" s="49">
        <f>'дод 3'!L186</f>
        <v>0</v>
      </c>
      <c r="L125" s="49">
        <f>'дод 3'!M186</f>
        <v>0</v>
      </c>
      <c r="M125" s="49">
        <f>'дод 3'!N186</f>
        <v>0</v>
      </c>
      <c r="N125" s="49">
        <f>'дод 3'!O186</f>
        <v>0</v>
      </c>
      <c r="O125" s="49">
        <f>'дод 3'!P186</f>
        <v>90</v>
      </c>
    </row>
    <row r="126" spans="1:15" s="54" customFormat="1" x14ac:dyDescent="0.25">
      <c r="A126" s="77"/>
      <c r="B126" s="77"/>
      <c r="C126" s="78" t="s">
        <v>393</v>
      </c>
      <c r="D126" s="79">
        <f>'дод 3'!E187</f>
        <v>90</v>
      </c>
      <c r="E126" s="79">
        <f>'дод 3'!F187</f>
        <v>90</v>
      </c>
      <c r="F126" s="79">
        <f>'дод 3'!G187</f>
        <v>0</v>
      </c>
      <c r="G126" s="79">
        <f>'дод 3'!H187</f>
        <v>0</v>
      </c>
      <c r="H126" s="79">
        <f>'дод 3'!I187</f>
        <v>0</v>
      </c>
      <c r="I126" s="79">
        <f>'дод 3'!J187</f>
        <v>0</v>
      </c>
      <c r="J126" s="79">
        <f>'дод 3'!K187</f>
        <v>0</v>
      </c>
      <c r="K126" s="79">
        <f>'дод 3'!L187</f>
        <v>0</v>
      </c>
      <c r="L126" s="79">
        <f>'дод 3'!M187</f>
        <v>0</v>
      </c>
      <c r="M126" s="79">
        <f>'дод 3'!N187</f>
        <v>0</v>
      </c>
      <c r="N126" s="79">
        <f>'дод 3'!O187</f>
        <v>0</v>
      </c>
      <c r="O126" s="79">
        <f>'дод 3'!P187</f>
        <v>90</v>
      </c>
    </row>
    <row r="127" spans="1:15" ht="72.75" customHeight="1" x14ac:dyDescent="0.25">
      <c r="A127" s="37" t="s">
        <v>104</v>
      </c>
      <c r="B127" s="37" t="s">
        <v>53</v>
      </c>
      <c r="C127" s="3" t="s">
        <v>341</v>
      </c>
      <c r="D127" s="49">
        <f>'дод 3'!E188</f>
        <v>2505011</v>
      </c>
      <c r="E127" s="49">
        <f>'дод 3'!F188</f>
        <v>2505011</v>
      </c>
      <c r="F127" s="49">
        <f>'дод 3'!G188</f>
        <v>0</v>
      </c>
      <c r="G127" s="49">
        <f>'дод 3'!H188</f>
        <v>0</v>
      </c>
      <c r="H127" s="49">
        <f>'дод 3'!I188</f>
        <v>0</v>
      </c>
      <c r="I127" s="49">
        <f>'дод 3'!J188</f>
        <v>0</v>
      </c>
      <c r="J127" s="49">
        <f>'дод 3'!K188</f>
        <v>0</v>
      </c>
      <c r="K127" s="49">
        <f>'дод 3'!L188</f>
        <v>0</v>
      </c>
      <c r="L127" s="49">
        <f>'дод 3'!M188</f>
        <v>0</v>
      </c>
      <c r="M127" s="49">
        <f>'дод 3'!N188</f>
        <v>0</v>
      </c>
      <c r="N127" s="49">
        <f>'дод 3'!O188</f>
        <v>0</v>
      </c>
      <c r="O127" s="49">
        <f>'дод 3'!P188</f>
        <v>2505011</v>
      </c>
    </row>
    <row r="128" spans="1:15" s="54" customFormat="1" ht="19.5" customHeight="1" x14ac:dyDescent="0.25">
      <c r="A128" s="37" t="s">
        <v>287</v>
      </c>
      <c r="B128" s="37" t="s">
        <v>52</v>
      </c>
      <c r="C128" s="3" t="s">
        <v>18</v>
      </c>
      <c r="D128" s="49">
        <f>'дод 3'!E189</f>
        <v>1890666</v>
      </c>
      <c r="E128" s="49">
        <f>'дод 3'!F189</f>
        <v>1890666</v>
      </c>
      <c r="F128" s="49">
        <f>'дод 3'!G189</f>
        <v>0</v>
      </c>
      <c r="G128" s="49">
        <f>'дод 3'!H189</f>
        <v>0</v>
      </c>
      <c r="H128" s="49">
        <f>'дод 3'!I189</f>
        <v>0</v>
      </c>
      <c r="I128" s="49">
        <f>'дод 3'!J189</f>
        <v>0</v>
      </c>
      <c r="J128" s="49">
        <f>'дод 3'!K189</f>
        <v>0</v>
      </c>
      <c r="K128" s="49">
        <f>'дод 3'!L189</f>
        <v>0</v>
      </c>
      <c r="L128" s="49">
        <f>'дод 3'!M189</f>
        <v>0</v>
      </c>
      <c r="M128" s="49">
        <f>'дод 3'!N189</f>
        <v>0</v>
      </c>
      <c r="N128" s="49">
        <f>'дод 3'!O189</f>
        <v>0</v>
      </c>
      <c r="O128" s="49">
        <f>'дод 3'!P189</f>
        <v>1890666</v>
      </c>
    </row>
    <row r="129" spans="1:15" s="54" customFormat="1" ht="51" customHeight="1" x14ac:dyDescent="0.25">
      <c r="A129" s="37" t="s">
        <v>288</v>
      </c>
      <c r="B129" s="37" t="s">
        <v>52</v>
      </c>
      <c r="C129" s="60" t="s">
        <v>501</v>
      </c>
      <c r="D129" s="49">
        <f>'дод 3'!E190</f>
        <v>2250688</v>
      </c>
      <c r="E129" s="49">
        <f>'дод 3'!F190</f>
        <v>2250688</v>
      </c>
      <c r="F129" s="49">
        <f>'дод 3'!G190</f>
        <v>0</v>
      </c>
      <c r="G129" s="49">
        <f>'дод 3'!H190</f>
        <v>0</v>
      </c>
      <c r="H129" s="49">
        <f>'дод 3'!I190</f>
        <v>0</v>
      </c>
      <c r="I129" s="49">
        <f>'дод 3'!J190</f>
        <v>0</v>
      </c>
      <c r="J129" s="49">
        <f>'дод 3'!K190</f>
        <v>0</v>
      </c>
      <c r="K129" s="49">
        <f>'дод 3'!L190</f>
        <v>0</v>
      </c>
      <c r="L129" s="49">
        <f>'дод 3'!M190</f>
        <v>0</v>
      </c>
      <c r="M129" s="49">
        <f>'дод 3'!N190</f>
        <v>0</v>
      </c>
      <c r="N129" s="49">
        <f>'дод 3'!O190</f>
        <v>0</v>
      </c>
      <c r="O129" s="49">
        <f>'дод 3'!P190</f>
        <v>2250688</v>
      </c>
    </row>
    <row r="130" spans="1:15" ht="36.75" customHeight="1" x14ac:dyDescent="0.25">
      <c r="A130" s="37" t="s">
        <v>105</v>
      </c>
      <c r="B130" s="37" t="s">
        <v>56</v>
      </c>
      <c r="C130" s="3" t="s">
        <v>342</v>
      </c>
      <c r="D130" s="49">
        <f>'дод 3'!E191</f>
        <v>92000</v>
      </c>
      <c r="E130" s="49">
        <f>'дод 3'!F191</f>
        <v>92000</v>
      </c>
      <c r="F130" s="49">
        <f>'дод 3'!G191</f>
        <v>0</v>
      </c>
      <c r="G130" s="49">
        <f>'дод 3'!H191</f>
        <v>0</v>
      </c>
      <c r="H130" s="49">
        <f>'дод 3'!I191</f>
        <v>0</v>
      </c>
      <c r="I130" s="49">
        <f>'дод 3'!J191</f>
        <v>0</v>
      </c>
      <c r="J130" s="49">
        <f>'дод 3'!K191</f>
        <v>0</v>
      </c>
      <c r="K130" s="49">
        <f>'дод 3'!L191</f>
        <v>0</v>
      </c>
      <c r="L130" s="49">
        <f>'дод 3'!M191</f>
        <v>0</v>
      </c>
      <c r="M130" s="49">
        <f>'дод 3'!N191</f>
        <v>0</v>
      </c>
      <c r="N130" s="49">
        <f>'дод 3'!O191</f>
        <v>0</v>
      </c>
      <c r="O130" s="49">
        <f>'дод 3'!P191</f>
        <v>92000</v>
      </c>
    </row>
    <row r="131" spans="1:15" ht="20.25" customHeight="1" x14ac:dyDescent="0.25">
      <c r="A131" s="37" t="s">
        <v>289</v>
      </c>
      <c r="B131" s="37" t="s">
        <v>106</v>
      </c>
      <c r="C131" s="3" t="s">
        <v>37</v>
      </c>
      <c r="D131" s="49">
        <f>'дод 3'!E192+'дод 3'!E233</f>
        <v>50000</v>
      </c>
      <c r="E131" s="49">
        <f>'дод 3'!F192+'дод 3'!F233</f>
        <v>50000</v>
      </c>
      <c r="F131" s="49">
        <f>'дод 3'!G192+'дод 3'!G233</f>
        <v>40900</v>
      </c>
      <c r="G131" s="49">
        <f>'дод 3'!H192+'дод 3'!H233</f>
        <v>0</v>
      </c>
      <c r="H131" s="49">
        <f>'дод 3'!I192+'дод 3'!I233</f>
        <v>0</v>
      </c>
      <c r="I131" s="49">
        <f>'дод 3'!J192+'дод 3'!J233</f>
        <v>0</v>
      </c>
      <c r="J131" s="49">
        <f>'дод 3'!K192+'дод 3'!K233</f>
        <v>0</v>
      </c>
      <c r="K131" s="49">
        <f>'дод 3'!L192+'дод 3'!L233</f>
        <v>0</v>
      </c>
      <c r="L131" s="49">
        <f>'дод 3'!M192+'дод 3'!M233</f>
        <v>0</v>
      </c>
      <c r="M131" s="49">
        <f>'дод 3'!N192+'дод 3'!N233</f>
        <v>0</v>
      </c>
      <c r="N131" s="49">
        <f>'дод 3'!O192+'дод 3'!O233</f>
        <v>0</v>
      </c>
      <c r="O131" s="49">
        <f>'дод 3'!P192+'дод 3'!P233</f>
        <v>50000</v>
      </c>
    </row>
    <row r="132" spans="1:15" ht="240.75" customHeight="1" x14ac:dyDescent="0.25">
      <c r="A132" s="37">
        <v>3221</v>
      </c>
      <c r="B132" s="58" t="s">
        <v>53</v>
      </c>
      <c r="C132" s="36" t="s">
        <v>581</v>
      </c>
      <c r="D132" s="49">
        <f>'дод 3'!E193</f>
        <v>0</v>
      </c>
      <c r="E132" s="49">
        <f>'дод 3'!F193</f>
        <v>0</v>
      </c>
      <c r="F132" s="49">
        <f>'дод 3'!G193</f>
        <v>0</v>
      </c>
      <c r="G132" s="49">
        <f>'дод 3'!H193</f>
        <v>0</v>
      </c>
      <c r="H132" s="49">
        <f>'дод 3'!I193</f>
        <v>0</v>
      </c>
      <c r="I132" s="49">
        <f>'дод 3'!J193</f>
        <v>975480.06</v>
      </c>
      <c r="J132" s="49">
        <f>'дод 3'!K193</f>
        <v>975480.06</v>
      </c>
      <c r="K132" s="49">
        <f>'дод 3'!L193</f>
        <v>0</v>
      </c>
      <c r="L132" s="49">
        <f>'дод 3'!M193</f>
        <v>0</v>
      </c>
      <c r="M132" s="49">
        <f>'дод 3'!N193</f>
        <v>0</v>
      </c>
      <c r="N132" s="49">
        <f>'дод 3'!O193</f>
        <v>975480.06</v>
      </c>
      <c r="O132" s="49">
        <f>'дод 3'!P193</f>
        <v>975480.06</v>
      </c>
    </row>
    <row r="133" spans="1:15" s="54" customFormat="1" ht="267.75" customHeight="1" x14ac:dyDescent="0.25">
      <c r="A133" s="77"/>
      <c r="B133" s="88"/>
      <c r="C133" s="86" t="s">
        <v>579</v>
      </c>
      <c r="D133" s="79">
        <f>'дод 3'!E194</f>
        <v>0</v>
      </c>
      <c r="E133" s="79">
        <f>'дод 3'!F194</f>
        <v>0</v>
      </c>
      <c r="F133" s="79">
        <f>'дод 3'!G194</f>
        <v>0</v>
      </c>
      <c r="G133" s="79">
        <f>'дод 3'!H194</f>
        <v>0</v>
      </c>
      <c r="H133" s="79">
        <f>'дод 3'!I194</f>
        <v>0</v>
      </c>
      <c r="I133" s="79">
        <f>'дод 3'!J194</f>
        <v>975480.06</v>
      </c>
      <c r="J133" s="79">
        <f>'дод 3'!K194</f>
        <v>975480.06</v>
      </c>
      <c r="K133" s="79">
        <f>'дод 3'!L194</f>
        <v>0</v>
      </c>
      <c r="L133" s="79">
        <f>'дод 3'!M194</f>
        <v>0</v>
      </c>
      <c r="M133" s="79">
        <f>'дод 3'!N194</f>
        <v>0</v>
      </c>
      <c r="N133" s="79">
        <f>'дод 3'!O194</f>
        <v>975480.06</v>
      </c>
      <c r="O133" s="79">
        <f>'дод 3'!P194</f>
        <v>975480.06</v>
      </c>
    </row>
    <row r="134" spans="1:15" s="54" customFormat="1" ht="293.25" customHeight="1" x14ac:dyDescent="0.25">
      <c r="A134" s="42">
        <v>3222</v>
      </c>
      <c r="B134" s="102" t="s">
        <v>53</v>
      </c>
      <c r="C134" s="36" t="s">
        <v>618</v>
      </c>
      <c r="D134" s="49">
        <f>'дод 3'!E195</f>
        <v>0</v>
      </c>
      <c r="E134" s="49">
        <f>'дод 3'!F195</f>
        <v>0</v>
      </c>
      <c r="F134" s="49">
        <f>'дод 3'!G195</f>
        <v>0</v>
      </c>
      <c r="G134" s="49">
        <f>'дод 3'!H195</f>
        <v>0</v>
      </c>
      <c r="H134" s="49">
        <f>'дод 3'!I195</f>
        <v>0</v>
      </c>
      <c r="I134" s="49">
        <f>'дод 3'!J195</f>
        <v>1176130.99</v>
      </c>
      <c r="J134" s="49">
        <f>'дод 3'!K195</f>
        <v>1176130.99</v>
      </c>
      <c r="K134" s="49">
        <f>'дод 3'!L195</f>
        <v>0</v>
      </c>
      <c r="L134" s="49">
        <f>'дод 3'!M195</f>
        <v>0</v>
      </c>
      <c r="M134" s="49">
        <f>'дод 3'!N195</f>
        <v>0</v>
      </c>
      <c r="N134" s="49">
        <f>'дод 3'!O195</f>
        <v>1176130.99</v>
      </c>
      <c r="O134" s="49">
        <f>'дод 3'!P195</f>
        <v>1176130.99</v>
      </c>
    </row>
    <row r="135" spans="1:15" s="54" customFormat="1" ht="333.75" customHeight="1" x14ac:dyDescent="0.25">
      <c r="A135" s="77"/>
      <c r="B135" s="88"/>
      <c r="C135" s="86" t="s">
        <v>604</v>
      </c>
      <c r="D135" s="79">
        <f>'дод 3'!E196</f>
        <v>0</v>
      </c>
      <c r="E135" s="79">
        <f>'дод 3'!F196</f>
        <v>0</v>
      </c>
      <c r="F135" s="79">
        <f>'дод 3'!G196</f>
        <v>0</v>
      </c>
      <c r="G135" s="79">
        <f>'дод 3'!H196</f>
        <v>0</v>
      </c>
      <c r="H135" s="79">
        <f>'дод 3'!I196</f>
        <v>0</v>
      </c>
      <c r="I135" s="79">
        <f>'дод 3'!J196</f>
        <v>1176130.99</v>
      </c>
      <c r="J135" s="79">
        <f>'дод 3'!K196</f>
        <v>1176130.99</v>
      </c>
      <c r="K135" s="79">
        <f>'дод 3'!L196</f>
        <v>0</v>
      </c>
      <c r="L135" s="79">
        <f>'дод 3'!M196</f>
        <v>0</v>
      </c>
      <c r="M135" s="79">
        <f>'дод 3'!N196</f>
        <v>0</v>
      </c>
      <c r="N135" s="79">
        <f>'дод 3'!O196</f>
        <v>1176130.99</v>
      </c>
      <c r="O135" s="79">
        <f>'дод 3'!P196</f>
        <v>1176130.99</v>
      </c>
    </row>
    <row r="136" spans="1:15" ht="189" hidden="1" x14ac:dyDescent="0.25">
      <c r="A136" s="37">
        <v>3223</v>
      </c>
      <c r="B136" s="58" t="s">
        <v>53</v>
      </c>
      <c r="C136" s="36" t="s">
        <v>442</v>
      </c>
      <c r="D136" s="49">
        <f>'дод 3'!E197</f>
        <v>0</v>
      </c>
      <c r="E136" s="49">
        <f>'дод 3'!F197</f>
        <v>0</v>
      </c>
      <c r="F136" s="49">
        <f>'дод 3'!G197</f>
        <v>0</v>
      </c>
      <c r="G136" s="49">
        <f>'дод 3'!H197</f>
        <v>0</v>
      </c>
      <c r="H136" s="49">
        <f>'дод 3'!I197</f>
        <v>0</v>
      </c>
      <c r="I136" s="49">
        <f>'дод 3'!J197</f>
        <v>0</v>
      </c>
      <c r="J136" s="49">
        <f>'дод 3'!K197</f>
        <v>0</v>
      </c>
      <c r="K136" s="49">
        <f>'дод 3'!L197</f>
        <v>0</v>
      </c>
      <c r="L136" s="49">
        <f>'дод 3'!M197</f>
        <v>0</v>
      </c>
      <c r="M136" s="49">
        <f>'дод 3'!N197</f>
        <v>0</v>
      </c>
      <c r="N136" s="49">
        <f>'дод 3'!O197</f>
        <v>0</v>
      </c>
      <c r="O136" s="49">
        <f>'дод 3'!P197</f>
        <v>0</v>
      </c>
    </row>
    <row r="137" spans="1:15" s="54" customFormat="1" ht="236.25" hidden="1" x14ac:dyDescent="0.25">
      <c r="A137" s="77"/>
      <c r="B137" s="88"/>
      <c r="C137" s="86" t="s">
        <v>443</v>
      </c>
      <c r="D137" s="79">
        <f>'дод 3'!E198</f>
        <v>0</v>
      </c>
      <c r="E137" s="79">
        <f>'дод 3'!F198</f>
        <v>0</v>
      </c>
      <c r="F137" s="79">
        <f>'дод 3'!G198</f>
        <v>0</v>
      </c>
      <c r="G137" s="79">
        <f>'дод 3'!H198</f>
        <v>0</v>
      </c>
      <c r="H137" s="79">
        <f>'дод 3'!I198</f>
        <v>0</v>
      </c>
      <c r="I137" s="79">
        <f>'дод 3'!J198</f>
        <v>0</v>
      </c>
      <c r="J137" s="79">
        <f>'дод 3'!K198</f>
        <v>0</v>
      </c>
      <c r="K137" s="79">
        <f>'дод 3'!L198</f>
        <v>0</v>
      </c>
      <c r="L137" s="79">
        <f>'дод 3'!M198</f>
        <v>0</v>
      </c>
      <c r="M137" s="79">
        <f>'дод 3'!N198</f>
        <v>0</v>
      </c>
      <c r="N137" s="79">
        <f>'дод 3'!O198</f>
        <v>0</v>
      </c>
      <c r="O137" s="79">
        <f>'дод 3'!P198</f>
        <v>0</v>
      </c>
    </row>
    <row r="138" spans="1:15" s="54" customFormat="1" ht="32.25" customHeight="1" x14ac:dyDescent="0.25">
      <c r="A138" s="37" t="s">
        <v>290</v>
      </c>
      <c r="B138" s="37" t="s">
        <v>56</v>
      </c>
      <c r="C138" s="3" t="s">
        <v>292</v>
      </c>
      <c r="D138" s="49">
        <f>'дод 3'!E199+'дод 3'!E31</f>
        <v>7731482.0800000001</v>
      </c>
      <c r="E138" s="49">
        <f>'дод 3'!F199+'дод 3'!F31</f>
        <v>7731482.0800000001</v>
      </c>
      <c r="F138" s="49">
        <f>'дод 3'!G199+'дод 3'!G31</f>
        <v>4676603.34</v>
      </c>
      <c r="G138" s="49">
        <f>'дод 3'!H199+'дод 3'!H31</f>
        <v>511506.6</v>
      </c>
      <c r="H138" s="49">
        <f>'дод 3'!I199+'дод 3'!I31</f>
        <v>0</v>
      </c>
      <c r="I138" s="49">
        <f>'дод 3'!J199+'дод 3'!J31</f>
        <v>160800</v>
      </c>
      <c r="J138" s="49">
        <f>'дод 3'!K199+'дод 3'!K31</f>
        <v>160800</v>
      </c>
      <c r="K138" s="49">
        <f>'дод 3'!L199+'дод 3'!L31</f>
        <v>0</v>
      </c>
      <c r="L138" s="49">
        <f>'дод 3'!M199+'дод 3'!M31</f>
        <v>0</v>
      </c>
      <c r="M138" s="49">
        <f>'дод 3'!N199+'дод 3'!N31</f>
        <v>0</v>
      </c>
      <c r="N138" s="49">
        <f>'дод 3'!O199+'дод 3'!O31</f>
        <v>160800</v>
      </c>
      <c r="O138" s="49">
        <f>'дод 3'!P199+'дод 3'!P31</f>
        <v>7892282.0800000001</v>
      </c>
    </row>
    <row r="139" spans="1:15" s="54" customFormat="1" ht="31.5" customHeight="1" x14ac:dyDescent="0.25">
      <c r="A139" s="37" t="s">
        <v>291</v>
      </c>
      <c r="B139" s="37" t="s">
        <v>56</v>
      </c>
      <c r="C139" s="3" t="s">
        <v>514</v>
      </c>
      <c r="D139" s="49">
        <f>'дод 3'!E32+'дод 3'!E113+'дод 3'!E200</f>
        <v>40091774.549999997</v>
      </c>
      <c r="E139" s="49">
        <f>'дод 3'!F32+'дод 3'!F113+'дод 3'!F200</f>
        <v>40091774.549999997</v>
      </c>
      <c r="F139" s="49">
        <f>'дод 3'!G32+'дод 3'!G113+'дод 3'!G200</f>
        <v>0</v>
      </c>
      <c r="G139" s="49">
        <f>'дод 3'!H32+'дод 3'!H113+'дод 3'!H200</f>
        <v>0</v>
      </c>
      <c r="H139" s="49">
        <f>'дод 3'!I32+'дод 3'!I113+'дод 3'!I200</f>
        <v>0</v>
      </c>
      <c r="I139" s="49">
        <f>'дод 3'!J32+'дод 3'!J113+'дод 3'!J200</f>
        <v>57000</v>
      </c>
      <c r="J139" s="49">
        <f>'дод 3'!K32+'дод 3'!K113+'дод 3'!K200</f>
        <v>57000</v>
      </c>
      <c r="K139" s="49">
        <f>'дод 3'!L32+'дод 3'!L113+'дод 3'!L200</f>
        <v>0</v>
      </c>
      <c r="L139" s="49">
        <f>'дод 3'!M32+'дод 3'!M113+'дод 3'!M200</f>
        <v>0</v>
      </c>
      <c r="M139" s="49">
        <f>'дод 3'!N32+'дод 3'!N113+'дод 3'!N200</f>
        <v>0</v>
      </c>
      <c r="N139" s="49">
        <f>'дод 3'!O32+'дод 3'!O113+'дод 3'!O200</f>
        <v>57000</v>
      </c>
      <c r="O139" s="49">
        <f>'дод 3'!P32+'дод 3'!P113+'дод 3'!P200</f>
        <v>40148774.549999997</v>
      </c>
    </row>
    <row r="140" spans="1:15" s="54" customFormat="1" x14ac:dyDescent="0.25">
      <c r="A140" s="77"/>
      <c r="B140" s="77"/>
      <c r="C140" s="78" t="s">
        <v>393</v>
      </c>
      <c r="D140" s="79">
        <f>'дод 3'!E201</f>
        <v>348000</v>
      </c>
      <c r="E140" s="79">
        <f>'дод 3'!F201</f>
        <v>348000</v>
      </c>
      <c r="F140" s="79">
        <f>'дод 3'!G201</f>
        <v>0</v>
      </c>
      <c r="G140" s="79">
        <f>'дод 3'!H201</f>
        <v>0</v>
      </c>
      <c r="H140" s="79">
        <f>'дод 3'!I201</f>
        <v>0</v>
      </c>
      <c r="I140" s="79">
        <f>'дод 3'!J201</f>
        <v>0</v>
      </c>
      <c r="J140" s="79">
        <f>'дод 3'!K201</f>
        <v>0</v>
      </c>
      <c r="K140" s="79">
        <f>'дод 3'!L201</f>
        <v>0</v>
      </c>
      <c r="L140" s="79">
        <f>'дод 3'!M201</f>
        <v>0</v>
      </c>
      <c r="M140" s="79">
        <f>'дод 3'!N201</f>
        <v>0</v>
      </c>
      <c r="N140" s="79">
        <f>'дод 3'!O201</f>
        <v>0</v>
      </c>
      <c r="O140" s="79">
        <f>'дод 3'!P201</f>
        <v>348000</v>
      </c>
    </row>
    <row r="141" spans="1:15" s="52" customFormat="1" ht="19.5" customHeight="1" x14ac:dyDescent="0.25">
      <c r="A141" s="38" t="s">
        <v>71</v>
      </c>
      <c r="B141" s="41"/>
      <c r="C141" s="2" t="s">
        <v>72</v>
      </c>
      <c r="D141" s="48">
        <f t="shared" ref="D141:O141" si="23">D142+D143+D144+D145</f>
        <v>38204239</v>
      </c>
      <c r="E141" s="48">
        <f t="shared" si="23"/>
        <v>38204239</v>
      </c>
      <c r="F141" s="48">
        <f t="shared" si="23"/>
        <v>24382285</v>
      </c>
      <c r="G141" s="48">
        <f t="shared" si="23"/>
        <v>2733907</v>
      </c>
      <c r="H141" s="48">
        <f t="shared" si="23"/>
        <v>0</v>
      </c>
      <c r="I141" s="48">
        <f t="shared" si="23"/>
        <v>346500</v>
      </c>
      <c r="J141" s="48">
        <f t="shared" si="23"/>
        <v>315500</v>
      </c>
      <c r="K141" s="48">
        <f t="shared" si="23"/>
        <v>31000</v>
      </c>
      <c r="L141" s="48">
        <f t="shared" si="23"/>
        <v>12100</v>
      </c>
      <c r="M141" s="48">
        <f t="shared" si="23"/>
        <v>3300</v>
      </c>
      <c r="N141" s="48">
        <f t="shared" si="23"/>
        <v>315500</v>
      </c>
      <c r="O141" s="48">
        <f t="shared" si="23"/>
        <v>38550739</v>
      </c>
    </row>
    <row r="142" spans="1:15" ht="22.5" customHeight="1" x14ac:dyDescent="0.25">
      <c r="A142" s="37" t="s">
        <v>73</v>
      </c>
      <c r="B142" s="37" t="s">
        <v>74</v>
      </c>
      <c r="C142" s="3" t="s">
        <v>15</v>
      </c>
      <c r="D142" s="49">
        <f>'дод 3'!E216</f>
        <v>23641974</v>
      </c>
      <c r="E142" s="49">
        <f>'дод 3'!F216</f>
        <v>23641974</v>
      </c>
      <c r="F142" s="49">
        <f>'дод 3'!G216</f>
        <v>16756730</v>
      </c>
      <c r="G142" s="49">
        <f>'дод 3'!H216</f>
        <v>1742744</v>
      </c>
      <c r="H142" s="49">
        <f>'дод 3'!I216</f>
        <v>0</v>
      </c>
      <c r="I142" s="49">
        <f>'дод 3'!J216</f>
        <v>252500</v>
      </c>
      <c r="J142" s="49">
        <f>'дод 3'!K216</f>
        <v>227500</v>
      </c>
      <c r="K142" s="49">
        <f>'дод 3'!L216</f>
        <v>25000</v>
      </c>
      <c r="L142" s="49">
        <f>'дод 3'!M216</f>
        <v>12100</v>
      </c>
      <c r="M142" s="49">
        <f>'дод 3'!N216</f>
        <v>0</v>
      </c>
      <c r="N142" s="49">
        <f>'дод 3'!O216</f>
        <v>227500</v>
      </c>
      <c r="O142" s="49">
        <f>'дод 3'!P216</f>
        <v>23894474</v>
      </c>
    </row>
    <row r="143" spans="1:15" ht="33.75" customHeight="1" x14ac:dyDescent="0.25">
      <c r="A143" s="37" t="s">
        <v>319</v>
      </c>
      <c r="B143" s="37" t="s">
        <v>320</v>
      </c>
      <c r="C143" s="3" t="s">
        <v>321</v>
      </c>
      <c r="D143" s="49">
        <f>'дод 3'!E33+'дод 3'!E217</f>
        <v>7462416</v>
      </c>
      <c r="E143" s="49">
        <f>'дод 3'!F33+'дод 3'!F217</f>
        <v>7462416</v>
      </c>
      <c r="F143" s="49">
        <f>'дод 3'!G33+'дод 3'!G217</f>
        <v>4265055</v>
      </c>
      <c r="G143" s="49">
        <f>'дод 3'!H33+'дод 3'!H217</f>
        <v>829525</v>
      </c>
      <c r="H143" s="49">
        <f>'дод 3'!I33+'дод 3'!I217</f>
        <v>0</v>
      </c>
      <c r="I143" s="49">
        <f>'дод 3'!J33+'дод 3'!J217</f>
        <v>6000</v>
      </c>
      <c r="J143" s="49">
        <f>'дод 3'!K33+'дод 3'!K217</f>
        <v>0</v>
      </c>
      <c r="K143" s="49">
        <f>'дод 3'!L33+'дод 3'!L217</f>
        <v>6000</v>
      </c>
      <c r="L143" s="49">
        <f>'дод 3'!M33+'дод 3'!M217</f>
        <v>0</v>
      </c>
      <c r="M143" s="49">
        <f>'дод 3'!N33+'дод 3'!N217</f>
        <v>3300</v>
      </c>
      <c r="N143" s="49">
        <f>'дод 3'!O33+'дод 3'!O217</f>
        <v>0</v>
      </c>
      <c r="O143" s="49">
        <f>'дод 3'!P33+'дод 3'!P217</f>
        <v>7468416</v>
      </c>
    </row>
    <row r="144" spans="1:15" s="54" customFormat="1" ht="37.5" customHeight="1" x14ac:dyDescent="0.25">
      <c r="A144" s="37" t="s">
        <v>293</v>
      </c>
      <c r="B144" s="37" t="s">
        <v>75</v>
      </c>
      <c r="C144" s="3" t="s">
        <v>343</v>
      </c>
      <c r="D144" s="49">
        <f>'дод 3'!E34+'дод 3'!E218</f>
        <v>5302338</v>
      </c>
      <c r="E144" s="49">
        <f>'дод 3'!F34+'дод 3'!F218</f>
        <v>5302338</v>
      </c>
      <c r="F144" s="49">
        <f>'дод 3'!G34+'дод 3'!G218</f>
        <v>3360500</v>
      </c>
      <c r="G144" s="49">
        <f>'дод 3'!H34+'дод 3'!H218</f>
        <v>161638</v>
      </c>
      <c r="H144" s="49">
        <f>'дод 3'!I34+'дод 3'!I218</f>
        <v>0</v>
      </c>
      <c r="I144" s="49">
        <f>'дод 3'!J34+'дод 3'!J218</f>
        <v>88000</v>
      </c>
      <c r="J144" s="49">
        <f>'дод 3'!K34+'дод 3'!K218</f>
        <v>88000</v>
      </c>
      <c r="K144" s="49">
        <f>'дод 3'!L34+'дод 3'!L218</f>
        <v>0</v>
      </c>
      <c r="L144" s="49">
        <f>'дод 3'!M34+'дод 3'!M218</f>
        <v>0</v>
      </c>
      <c r="M144" s="49">
        <f>'дод 3'!N34+'дод 3'!N218</f>
        <v>0</v>
      </c>
      <c r="N144" s="49">
        <f>'дод 3'!O34+'дод 3'!O218</f>
        <v>88000</v>
      </c>
      <c r="O144" s="49">
        <f>'дод 3'!P34+'дод 3'!P218</f>
        <v>5390338</v>
      </c>
    </row>
    <row r="145" spans="1:15" s="54" customFormat="1" ht="22.5" customHeight="1" x14ac:dyDescent="0.25">
      <c r="A145" s="37" t="s">
        <v>294</v>
      </c>
      <c r="B145" s="37" t="s">
        <v>75</v>
      </c>
      <c r="C145" s="3" t="s">
        <v>295</v>
      </c>
      <c r="D145" s="49">
        <f>'дод 3'!E35+'дод 3'!E219</f>
        <v>1797511</v>
      </c>
      <c r="E145" s="49">
        <f>'дод 3'!F35+'дод 3'!F219</f>
        <v>1797511</v>
      </c>
      <c r="F145" s="49">
        <f>'дод 3'!G35+'дод 3'!G219</f>
        <v>0</v>
      </c>
      <c r="G145" s="49">
        <f>'дод 3'!H35+'дод 3'!H219</f>
        <v>0</v>
      </c>
      <c r="H145" s="49">
        <f>'дод 3'!I35+'дод 3'!I219</f>
        <v>0</v>
      </c>
      <c r="I145" s="49">
        <f>'дод 3'!J35+'дод 3'!J219</f>
        <v>0</v>
      </c>
      <c r="J145" s="49">
        <f>'дод 3'!K35+'дод 3'!K219</f>
        <v>0</v>
      </c>
      <c r="K145" s="49">
        <f>'дод 3'!L35+'дод 3'!L219</f>
        <v>0</v>
      </c>
      <c r="L145" s="49">
        <f>'дод 3'!M35+'дод 3'!M219</f>
        <v>0</v>
      </c>
      <c r="M145" s="49">
        <f>'дод 3'!N35+'дод 3'!N219</f>
        <v>0</v>
      </c>
      <c r="N145" s="49">
        <f>'дод 3'!O35+'дод 3'!O219</f>
        <v>0</v>
      </c>
      <c r="O145" s="49">
        <f>'дод 3'!P35+'дод 3'!P219</f>
        <v>1797511</v>
      </c>
    </row>
    <row r="146" spans="1:15" s="52" customFormat="1" ht="21.75" customHeight="1" x14ac:dyDescent="0.25">
      <c r="A146" s="38" t="s">
        <v>78</v>
      </c>
      <c r="B146" s="41"/>
      <c r="C146" s="2" t="s">
        <v>589</v>
      </c>
      <c r="D146" s="48">
        <f t="shared" ref="D146:O146" si="24">D148+D149+D150+D152+D153+D154</f>
        <v>65504449</v>
      </c>
      <c r="E146" s="48">
        <f t="shared" si="24"/>
        <v>65504449</v>
      </c>
      <c r="F146" s="48">
        <f t="shared" si="24"/>
        <v>22547322</v>
      </c>
      <c r="G146" s="48">
        <f t="shared" si="24"/>
        <v>1659079</v>
      </c>
      <c r="H146" s="48">
        <f t="shared" si="24"/>
        <v>0</v>
      </c>
      <c r="I146" s="48">
        <f t="shared" si="24"/>
        <v>2300794</v>
      </c>
      <c r="J146" s="48">
        <f t="shared" si="24"/>
        <v>2087800</v>
      </c>
      <c r="K146" s="48">
        <f t="shared" si="24"/>
        <v>212994</v>
      </c>
      <c r="L146" s="48">
        <f t="shared" si="24"/>
        <v>119291</v>
      </c>
      <c r="M146" s="48">
        <f t="shared" si="24"/>
        <v>50432</v>
      </c>
      <c r="N146" s="48">
        <f t="shared" si="24"/>
        <v>2087800</v>
      </c>
      <c r="O146" s="48">
        <f t="shared" si="24"/>
        <v>67805243</v>
      </c>
    </row>
    <row r="147" spans="1:15" s="52" customFormat="1" ht="21.75" customHeight="1" x14ac:dyDescent="0.25">
      <c r="A147" s="38"/>
      <c r="B147" s="41"/>
      <c r="C147" s="76" t="s">
        <v>395</v>
      </c>
      <c r="D147" s="75">
        <f>D151</f>
        <v>134064</v>
      </c>
      <c r="E147" s="75">
        <f t="shared" ref="E147:O147" si="25">E151</f>
        <v>134064</v>
      </c>
      <c r="F147" s="75">
        <f t="shared" si="25"/>
        <v>0</v>
      </c>
      <c r="G147" s="75">
        <f t="shared" si="25"/>
        <v>0</v>
      </c>
      <c r="H147" s="75">
        <f t="shared" si="25"/>
        <v>0</v>
      </c>
      <c r="I147" s="75">
        <f t="shared" si="25"/>
        <v>0</v>
      </c>
      <c r="J147" s="75">
        <f t="shared" si="25"/>
        <v>0</v>
      </c>
      <c r="K147" s="75">
        <f t="shared" si="25"/>
        <v>0</v>
      </c>
      <c r="L147" s="75">
        <f t="shared" si="25"/>
        <v>0</v>
      </c>
      <c r="M147" s="75">
        <f t="shared" si="25"/>
        <v>0</v>
      </c>
      <c r="N147" s="75">
        <f t="shared" si="25"/>
        <v>0</v>
      </c>
      <c r="O147" s="75">
        <f t="shared" si="25"/>
        <v>134064</v>
      </c>
    </row>
    <row r="148" spans="1:15" s="54" customFormat="1" ht="37.5" customHeight="1" x14ac:dyDescent="0.25">
      <c r="A148" s="37" t="s">
        <v>79</v>
      </c>
      <c r="B148" s="37" t="s">
        <v>80</v>
      </c>
      <c r="C148" s="3" t="s">
        <v>21</v>
      </c>
      <c r="D148" s="49">
        <f>'дод 3'!E36</f>
        <v>710000</v>
      </c>
      <c r="E148" s="49">
        <f>'дод 3'!F36</f>
        <v>710000</v>
      </c>
      <c r="F148" s="49">
        <f>'дод 3'!G36</f>
        <v>0</v>
      </c>
      <c r="G148" s="49">
        <f>'дод 3'!H36</f>
        <v>0</v>
      </c>
      <c r="H148" s="49">
        <f>'дод 3'!I36</f>
        <v>0</v>
      </c>
      <c r="I148" s="49">
        <f>'дод 3'!J36</f>
        <v>0</v>
      </c>
      <c r="J148" s="49">
        <f>'дод 3'!K36</f>
        <v>0</v>
      </c>
      <c r="K148" s="49">
        <f>'дод 3'!L36</f>
        <v>0</v>
      </c>
      <c r="L148" s="49">
        <f>'дод 3'!M36</f>
        <v>0</v>
      </c>
      <c r="M148" s="49">
        <f>'дод 3'!N36</f>
        <v>0</v>
      </c>
      <c r="N148" s="49">
        <f>'дод 3'!O36</f>
        <v>0</v>
      </c>
      <c r="O148" s="49">
        <f>'дод 3'!P36</f>
        <v>710000</v>
      </c>
    </row>
    <row r="149" spans="1:15" s="54" customFormat="1" ht="34.5" customHeight="1" x14ac:dyDescent="0.25">
      <c r="A149" s="37" t="s">
        <v>81</v>
      </c>
      <c r="B149" s="37" t="s">
        <v>80</v>
      </c>
      <c r="C149" s="3" t="s">
        <v>16</v>
      </c>
      <c r="D149" s="49">
        <f>'дод 3'!E37</f>
        <v>1031480</v>
      </c>
      <c r="E149" s="49">
        <f>'дод 3'!F37</f>
        <v>1031480</v>
      </c>
      <c r="F149" s="49">
        <f>'дод 3'!G37</f>
        <v>0</v>
      </c>
      <c r="G149" s="49">
        <f>'дод 3'!H37</f>
        <v>0</v>
      </c>
      <c r="H149" s="49">
        <f>'дод 3'!I37</f>
        <v>0</v>
      </c>
      <c r="I149" s="49">
        <f>'дод 3'!J37</f>
        <v>0</v>
      </c>
      <c r="J149" s="49">
        <f>'дод 3'!K37</f>
        <v>0</v>
      </c>
      <c r="K149" s="49">
        <f>'дод 3'!L37</f>
        <v>0</v>
      </c>
      <c r="L149" s="49">
        <f>'дод 3'!M37</f>
        <v>0</v>
      </c>
      <c r="M149" s="49">
        <f>'дод 3'!N37</f>
        <v>0</v>
      </c>
      <c r="N149" s="49">
        <f>'дод 3'!O37</f>
        <v>0</v>
      </c>
      <c r="O149" s="49">
        <f>'дод 3'!P37</f>
        <v>1031480</v>
      </c>
    </row>
    <row r="150" spans="1:15" s="54" customFormat="1" ht="47.25" x14ac:dyDescent="0.25">
      <c r="A150" s="37" t="s">
        <v>116</v>
      </c>
      <c r="B150" s="37" t="s">
        <v>80</v>
      </c>
      <c r="C150" s="3" t="s">
        <v>590</v>
      </c>
      <c r="D150" s="49">
        <f>'дод 3'!E38+'дод 3'!E114</f>
        <v>27287848</v>
      </c>
      <c r="E150" s="49">
        <f>'дод 3'!F38+'дод 3'!F114</f>
        <v>27287848</v>
      </c>
      <c r="F150" s="49">
        <f>'дод 3'!G38+'дод 3'!G114</f>
        <v>19566292</v>
      </c>
      <c r="G150" s="49">
        <f>'дод 3'!H38+'дод 3'!H114</f>
        <v>1234440</v>
      </c>
      <c r="H150" s="49">
        <f>'дод 3'!I38+'дод 3'!I114</f>
        <v>0</v>
      </c>
      <c r="I150" s="49">
        <f>'дод 3'!J38+'дод 3'!J114</f>
        <v>200700</v>
      </c>
      <c r="J150" s="49">
        <f>'дод 3'!K38+'дод 3'!K114</f>
        <v>200700</v>
      </c>
      <c r="K150" s="49">
        <f>'дод 3'!L38+'дод 3'!L114</f>
        <v>0</v>
      </c>
      <c r="L150" s="49">
        <f>'дод 3'!M38+'дод 3'!M114</f>
        <v>0</v>
      </c>
      <c r="M150" s="49">
        <f>'дод 3'!N38+'дод 3'!N114</f>
        <v>0</v>
      </c>
      <c r="N150" s="49">
        <f>'дод 3'!O38+'дод 3'!O114</f>
        <v>200700</v>
      </c>
      <c r="O150" s="49">
        <f>'дод 3'!P38+'дод 3'!P114</f>
        <v>27488548</v>
      </c>
    </row>
    <row r="151" spans="1:15" s="54" customFormat="1" ht="25.5" customHeight="1" x14ac:dyDescent="0.25">
      <c r="A151" s="37"/>
      <c r="B151" s="37"/>
      <c r="C151" s="86" t="s">
        <v>395</v>
      </c>
      <c r="D151" s="79">
        <f>'дод 3'!E115</f>
        <v>134064</v>
      </c>
      <c r="E151" s="79">
        <f>'дод 3'!F115</f>
        <v>134064</v>
      </c>
      <c r="F151" s="79">
        <f>'дод 3'!G115</f>
        <v>0</v>
      </c>
      <c r="G151" s="79">
        <f>'дод 3'!H115</f>
        <v>0</v>
      </c>
      <c r="H151" s="79">
        <f>'дод 3'!I115</f>
        <v>0</v>
      </c>
      <c r="I151" s="79">
        <f>'дод 3'!J115</f>
        <v>0</v>
      </c>
      <c r="J151" s="79">
        <f>'дод 3'!K115</f>
        <v>0</v>
      </c>
      <c r="K151" s="79">
        <f>'дод 3'!L115</f>
        <v>0</v>
      </c>
      <c r="L151" s="79">
        <f>'дод 3'!M115</f>
        <v>0</v>
      </c>
      <c r="M151" s="79">
        <f>'дод 3'!N115</f>
        <v>0</v>
      </c>
      <c r="N151" s="79">
        <f>'дод 3'!O115</f>
        <v>0</v>
      </c>
      <c r="O151" s="79">
        <f>'дод 3'!P115</f>
        <v>134064</v>
      </c>
    </row>
    <row r="152" spans="1:15" s="54" customFormat="1" ht="31.5" customHeight="1" x14ac:dyDescent="0.25">
      <c r="A152" s="37" t="s">
        <v>117</v>
      </c>
      <c r="B152" s="37" t="s">
        <v>80</v>
      </c>
      <c r="C152" s="3" t="s">
        <v>22</v>
      </c>
      <c r="D152" s="49">
        <f>'дод 3'!E39</f>
        <v>14994942</v>
      </c>
      <c r="E152" s="49">
        <f>'дод 3'!F39</f>
        <v>14994942</v>
      </c>
      <c r="F152" s="49">
        <f>'дод 3'!G39</f>
        <v>0</v>
      </c>
      <c r="G152" s="49">
        <f>'дод 3'!H39</f>
        <v>0</v>
      </c>
      <c r="H152" s="49">
        <f>'дод 3'!I39</f>
        <v>0</v>
      </c>
      <c r="I152" s="49">
        <f>'дод 3'!J39</f>
        <v>357100</v>
      </c>
      <c r="J152" s="49">
        <f>'дод 3'!K39</f>
        <v>357100</v>
      </c>
      <c r="K152" s="49">
        <f>'дод 3'!L39</f>
        <v>0</v>
      </c>
      <c r="L152" s="49">
        <f>'дод 3'!M39</f>
        <v>0</v>
      </c>
      <c r="M152" s="49">
        <f>'дод 3'!N39</f>
        <v>0</v>
      </c>
      <c r="N152" s="49">
        <f>'дод 3'!O39</f>
        <v>357100</v>
      </c>
      <c r="O152" s="49">
        <f>'дод 3'!P39</f>
        <v>15352042</v>
      </c>
    </row>
    <row r="153" spans="1:15" s="54" customFormat="1" ht="54" customHeight="1" x14ac:dyDescent="0.25">
      <c r="A153" s="37" t="s">
        <v>112</v>
      </c>
      <c r="B153" s="37" t="s">
        <v>80</v>
      </c>
      <c r="C153" s="3" t="s">
        <v>113</v>
      </c>
      <c r="D153" s="49">
        <f>'дод 3'!E40</f>
        <v>5088784</v>
      </c>
      <c r="E153" s="49">
        <f>'дод 3'!F40</f>
        <v>5088784</v>
      </c>
      <c r="F153" s="49">
        <f>'дод 3'!G40</f>
        <v>2981030</v>
      </c>
      <c r="G153" s="49">
        <f>'дод 3'!H40</f>
        <v>424639</v>
      </c>
      <c r="H153" s="49">
        <f>'дод 3'!I40</f>
        <v>0</v>
      </c>
      <c r="I153" s="49">
        <f>'дод 3'!J40</f>
        <v>1742994</v>
      </c>
      <c r="J153" s="49">
        <f>'дод 3'!K40</f>
        <v>1530000</v>
      </c>
      <c r="K153" s="49">
        <f>'дод 3'!L40</f>
        <v>212994</v>
      </c>
      <c r="L153" s="49">
        <f>'дод 3'!M40</f>
        <v>119291</v>
      </c>
      <c r="M153" s="49">
        <f>'дод 3'!N40</f>
        <v>50432</v>
      </c>
      <c r="N153" s="49">
        <f>'дод 3'!O40</f>
        <v>1530000</v>
      </c>
      <c r="O153" s="49">
        <f>'дод 3'!P40</f>
        <v>6831778</v>
      </c>
    </row>
    <row r="154" spans="1:15" s="54" customFormat="1" ht="37.5" customHeight="1" x14ac:dyDescent="0.25">
      <c r="A154" s="37" t="s">
        <v>115</v>
      </c>
      <c r="B154" s="37" t="s">
        <v>80</v>
      </c>
      <c r="C154" s="3" t="s">
        <v>114</v>
      </c>
      <c r="D154" s="49">
        <f>'дод 3'!E41</f>
        <v>16391395</v>
      </c>
      <c r="E154" s="49">
        <f>'дод 3'!F41</f>
        <v>16391395</v>
      </c>
      <c r="F154" s="49">
        <f>'дод 3'!G41</f>
        <v>0</v>
      </c>
      <c r="G154" s="49">
        <f>'дод 3'!H41</f>
        <v>0</v>
      </c>
      <c r="H154" s="49">
        <f>'дод 3'!I41</f>
        <v>0</v>
      </c>
      <c r="I154" s="49">
        <f>'дод 3'!J41</f>
        <v>0</v>
      </c>
      <c r="J154" s="49">
        <f>'дод 3'!K41</f>
        <v>0</v>
      </c>
      <c r="K154" s="49">
        <f>'дод 3'!L41</f>
        <v>0</v>
      </c>
      <c r="L154" s="49">
        <f>'дод 3'!M41</f>
        <v>0</v>
      </c>
      <c r="M154" s="49">
        <f>'дод 3'!N41</f>
        <v>0</v>
      </c>
      <c r="N154" s="49">
        <f>'дод 3'!O41</f>
        <v>0</v>
      </c>
      <c r="O154" s="49">
        <f>'дод 3'!P41</f>
        <v>16391395</v>
      </c>
    </row>
    <row r="155" spans="1:15" s="52" customFormat="1" ht="18" customHeight="1" x14ac:dyDescent="0.25">
      <c r="A155" s="38" t="s">
        <v>66</v>
      </c>
      <c r="B155" s="41"/>
      <c r="C155" s="2" t="s">
        <v>67</v>
      </c>
      <c r="D155" s="48">
        <f>D157+D158+D159+D160+D161+D162+D163+D165+D166</f>
        <v>279418872.75</v>
      </c>
      <c r="E155" s="48">
        <f t="shared" ref="E155:O155" si="26">E157+E158+E159+E160+E161+E162+E163+E165+E166</f>
        <v>247860659.44</v>
      </c>
      <c r="F155" s="48">
        <f t="shared" si="26"/>
        <v>0</v>
      </c>
      <c r="G155" s="48">
        <f t="shared" si="26"/>
        <v>37697533</v>
      </c>
      <c r="H155" s="48">
        <f t="shared" si="26"/>
        <v>31558213.309999999</v>
      </c>
      <c r="I155" s="48">
        <f t="shared" si="26"/>
        <v>151766526.24999997</v>
      </c>
      <c r="J155" s="48">
        <f t="shared" si="26"/>
        <v>149823697.59999996</v>
      </c>
      <c r="K155" s="48">
        <f t="shared" si="26"/>
        <v>1785000</v>
      </c>
      <c r="L155" s="48">
        <f t="shared" si="26"/>
        <v>0</v>
      </c>
      <c r="M155" s="48">
        <f t="shared" si="26"/>
        <v>0</v>
      </c>
      <c r="N155" s="48">
        <f t="shared" si="26"/>
        <v>149981526.24999997</v>
      </c>
      <c r="O155" s="48">
        <f t="shared" si="26"/>
        <v>431185398.99999994</v>
      </c>
    </row>
    <row r="156" spans="1:15" s="53" customFormat="1" ht="113.25" customHeight="1" x14ac:dyDescent="0.25">
      <c r="A156" s="70"/>
      <c r="B156" s="71"/>
      <c r="C156" s="144" t="s">
        <v>619</v>
      </c>
      <c r="D156" s="75">
        <f>D164</f>
        <v>0</v>
      </c>
      <c r="E156" s="75">
        <f t="shared" ref="E156:O156" si="27">E164</f>
        <v>0</v>
      </c>
      <c r="F156" s="75">
        <f t="shared" si="27"/>
        <v>0</v>
      </c>
      <c r="G156" s="75">
        <f t="shared" si="27"/>
        <v>0</v>
      </c>
      <c r="H156" s="75">
        <f t="shared" si="27"/>
        <v>0</v>
      </c>
      <c r="I156" s="75">
        <f t="shared" si="27"/>
        <v>6778277.5</v>
      </c>
      <c r="J156" s="75">
        <f t="shared" si="27"/>
        <v>6778277.5</v>
      </c>
      <c r="K156" s="75">
        <f t="shared" si="27"/>
        <v>0</v>
      </c>
      <c r="L156" s="75">
        <f t="shared" si="27"/>
        <v>0</v>
      </c>
      <c r="M156" s="75">
        <f t="shared" si="27"/>
        <v>0</v>
      </c>
      <c r="N156" s="75">
        <f t="shared" si="27"/>
        <v>6778277.5</v>
      </c>
      <c r="O156" s="75">
        <f t="shared" si="27"/>
        <v>6778277.5</v>
      </c>
    </row>
    <row r="157" spans="1:15" s="54" customFormat="1" ht="31.5" x14ac:dyDescent="0.25">
      <c r="A157" s="37" t="s">
        <v>127</v>
      </c>
      <c r="B157" s="37" t="s">
        <v>68</v>
      </c>
      <c r="C157" s="3" t="s">
        <v>128</v>
      </c>
      <c r="D157" s="49">
        <f>'дод 3'!E234</f>
        <v>0</v>
      </c>
      <c r="E157" s="49">
        <f>'дод 3'!F234</f>
        <v>0</v>
      </c>
      <c r="F157" s="49">
        <f>'дод 3'!G234</f>
        <v>0</v>
      </c>
      <c r="G157" s="49">
        <f>'дод 3'!H234</f>
        <v>0</v>
      </c>
      <c r="H157" s="49">
        <f>'дод 3'!I234</f>
        <v>0</v>
      </c>
      <c r="I157" s="49">
        <f>'дод 3'!J234</f>
        <v>9020843.5199999996</v>
      </c>
      <c r="J157" s="49">
        <f>'дод 3'!K234</f>
        <v>8984363.5199999996</v>
      </c>
      <c r="K157" s="49">
        <f>'дод 3'!L234</f>
        <v>0</v>
      </c>
      <c r="L157" s="49">
        <f>'дод 3'!M234</f>
        <v>0</v>
      </c>
      <c r="M157" s="49">
        <f>'дод 3'!N234</f>
        <v>0</v>
      </c>
      <c r="N157" s="49">
        <f>'дод 3'!O234</f>
        <v>9020843.5199999996</v>
      </c>
      <c r="O157" s="49">
        <f>'дод 3'!P234</f>
        <v>9020843.5199999996</v>
      </c>
    </row>
    <row r="158" spans="1:15" s="54" customFormat="1" ht="36.75" customHeight="1" x14ac:dyDescent="0.25">
      <c r="A158" s="37" t="s">
        <v>129</v>
      </c>
      <c r="B158" s="37" t="s">
        <v>70</v>
      </c>
      <c r="C158" s="3" t="s">
        <v>147</v>
      </c>
      <c r="D158" s="49">
        <f>'дод 3'!E235</f>
        <v>29081568</v>
      </c>
      <c r="E158" s="49">
        <f>'дод 3'!F235</f>
        <v>581568</v>
      </c>
      <c r="F158" s="49">
        <f>'дод 3'!G235</f>
        <v>0</v>
      </c>
      <c r="G158" s="49">
        <f>'дод 3'!H235</f>
        <v>0</v>
      </c>
      <c r="H158" s="49">
        <f>'дод 3'!I235</f>
        <v>28500000</v>
      </c>
      <c r="I158" s="49">
        <f>'дод 3'!J235</f>
        <v>200000</v>
      </c>
      <c r="J158" s="49">
        <f>'дод 3'!K235</f>
        <v>200000</v>
      </c>
      <c r="K158" s="49">
        <f>'дод 3'!L235</f>
        <v>0</v>
      </c>
      <c r="L158" s="49">
        <f>'дод 3'!M235</f>
        <v>0</v>
      </c>
      <c r="M158" s="49">
        <f>'дод 3'!N235</f>
        <v>0</v>
      </c>
      <c r="N158" s="49">
        <f>'дод 3'!O235</f>
        <v>200000</v>
      </c>
      <c r="O158" s="49">
        <f>'дод 3'!P235</f>
        <v>29281568</v>
      </c>
    </row>
    <row r="159" spans="1:15" s="54" customFormat="1" ht="33" customHeight="1" x14ac:dyDescent="0.25">
      <c r="A159" s="40" t="s">
        <v>260</v>
      </c>
      <c r="B159" s="40" t="s">
        <v>70</v>
      </c>
      <c r="C159" s="3" t="s">
        <v>261</v>
      </c>
      <c r="D159" s="49">
        <f>'дод 3'!E236</f>
        <v>71280</v>
      </c>
      <c r="E159" s="49">
        <f>'дод 3'!F236</f>
        <v>71280</v>
      </c>
      <c r="F159" s="49">
        <f>'дод 3'!G236</f>
        <v>0</v>
      </c>
      <c r="G159" s="49">
        <f>'дод 3'!H236</f>
        <v>0</v>
      </c>
      <c r="H159" s="49">
        <f>'дод 3'!I236</f>
        <v>0</v>
      </c>
      <c r="I159" s="49">
        <f>'дод 3'!J236</f>
        <v>32295150</v>
      </c>
      <c r="J159" s="49">
        <f>'дод 3'!K236</f>
        <v>32245150</v>
      </c>
      <c r="K159" s="49">
        <f>'дод 3'!L236</f>
        <v>0</v>
      </c>
      <c r="L159" s="49">
        <f>'дод 3'!M236</f>
        <v>0</v>
      </c>
      <c r="M159" s="49">
        <f>'дод 3'!N236</f>
        <v>0</v>
      </c>
      <c r="N159" s="49">
        <f>'дод 3'!O236</f>
        <v>32295150</v>
      </c>
      <c r="O159" s="49">
        <f>'дод 3'!P236</f>
        <v>32366430</v>
      </c>
    </row>
    <row r="160" spans="1:15" s="54" customFormat="1" ht="33" customHeight="1" x14ac:dyDescent="0.25">
      <c r="A160" s="37" t="s">
        <v>263</v>
      </c>
      <c r="B160" s="37" t="s">
        <v>70</v>
      </c>
      <c r="C160" s="3" t="s">
        <v>344</v>
      </c>
      <c r="D160" s="49">
        <f>'дод 3'!E237</f>
        <v>100000</v>
      </c>
      <c r="E160" s="49">
        <f>'дод 3'!F237</f>
        <v>100000</v>
      </c>
      <c r="F160" s="49">
        <f>'дод 3'!G237</f>
        <v>0</v>
      </c>
      <c r="G160" s="49">
        <f>'дод 3'!H237</f>
        <v>0</v>
      </c>
      <c r="H160" s="49">
        <f>'дод 3'!I237</f>
        <v>0</v>
      </c>
      <c r="I160" s="49">
        <f>'дод 3'!J237</f>
        <v>0</v>
      </c>
      <c r="J160" s="49">
        <f>'дод 3'!K237</f>
        <v>0</v>
      </c>
      <c r="K160" s="49">
        <f>'дод 3'!L237</f>
        <v>0</v>
      </c>
      <c r="L160" s="49">
        <f>'дод 3'!M237</f>
        <v>0</v>
      </c>
      <c r="M160" s="49">
        <f>'дод 3'!N237</f>
        <v>0</v>
      </c>
      <c r="N160" s="49">
        <f>'дод 3'!O237</f>
        <v>0</v>
      </c>
      <c r="O160" s="49">
        <f>'дод 3'!P237</f>
        <v>100000</v>
      </c>
    </row>
    <row r="161" spans="1:15" s="54" customFormat="1" ht="52.5" customHeight="1" x14ac:dyDescent="0.25">
      <c r="A161" s="37" t="s">
        <v>69</v>
      </c>
      <c r="B161" s="37" t="s">
        <v>70</v>
      </c>
      <c r="C161" s="3" t="s">
        <v>132</v>
      </c>
      <c r="D161" s="49">
        <f>'дод 3'!E238</f>
        <v>2815132.48</v>
      </c>
      <c r="E161" s="49">
        <f>'дод 3'!F238</f>
        <v>0</v>
      </c>
      <c r="F161" s="49">
        <f>'дод 3'!G238</f>
        <v>0</v>
      </c>
      <c r="G161" s="49">
        <f>'дод 3'!H238</f>
        <v>0</v>
      </c>
      <c r="H161" s="49">
        <f>'дод 3'!I238</f>
        <v>2815132.48</v>
      </c>
      <c r="I161" s="49">
        <f>'дод 3'!J238</f>
        <v>85000</v>
      </c>
      <c r="J161" s="49">
        <f>'дод 3'!K238</f>
        <v>85000</v>
      </c>
      <c r="K161" s="49">
        <f>'дод 3'!L238</f>
        <v>0</v>
      </c>
      <c r="L161" s="49">
        <f>'дод 3'!M238</f>
        <v>0</v>
      </c>
      <c r="M161" s="49">
        <f>'дод 3'!N238</f>
        <v>0</v>
      </c>
      <c r="N161" s="49">
        <f>'дод 3'!O238</f>
        <v>85000</v>
      </c>
      <c r="O161" s="49">
        <f>'дод 3'!P238</f>
        <v>2900132.48</v>
      </c>
    </row>
    <row r="162" spans="1:15" ht="24" customHeight="1" x14ac:dyDescent="0.25">
      <c r="A162" s="37" t="s">
        <v>130</v>
      </c>
      <c r="B162" s="37" t="s">
        <v>70</v>
      </c>
      <c r="C162" s="3" t="s">
        <v>131</v>
      </c>
      <c r="D162" s="49">
        <f>'дод 3'!E239+'дод 3'!E275</f>
        <v>240932362.25999999</v>
      </c>
      <c r="E162" s="49">
        <f>'дод 3'!F239+'дод 3'!F275</f>
        <v>240882362.25999999</v>
      </c>
      <c r="F162" s="49">
        <f>'дод 3'!G239+'дод 3'!G275</f>
        <v>0</v>
      </c>
      <c r="G162" s="49">
        <f>'дод 3'!H239+'дод 3'!H275</f>
        <v>37647943</v>
      </c>
      <c r="H162" s="49">
        <f>'дод 3'!I239+'дод 3'!I275</f>
        <v>50000</v>
      </c>
      <c r="I162" s="49">
        <f>'дод 3'!J239+'дод 3'!J275</f>
        <v>99799196.079999983</v>
      </c>
      <c r="J162" s="49">
        <f>'дод 3'!K239+'дод 3'!K275</f>
        <v>99799196.079999983</v>
      </c>
      <c r="K162" s="49">
        <f>'дод 3'!L239+'дод 3'!L275</f>
        <v>0</v>
      </c>
      <c r="L162" s="49">
        <f>'дод 3'!M239+'дод 3'!M275</f>
        <v>0</v>
      </c>
      <c r="M162" s="49">
        <f>'дод 3'!N239+'дод 3'!N275</f>
        <v>0</v>
      </c>
      <c r="N162" s="49">
        <f>'дод 3'!O239+'дод 3'!O275</f>
        <v>99799196.079999983</v>
      </c>
      <c r="O162" s="49">
        <f>'дод 3'!P239+'дод 3'!P275</f>
        <v>340731558.33999997</v>
      </c>
    </row>
    <row r="163" spans="1:15" ht="83.25" customHeight="1" x14ac:dyDescent="0.25">
      <c r="A163" s="37">
        <v>6083</v>
      </c>
      <c r="B163" s="58" t="s">
        <v>68</v>
      </c>
      <c r="C163" s="11" t="s">
        <v>438</v>
      </c>
      <c r="D163" s="49">
        <f>'дод 3'!E210+'дод 3'!E240</f>
        <v>0</v>
      </c>
      <c r="E163" s="49">
        <f>'дод 3'!F210+'дод 3'!F240</f>
        <v>0</v>
      </c>
      <c r="F163" s="49">
        <f>'дод 3'!G210+'дод 3'!G240</f>
        <v>0</v>
      </c>
      <c r="G163" s="49">
        <f>'дод 3'!H210+'дод 3'!H240</f>
        <v>0</v>
      </c>
      <c r="H163" s="49">
        <f>'дод 3'!I210+'дод 3'!I240</f>
        <v>0</v>
      </c>
      <c r="I163" s="49">
        <f>'дод 3'!J210+'дод 3'!J240</f>
        <v>8509988</v>
      </c>
      <c r="J163" s="49">
        <f>'дод 3'!K210+'дод 3'!K240</f>
        <v>8509988</v>
      </c>
      <c r="K163" s="49">
        <f>'дод 3'!L210+'дод 3'!L240</f>
        <v>0</v>
      </c>
      <c r="L163" s="49">
        <f>'дод 3'!M210+'дод 3'!M240</f>
        <v>0</v>
      </c>
      <c r="M163" s="49">
        <f>'дод 3'!N210+'дод 3'!N240</f>
        <v>0</v>
      </c>
      <c r="N163" s="49">
        <f>'дод 3'!O210+'дод 3'!O240</f>
        <v>8509988</v>
      </c>
      <c r="O163" s="49">
        <f>'дод 3'!P210+'дод 3'!P240</f>
        <v>8509988</v>
      </c>
    </row>
    <row r="164" spans="1:15" s="54" customFormat="1" ht="110.25" x14ac:dyDescent="0.25">
      <c r="A164" s="77"/>
      <c r="B164" s="88"/>
      <c r="C164" s="89" t="s">
        <v>619</v>
      </c>
      <c r="D164" s="79">
        <f>'дод 3'!E211+'дод 3'!E241</f>
        <v>0</v>
      </c>
      <c r="E164" s="79">
        <f>'дод 3'!F211+'дод 3'!F241</f>
        <v>0</v>
      </c>
      <c r="F164" s="79">
        <f>'дод 3'!G211+'дод 3'!G241</f>
        <v>0</v>
      </c>
      <c r="G164" s="79">
        <f>'дод 3'!H211+'дод 3'!H241</f>
        <v>0</v>
      </c>
      <c r="H164" s="79">
        <f>'дод 3'!I211+'дод 3'!I241</f>
        <v>0</v>
      </c>
      <c r="I164" s="79">
        <f>'дод 3'!J211+'дод 3'!J241</f>
        <v>6778277.5</v>
      </c>
      <c r="J164" s="79">
        <f>'дод 3'!K211+'дод 3'!K241</f>
        <v>6778277.5</v>
      </c>
      <c r="K164" s="79">
        <f>'дод 3'!L211+'дод 3'!L241</f>
        <v>0</v>
      </c>
      <c r="L164" s="79">
        <f>'дод 3'!M211+'дод 3'!M241</f>
        <v>0</v>
      </c>
      <c r="M164" s="79">
        <f>'дод 3'!N211+'дод 3'!N241</f>
        <v>0</v>
      </c>
      <c r="N164" s="79">
        <f>'дод 3'!O211+'дод 3'!O241</f>
        <v>6778277.5</v>
      </c>
      <c r="O164" s="79">
        <f>'дод 3'!P211+'дод 3'!P241</f>
        <v>6778277.5</v>
      </c>
    </row>
    <row r="165" spans="1:15" s="54" customFormat="1" ht="54.75" customHeight="1" x14ac:dyDescent="0.25">
      <c r="A165" s="37" t="s">
        <v>134</v>
      </c>
      <c r="B165" s="42" t="s">
        <v>68</v>
      </c>
      <c r="C165" s="3" t="s">
        <v>135</v>
      </c>
      <c r="D165" s="49">
        <f>'дод 3'!E276</f>
        <v>0</v>
      </c>
      <c r="E165" s="49">
        <f>'дод 3'!F276</f>
        <v>0</v>
      </c>
      <c r="F165" s="49">
        <f>'дод 3'!G276</f>
        <v>0</v>
      </c>
      <c r="G165" s="49">
        <f>'дод 3'!H276</f>
        <v>0</v>
      </c>
      <c r="H165" s="49">
        <f>'дод 3'!I276</f>
        <v>0</v>
      </c>
      <c r="I165" s="49">
        <f>'дод 3'!J276</f>
        <v>71348.649999999994</v>
      </c>
      <c r="J165" s="49">
        <f>'дод 3'!K276</f>
        <v>0</v>
      </c>
      <c r="K165" s="49">
        <f>'дод 3'!L276</f>
        <v>0</v>
      </c>
      <c r="L165" s="49">
        <f>'дод 3'!M276</f>
        <v>0</v>
      </c>
      <c r="M165" s="49">
        <f>'дод 3'!N276</f>
        <v>0</v>
      </c>
      <c r="N165" s="49">
        <f>'дод 3'!O276</f>
        <v>71348.649999999994</v>
      </c>
      <c r="O165" s="49">
        <f>'дод 3'!P276</f>
        <v>71348.649999999994</v>
      </c>
    </row>
    <row r="166" spans="1:15" ht="36" customHeight="1" x14ac:dyDescent="0.25">
      <c r="A166" s="37" t="s">
        <v>141</v>
      </c>
      <c r="B166" s="42" t="s">
        <v>312</v>
      </c>
      <c r="C166" s="3" t="s">
        <v>142</v>
      </c>
      <c r="D166" s="49">
        <f>'дод 3'!E242+'дод 3'!E295</f>
        <v>6418530.0099999998</v>
      </c>
      <c r="E166" s="49">
        <f>'дод 3'!F242+'дод 3'!F295</f>
        <v>6225449.1799999997</v>
      </c>
      <c r="F166" s="49">
        <f>'дод 3'!G242+'дод 3'!G295</f>
        <v>0</v>
      </c>
      <c r="G166" s="49">
        <f>'дод 3'!H242+'дод 3'!H295</f>
        <v>49590</v>
      </c>
      <c r="H166" s="49">
        <f>'дод 3'!I242+'дод 3'!I295</f>
        <v>193080.83000000002</v>
      </c>
      <c r="I166" s="49">
        <f>'дод 3'!J242+'дод 3'!J295</f>
        <v>1785000</v>
      </c>
      <c r="J166" s="49">
        <f>'дод 3'!K242+'дод 3'!K295</f>
        <v>0</v>
      </c>
      <c r="K166" s="49">
        <f>'дод 3'!L242+'дод 3'!L295</f>
        <v>1785000</v>
      </c>
      <c r="L166" s="49">
        <f>'дод 3'!M242+'дод 3'!M295</f>
        <v>0</v>
      </c>
      <c r="M166" s="49">
        <f>'дод 3'!N242+'дод 3'!N295</f>
        <v>0</v>
      </c>
      <c r="N166" s="49">
        <f>'дод 3'!O242+'дод 3'!O295</f>
        <v>0</v>
      </c>
      <c r="O166" s="49">
        <f>'дод 3'!P242+'дод 3'!P295</f>
        <v>8203530.0099999998</v>
      </c>
    </row>
    <row r="167" spans="1:15" s="52" customFormat="1" ht="21.75" customHeight="1" x14ac:dyDescent="0.25">
      <c r="A167" s="38" t="s">
        <v>136</v>
      </c>
      <c r="B167" s="41"/>
      <c r="C167" s="2" t="s">
        <v>407</v>
      </c>
      <c r="D167" s="48">
        <f>D173+D175+D197+D213+D215+D227</f>
        <v>79022342.149999991</v>
      </c>
      <c r="E167" s="48">
        <f>E173+E175+E197+E213+E215+E227</f>
        <v>15061036.149999999</v>
      </c>
      <c r="F167" s="48">
        <f t="shared" ref="F167:O167" si="28">F173+F175+F197+F213+F215+F227</f>
        <v>0</v>
      </c>
      <c r="G167" s="48">
        <f t="shared" si="28"/>
        <v>0</v>
      </c>
      <c r="H167" s="48">
        <f t="shared" si="28"/>
        <v>63961306</v>
      </c>
      <c r="I167" s="48">
        <f t="shared" si="28"/>
        <v>476750585.99000001</v>
      </c>
      <c r="J167" s="48">
        <f t="shared" si="28"/>
        <v>444197664.12</v>
      </c>
      <c r="K167" s="48">
        <f t="shared" si="28"/>
        <v>15048437.869999999</v>
      </c>
      <c r="L167" s="48">
        <f t="shared" si="28"/>
        <v>0</v>
      </c>
      <c r="M167" s="48">
        <f t="shared" si="28"/>
        <v>0</v>
      </c>
      <c r="N167" s="48">
        <f t="shared" si="28"/>
        <v>461702148.12</v>
      </c>
      <c r="O167" s="48">
        <f t="shared" si="28"/>
        <v>555772928.13999999</v>
      </c>
    </row>
    <row r="168" spans="1:15" s="53" customFormat="1" ht="47.25" x14ac:dyDescent="0.25">
      <c r="A168" s="70"/>
      <c r="B168" s="71"/>
      <c r="C168" s="74" t="s">
        <v>388</v>
      </c>
      <c r="D168" s="75">
        <f>D176</f>
        <v>0</v>
      </c>
      <c r="E168" s="75">
        <f t="shared" ref="E168:O168" si="29">E176</f>
        <v>0</v>
      </c>
      <c r="F168" s="75">
        <f t="shared" si="29"/>
        <v>0</v>
      </c>
      <c r="G168" s="75">
        <f t="shared" si="29"/>
        <v>0</v>
      </c>
      <c r="H168" s="75">
        <f t="shared" si="29"/>
        <v>0</v>
      </c>
      <c r="I168" s="75">
        <f t="shared" si="29"/>
        <v>30921007</v>
      </c>
      <c r="J168" s="75">
        <f t="shared" si="29"/>
        <v>27428057</v>
      </c>
      <c r="K168" s="75">
        <f t="shared" si="29"/>
        <v>0</v>
      </c>
      <c r="L168" s="75">
        <f t="shared" si="29"/>
        <v>0</v>
      </c>
      <c r="M168" s="75">
        <f t="shared" si="29"/>
        <v>0</v>
      </c>
      <c r="N168" s="75">
        <f t="shared" si="29"/>
        <v>30921007</v>
      </c>
      <c r="O168" s="75">
        <f t="shared" si="29"/>
        <v>30921007</v>
      </c>
    </row>
    <row r="169" spans="1:15" s="53" customFormat="1" ht="94.5" x14ac:dyDescent="0.25">
      <c r="A169" s="70"/>
      <c r="B169" s="71"/>
      <c r="C169" s="74" t="s">
        <v>397</v>
      </c>
      <c r="D169" s="75">
        <f>D198</f>
        <v>0</v>
      </c>
      <c r="E169" s="75">
        <f t="shared" ref="E169:N169" si="30">E198</f>
        <v>0</v>
      </c>
      <c r="F169" s="75">
        <f t="shared" si="30"/>
        <v>0</v>
      </c>
      <c r="G169" s="75">
        <f t="shared" si="30"/>
        <v>0</v>
      </c>
      <c r="H169" s="75">
        <f t="shared" si="30"/>
        <v>0</v>
      </c>
      <c r="I169" s="75">
        <f t="shared" si="30"/>
        <v>12100000</v>
      </c>
      <c r="J169" s="75">
        <f t="shared" si="30"/>
        <v>0</v>
      </c>
      <c r="K169" s="75">
        <f t="shared" si="30"/>
        <v>12100000</v>
      </c>
      <c r="L169" s="75">
        <f t="shared" si="30"/>
        <v>0</v>
      </c>
      <c r="M169" s="75">
        <f t="shared" si="30"/>
        <v>0</v>
      </c>
      <c r="N169" s="75">
        <f t="shared" si="30"/>
        <v>0</v>
      </c>
      <c r="O169" s="75">
        <f t="shared" ref="O169" si="31">O198</f>
        <v>12100000</v>
      </c>
    </row>
    <row r="170" spans="1:15" s="53" customFormat="1" ht="66" customHeight="1" x14ac:dyDescent="0.25">
      <c r="A170" s="70"/>
      <c r="B170" s="71"/>
      <c r="C170" s="134" t="s">
        <v>622</v>
      </c>
      <c r="D170" s="75">
        <f>D177</f>
        <v>0</v>
      </c>
      <c r="E170" s="75">
        <f>E177</f>
        <v>0</v>
      </c>
      <c r="F170" s="75">
        <f t="shared" ref="F170:H170" si="32">F177</f>
        <v>0</v>
      </c>
      <c r="G170" s="75">
        <f t="shared" si="32"/>
        <v>0</v>
      </c>
      <c r="H170" s="75">
        <f t="shared" si="32"/>
        <v>0</v>
      </c>
      <c r="I170" s="75">
        <f>I177</f>
        <v>1530600</v>
      </c>
      <c r="J170" s="75">
        <f t="shared" ref="J170:N170" si="33">J177</f>
        <v>1530600</v>
      </c>
      <c r="K170" s="75">
        <f t="shared" si="33"/>
        <v>0</v>
      </c>
      <c r="L170" s="75">
        <f t="shared" si="33"/>
        <v>0</v>
      </c>
      <c r="M170" s="75">
        <f t="shared" si="33"/>
        <v>0</v>
      </c>
      <c r="N170" s="75">
        <f t="shared" si="33"/>
        <v>1530600</v>
      </c>
      <c r="O170" s="75">
        <f>O177</f>
        <v>1530600</v>
      </c>
    </row>
    <row r="171" spans="1:15" s="53" customFormat="1" ht="18.75" customHeight="1" x14ac:dyDescent="0.25">
      <c r="A171" s="70"/>
      <c r="B171" s="71"/>
      <c r="C171" s="76" t="s">
        <v>395</v>
      </c>
      <c r="D171" s="75">
        <f>D178+D200</f>
        <v>200000</v>
      </c>
      <c r="E171" s="75">
        <f t="shared" ref="E171:O171" si="34">E178+E200</f>
        <v>200000</v>
      </c>
      <c r="F171" s="75">
        <f t="shared" si="34"/>
        <v>0</v>
      </c>
      <c r="G171" s="75">
        <f t="shared" si="34"/>
        <v>0</v>
      </c>
      <c r="H171" s="75">
        <f t="shared" si="34"/>
        <v>0</v>
      </c>
      <c r="I171" s="75">
        <f t="shared" si="34"/>
        <v>450000</v>
      </c>
      <c r="J171" s="75">
        <f t="shared" si="34"/>
        <v>450000</v>
      </c>
      <c r="K171" s="75">
        <f t="shared" si="34"/>
        <v>0</v>
      </c>
      <c r="L171" s="75">
        <f t="shared" si="34"/>
        <v>0</v>
      </c>
      <c r="M171" s="75">
        <f t="shared" si="34"/>
        <v>0</v>
      </c>
      <c r="N171" s="75">
        <f t="shared" si="34"/>
        <v>450000</v>
      </c>
      <c r="O171" s="75">
        <f t="shared" si="34"/>
        <v>650000</v>
      </c>
    </row>
    <row r="172" spans="1:15" s="53" customFormat="1" ht="18" customHeight="1" x14ac:dyDescent="0.25">
      <c r="A172" s="70"/>
      <c r="B172" s="70"/>
      <c r="C172" s="82" t="s">
        <v>419</v>
      </c>
      <c r="D172" s="75">
        <f>D216</f>
        <v>0</v>
      </c>
      <c r="E172" s="75">
        <f t="shared" ref="E172:O172" si="35">E216</f>
        <v>0</v>
      </c>
      <c r="F172" s="75">
        <f t="shared" si="35"/>
        <v>0</v>
      </c>
      <c r="G172" s="75">
        <f t="shared" si="35"/>
        <v>0</v>
      </c>
      <c r="H172" s="75">
        <f t="shared" si="35"/>
        <v>0</v>
      </c>
      <c r="I172" s="75">
        <f t="shared" si="35"/>
        <v>127771665.12</v>
      </c>
      <c r="J172" s="75">
        <f t="shared" si="35"/>
        <v>127771665.12</v>
      </c>
      <c r="K172" s="75">
        <f t="shared" si="35"/>
        <v>0</v>
      </c>
      <c r="L172" s="75">
        <f t="shared" si="35"/>
        <v>0</v>
      </c>
      <c r="M172" s="75">
        <f t="shared" si="35"/>
        <v>0</v>
      </c>
      <c r="N172" s="75">
        <f t="shared" si="35"/>
        <v>127771665.12</v>
      </c>
      <c r="O172" s="75">
        <f t="shared" si="35"/>
        <v>127771665.12</v>
      </c>
    </row>
    <row r="173" spans="1:15" s="52" customFormat="1" x14ac:dyDescent="0.25">
      <c r="A173" s="38" t="s">
        <v>143</v>
      </c>
      <c r="B173" s="41"/>
      <c r="C173" s="2" t="s">
        <v>144</v>
      </c>
      <c r="D173" s="48">
        <f t="shared" ref="D173:O173" si="36">D174</f>
        <v>450000</v>
      </c>
      <c r="E173" s="48">
        <f t="shared" si="36"/>
        <v>450000</v>
      </c>
      <c r="F173" s="48">
        <f t="shared" si="36"/>
        <v>0</v>
      </c>
      <c r="G173" s="48">
        <f t="shared" si="36"/>
        <v>0</v>
      </c>
      <c r="H173" s="48">
        <f t="shared" si="36"/>
        <v>0</v>
      </c>
      <c r="I173" s="48">
        <f t="shared" si="36"/>
        <v>0</v>
      </c>
      <c r="J173" s="48">
        <f t="shared" si="36"/>
        <v>0</v>
      </c>
      <c r="K173" s="48">
        <f t="shared" si="36"/>
        <v>0</v>
      </c>
      <c r="L173" s="48">
        <f t="shared" si="36"/>
        <v>0</v>
      </c>
      <c r="M173" s="48">
        <f t="shared" si="36"/>
        <v>0</v>
      </c>
      <c r="N173" s="48">
        <f t="shared" si="36"/>
        <v>0</v>
      </c>
      <c r="O173" s="48">
        <f t="shared" si="36"/>
        <v>450000</v>
      </c>
    </row>
    <row r="174" spans="1:15" ht="24" customHeight="1" x14ac:dyDescent="0.25">
      <c r="A174" s="37" t="s">
        <v>137</v>
      </c>
      <c r="B174" s="37" t="s">
        <v>83</v>
      </c>
      <c r="C174" s="3" t="s">
        <v>345</v>
      </c>
      <c r="D174" s="49">
        <f>'дод 3'!E305</f>
        <v>450000</v>
      </c>
      <c r="E174" s="49">
        <f>'дод 3'!F305</f>
        <v>450000</v>
      </c>
      <c r="F174" s="49">
        <f>'дод 3'!G305</f>
        <v>0</v>
      </c>
      <c r="G174" s="49">
        <f>'дод 3'!H305</f>
        <v>0</v>
      </c>
      <c r="H174" s="49">
        <f>'дод 3'!I305</f>
        <v>0</v>
      </c>
      <c r="I174" s="49">
        <f>'дод 3'!J305</f>
        <v>0</v>
      </c>
      <c r="J174" s="49">
        <f>'дод 3'!K305</f>
        <v>0</v>
      </c>
      <c r="K174" s="49">
        <f>'дод 3'!L305</f>
        <v>0</v>
      </c>
      <c r="L174" s="49">
        <f>'дод 3'!M305</f>
        <v>0</v>
      </c>
      <c r="M174" s="49">
        <f>'дод 3'!N305</f>
        <v>0</v>
      </c>
      <c r="N174" s="49">
        <f>'дод 3'!O305</f>
        <v>0</v>
      </c>
      <c r="O174" s="49">
        <f>'дод 3'!P305</f>
        <v>450000</v>
      </c>
    </row>
    <row r="175" spans="1:15" s="52" customFormat="1" ht="31.5" x14ac:dyDescent="0.25">
      <c r="A175" s="38" t="s">
        <v>97</v>
      </c>
      <c r="B175" s="38"/>
      <c r="C175" s="13" t="s">
        <v>591</v>
      </c>
      <c r="D175" s="48">
        <f>D179+D180+D182+D184+D185+D186+D187+D188+D189+D190+D192+D194+D196</f>
        <v>2341300.6</v>
      </c>
      <c r="E175" s="48">
        <f t="shared" ref="E175:O175" si="37">E179+E180+E182+E184+E185+E186+E187+E188+E189+E190+E192+E194+E196</f>
        <v>2341300.6</v>
      </c>
      <c r="F175" s="48">
        <f t="shared" si="37"/>
        <v>0</v>
      </c>
      <c r="G175" s="48">
        <f t="shared" si="37"/>
        <v>0</v>
      </c>
      <c r="H175" s="48">
        <f t="shared" si="37"/>
        <v>0</v>
      </c>
      <c r="I175" s="48">
        <f t="shared" si="37"/>
        <v>267394980.55000001</v>
      </c>
      <c r="J175" s="48">
        <f t="shared" si="37"/>
        <v>263902030.55000001</v>
      </c>
      <c r="K175" s="48">
        <f t="shared" si="37"/>
        <v>0</v>
      </c>
      <c r="L175" s="48">
        <f t="shared" si="37"/>
        <v>0</v>
      </c>
      <c r="M175" s="48">
        <f t="shared" si="37"/>
        <v>0</v>
      </c>
      <c r="N175" s="48">
        <f t="shared" si="37"/>
        <v>267394980.55000001</v>
      </c>
      <c r="O175" s="48">
        <f t="shared" si="37"/>
        <v>269736281.15000004</v>
      </c>
    </row>
    <row r="176" spans="1:15" s="53" customFormat="1" ht="53.25" customHeight="1" x14ac:dyDescent="0.25">
      <c r="A176" s="70"/>
      <c r="B176" s="70"/>
      <c r="C176" s="74" t="s">
        <v>388</v>
      </c>
      <c r="D176" s="75">
        <f>D193</f>
        <v>0</v>
      </c>
      <c r="E176" s="75">
        <f t="shared" ref="E176:O176" si="38">E193</f>
        <v>0</v>
      </c>
      <c r="F176" s="75">
        <f t="shared" si="38"/>
        <v>0</v>
      </c>
      <c r="G176" s="75">
        <f t="shared" si="38"/>
        <v>0</v>
      </c>
      <c r="H176" s="75">
        <f t="shared" si="38"/>
        <v>0</v>
      </c>
      <c r="I176" s="75">
        <f t="shared" si="38"/>
        <v>30921007</v>
      </c>
      <c r="J176" s="75">
        <f t="shared" si="38"/>
        <v>27428057</v>
      </c>
      <c r="K176" s="75">
        <f t="shared" si="38"/>
        <v>0</v>
      </c>
      <c r="L176" s="75">
        <f t="shared" si="38"/>
        <v>0</v>
      </c>
      <c r="M176" s="75">
        <f t="shared" si="38"/>
        <v>0</v>
      </c>
      <c r="N176" s="75">
        <f t="shared" si="38"/>
        <v>30921007</v>
      </c>
      <c r="O176" s="75">
        <f t="shared" si="38"/>
        <v>30921007</v>
      </c>
    </row>
    <row r="177" spans="1:15" s="53" customFormat="1" ht="63" x14ac:dyDescent="0.25">
      <c r="A177" s="70"/>
      <c r="B177" s="70"/>
      <c r="C177" s="134" t="s">
        <v>622</v>
      </c>
      <c r="D177" s="75">
        <f>D183</f>
        <v>0</v>
      </c>
      <c r="E177" s="75">
        <f>E183</f>
        <v>0</v>
      </c>
      <c r="F177" s="75">
        <f t="shared" ref="F177:H177" si="39">F183</f>
        <v>0</v>
      </c>
      <c r="G177" s="75">
        <f t="shared" si="39"/>
        <v>0</v>
      </c>
      <c r="H177" s="75">
        <f t="shared" si="39"/>
        <v>0</v>
      </c>
      <c r="I177" s="75">
        <f>I183</f>
        <v>1530600</v>
      </c>
      <c r="J177" s="75">
        <f t="shared" ref="J177:N177" si="40">J183</f>
        <v>1530600</v>
      </c>
      <c r="K177" s="75">
        <f t="shared" si="40"/>
        <v>0</v>
      </c>
      <c r="L177" s="75">
        <f t="shared" si="40"/>
        <v>0</v>
      </c>
      <c r="M177" s="75">
        <f t="shared" si="40"/>
        <v>0</v>
      </c>
      <c r="N177" s="75">
        <f t="shared" si="40"/>
        <v>1530600</v>
      </c>
      <c r="O177" s="75">
        <f>O183</f>
        <v>1530600</v>
      </c>
    </row>
    <row r="178" spans="1:15" s="53" customFormat="1" x14ac:dyDescent="0.25">
      <c r="A178" s="70"/>
      <c r="B178" s="70"/>
      <c r="C178" s="76" t="s">
        <v>395</v>
      </c>
      <c r="D178" s="75">
        <f>D181+D195</f>
        <v>0</v>
      </c>
      <c r="E178" s="75">
        <f t="shared" ref="E178:O178" si="41">E181+E195</f>
        <v>0</v>
      </c>
      <c r="F178" s="75">
        <f t="shared" si="41"/>
        <v>0</v>
      </c>
      <c r="G178" s="75">
        <f t="shared" si="41"/>
        <v>0</v>
      </c>
      <c r="H178" s="75">
        <f t="shared" si="41"/>
        <v>0</v>
      </c>
      <c r="I178" s="75">
        <f t="shared" si="41"/>
        <v>450000</v>
      </c>
      <c r="J178" s="75">
        <f>J181+J195</f>
        <v>450000</v>
      </c>
      <c r="K178" s="75">
        <f t="shared" si="41"/>
        <v>0</v>
      </c>
      <c r="L178" s="75">
        <f t="shared" si="41"/>
        <v>0</v>
      </c>
      <c r="M178" s="75">
        <f t="shared" si="41"/>
        <v>0</v>
      </c>
      <c r="N178" s="75">
        <f t="shared" si="41"/>
        <v>450000</v>
      </c>
      <c r="O178" s="75">
        <f t="shared" si="41"/>
        <v>450000</v>
      </c>
    </row>
    <row r="179" spans="1:15" ht="33" customHeight="1" x14ac:dyDescent="0.25">
      <c r="A179" s="40" t="s">
        <v>272</v>
      </c>
      <c r="B179" s="40" t="s">
        <v>111</v>
      </c>
      <c r="C179" s="6" t="s">
        <v>551</v>
      </c>
      <c r="D179" s="49">
        <f>'дод 3'!E277+'дод 3'!E243</f>
        <v>0</v>
      </c>
      <c r="E179" s="49">
        <f>'дод 3'!F277+'дод 3'!F243</f>
        <v>0</v>
      </c>
      <c r="F179" s="49">
        <f>'дод 3'!G277+'дод 3'!G243</f>
        <v>0</v>
      </c>
      <c r="G179" s="49">
        <f>'дод 3'!H277+'дод 3'!H243</f>
        <v>0</v>
      </c>
      <c r="H179" s="49">
        <f>'дод 3'!I277+'дод 3'!I243</f>
        <v>0</v>
      </c>
      <c r="I179" s="49">
        <f>'дод 3'!J277+'дод 3'!J243</f>
        <v>26157976.469999999</v>
      </c>
      <c r="J179" s="49">
        <f>'дод 3'!K277+'дод 3'!K243</f>
        <v>26157976.469999999</v>
      </c>
      <c r="K179" s="49">
        <f>'дод 3'!L277+'дод 3'!L243</f>
        <v>0</v>
      </c>
      <c r="L179" s="49">
        <f>'дод 3'!M277+'дод 3'!M243</f>
        <v>0</v>
      </c>
      <c r="M179" s="49">
        <f>'дод 3'!N277+'дод 3'!N243</f>
        <v>0</v>
      </c>
      <c r="N179" s="49">
        <f>'дод 3'!O277+'дод 3'!O243</f>
        <v>26157976.469999999</v>
      </c>
      <c r="O179" s="49">
        <f>'дод 3'!P277+'дод 3'!P243</f>
        <v>26157976.469999999</v>
      </c>
    </row>
    <row r="180" spans="1:15" s="54" customFormat="1" ht="34.5" x14ac:dyDescent="0.25">
      <c r="A180" s="40" t="s">
        <v>277</v>
      </c>
      <c r="B180" s="40" t="s">
        <v>111</v>
      </c>
      <c r="C180" s="6" t="s">
        <v>592</v>
      </c>
      <c r="D180" s="49">
        <f>'дод 3'!E116+'дод 3'!E278</f>
        <v>0</v>
      </c>
      <c r="E180" s="49">
        <f>'дод 3'!F116+'дод 3'!F278</f>
        <v>0</v>
      </c>
      <c r="F180" s="49">
        <f>'дод 3'!G116+'дод 3'!G278</f>
        <v>0</v>
      </c>
      <c r="G180" s="49">
        <f>'дод 3'!H116+'дод 3'!H278</f>
        <v>0</v>
      </c>
      <c r="H180" s="49">
        <f>'дод 3'!I116+'дод 3'!I278</f>
        <v>0</v>
      </c>
      <c r="I180" s="49">
        <f>'дод 3'!J116+'дод 3'!J278</f>
        <v>31814047.5</v>
      </c>
      <c r="J180" s="49">
        <f>'дод 3'!K116+'дод 3'!K278</f>
        <v>31814047.5</v>
      </c>
      <c r="K180" s="49">
        <f>'дод 3'!L116+'дод 3'!L278</f>
        <v>0</v>
      </c>
      <c r="L180" s="49">
        <f>'дод 3'!M116+'дод 3'!M278</f>
        <v>0</v>
      </c>
      <c r="M180" s="49">
        <f>'дод 3'!N116+'дод 3'!N278</f>
        <v>0</v>
      </c>
      <c r="N180" s="49">
        <f>'дод 3'!O116+'дод 3'!O278</f>
        <v>31814047.5</v>
      </c>
      <c r="O180" s="49">
        <f>'дод 3'!P116+'дод 3'!P278</f>
        <v>31814047.5</v>
      </c>
    </row>
    <row r="181" spans="1:15" s="54" customFormat="1" ht="21.75" customHeight="1" x14ac:dyDescent="0.25">
      <c r="A181" s="81"/>
      <c r="B181" s="81"/>
      <c r="C181" s="86" t="s">
        <v>395</v>
      </c>
      <c r="D181" s="79">
        <f>'дод 3'!E117</f>
        <v>0</v>
      </c>
      <c r="E181" s="79">
        <f>'дод 3'!F117</f>
        <v>0</v>
      </c>
      <c r="F181" s="79">
        <f>'дод 3'!G117</f>
        <v>0</v>
      </c>
      <c r="G181" s="79">
        <f>'дод 3'!H117</f>
        <v>0</v>
      </c>
      <c r="H181" s="79">
        <f>'дод 3'!I117</f>
        <v>0</v>
      </c>
      <c r="I181" s="79">
        <f>'дод 3'!J117</f>
        <v>250000</v>
      </c>
      <c r="J181" s="79">
        <f>'дод 3'!K117</f>
        <v>250000</v>
      </c>
      <c r="K181" s="79">
        <f>'дод 3'!L117</f>
        <v>0</v>
      </c>
      <c r="L181" s="79">
        <f>'дод 3'!M117</f>
        <v>0</v>
      </c>
      <c r="M181" s="79">
        <f>'дод 3'!N117</f>
        <v>0</v>
      </c>
      <c r="N181" s="79">
        <f>'дод 3'!O117</f>
        <v>250000</v>
      </c>
      <c r="O181" s="79">
        <f>'дод 3'!P117</f>
        <v>250000</v>
      </c>
    </row>
    <row r="182" spans="1:15" s="54" customFormat="1" ht="36.75" customHeight="1" x14ac:dyDescent="0.25">
      <c r="A182" s="40" t="s">
        <v>279</v>
      </c>
      <c r="B182" s="40" t="s">
        <v>111</v>
      </c>
      <c r="C182" s="6" t="s">
        <v>621</v>
      </c>
      <c r="D182" s="49">
        <f>'дод 3'!E279+'дод 3'!E154</f>
        <v>0</v>
      </c>
      <c r="E182" s="49">
        <f>'дод 3'!F279+'дод 3'!F154</f>
        <v>0</v>
      </c>
      <c r="F182" s="49">
        <f>'дод 3'!G279+'дод 3'!G154</f>
        <v>0</v>
      </c>
      <c r="G182" s="49">
        <f>'дод 3'!H279+'дод 3'!H154</f>
        <v>0</v>
      </c>
      <c r="H182" s="49">
        <f>'дод 3'!I279+'дод 3'!I154</f>
        <v>0</v>
      </c>
      <c r="I182" s="49">
        <f>'дод 3'!J279+'дод 3'!J154</f>
        <v>47036436</v>
      </c>
      <c r="J182" s="49">
        <f>'дод 3'!K279+'дод 3'!K154</f>
        <v>47036436</v>
      </c>
      <c r="K182" s="49">
        <f>'дод 3'!L279+'дод 3'!L154</f>
        <v>0</v>
      </c>
      <c r="L182" s="49">
        <f>'дод 3'!M279+'дод 3'!M154</f>
        <v>0</v>
      </c>
      <c r="M182" s="49">
        <f>'дод 3'!N279+'дод 3'!N154</f>
        <v>0</v>
      </c>
      <c r="N182" s="49">
        <f>'дод 3'!O279+'дод 3'!O154</f>
        <v>47036436</v>
      </c>
      <c r="O182" s="49">
        <f>'дод 3'!P279+'дод 3'!P154</f>
        <v>47036436</v>
      </c>
    </row>
    <row r="183" spans="1:15" s="54" customFormat="1" ht="63" x14ac:dyDescent="0.25">
      <c r="A183" s="40"/>
      <c r="B183" s="40"/>
      <c r="C183" s="80" t="s">
        <v>622</v>
      </c>
      <c r="D183" s="79">
        <f>'дод 3'!E155</f>
        <v>0</v>
      </c>
      <c r="E183" s="79">
        <f>'дод 3'!F155</f>
        <v>0</v>
      </c>
      <c r="F183" s="79">
        <f>'дод 3'!G155</f>
        <v>0</v>
      </c>
      <c r="G183" s="79">
        <f>'дод 3'!H155</f>
        <v>0</v>
      </c>
      <c r="H183" s="79">
        <f>'дод 3'!I155</f>
        <v>0</v>
      </c>
      <c r="I183" s="79">
        <f>'дод 3'!J155</f>
        <v>1530600</v>
      </c>
      <c r="J183" s="79">
        <f>'дод 3'!K155</f>
        <v>1530600</v>
      </c>
      <c r="K183" s="79">
        <f>'дод 3'!L155</f>
        <v>0</v>
      </c>
      <c r="L183" s="79">
        <f>'дод 3'!M155</f>
        <v>0</v>
      </c>
      <c r="M183" s="79">
        <f>'дод 3'!N155</f>
        <v>0</v>
      </c>
      <c r="N183" s="79">
        <f>'дод 3'!O155</f>
        <v>1530600</v>
      </c>
      <c r="O183" s="79">
        <f>'дод 3'!P155</f>
        <v>1530600</v>
      </c>
    </row>
    <row r="184" spans="1:15" s="54" customFormat="1" ht="22.5" customHeight="1" x14ac:dyDescent="0.25">
      <c r="A184" s="40">
        <v>7323</v>
      </c>
      <c r="B184" s="72" t="s">
        <v>111</v>
      </c>
      <c r="C184" s="128" t="s">
        <v>549</v>
      </c>
      <c r="D184" s="49">
        <f>'дод 3'!E202</f>
        <v>0</v>
      </c>
      <c r="E184" s="49">
        <f>'дод 3'!F202</f>
        <v>0</v>
      </c>
      <c r="F184" s="49">
        <f>'дод 3'!G202</f>
        <v>0</v>
      </c>
      <c r="G184" s="49">
        <f>'дод 3'!H202</f>
        <v>0</v>
      </c>
      <c r="H184" s="49">
        <f>'дод 3'!I202</f>
        <v>0</v>
      </c>
      <c r="I184" s="49">
        <f>'дод 3'!J202</f>
        <v>461003</v>
      </c>
      <c r="J184" s="49">
        <f>'дод 3'!K202</f>
        <v>461003</v>
      </c>
      <c r="K184" s="49">
        <f>'дод 3'!L202</f>
        <v>0</v>
      </c>
      <c r="L184" s="49">
        <f>'дод 3'!M202</f>
        <v>0</v>
      </c>
      <c r="M184" s="49">
        <f>'дод 3'!N202</f>
        <v>0</v>
      </c>
      <c r="N184" s="49">
        <f>'дод 3'!O202</f>
        <v>461003</v>
      </c>
      <c r="O184" s="49">
        <f>'дод 3'!P202</f>
        <v>461003</v>
      </c>
    </row>
    <row r="185" spans="1:15" s="54" customFormat="1" ht="19.5" customHeight="1" x14ac:dyDescent="0.25">
      <c r="A185" s="40">
        <v>7324</v>
      </c>
      <c r="B185" s="72" t="s">
        <v>111</v>
      </c>
      <c r="C185" s="6" t="s">
        <v>550</v>
      </c>
      <c r="D185" s="49">
        <f>'дод 3'!E220+'дод 3'!E280</f>
        <v>0</v>
      </c>
      <c r="E185" s="49">
        <f>'дод 3'!F220+'дод 3'!F280</f>
        <v>0</v>
      </c>
      <c r="F185" s="49">
        <f>'дод 3'!G220+'дод 3'!G280</f>
        <v>0</v>
      </c>
      <c r="G185" s="49">
        <f>'дод 3'!H220+'дод 3'!H280</f>
        <v>0</v>
      </c>
      <c r="H185" s="49">
        <f>'дод 3'!I220+'дод 3'!I280</f>
        <v>0</v>
      </c>
      <c r="I185" s="49">
        <f>'дод 3'!J220+'дод 3'!J280</f>
        <v>735000</v>
      </c>
      <c r="J185" s="49">
        <f>'дод 3'!K220+'дод 3'!K280</f>
        <v>735000</v>
      </c>
      <c r="K185" s="49">
        <f>'дод 3'!L220+'дод 3'!L280</f>
        <v>0</v>
      </c>
      <c r="L185" s="49">
        <f>'дод 3'!M220+'дод 3'!M280</f>
        <v>0</v>
      </c>
      <c r="M185" s="49">
        <f>'дод 3'!N220+'дод 3'!N280</f>
        <v>0</v>
      </c>
      <c r="N185" s="49">
        <f>'дод 3'!O220+'дод 3'!O280</f>
        <v>735000</v>
      </c>
      <c r="O185" s="49">
        <f>'дод 3'!P220+'дод 3'!P280</f>
        <v>735000</v>
      </c>
    </row>
    <row r="186" spans="1:15" s="54" customFormat="1" ht="34.5" x14ac:dyDescent="0.25">
      <c r="A186" s="40">
        <v>7325</v>
      </c>
      <c r="B186" s="72" t="s">
        <v>111</v>
      </c>
      <c r="C186" s="6" t="s">
        <v>545</v>
      </c>
      <c r="D186" s="49">
        <f>'дод 3'!E281+'дод 3'!E42</f>
        <v>0</v>
      </c>
      <c r="E186" s="49">
        <f>'дод 3'!F281+'дод 3'!F42</f>
        <v>0</v>
      </c>
      <c r="F186" s="49">
        <f>'дод 3'!G281+'дод 3'!G42</f>
        <v>0</v>
      </c>
      <c r="G186" s="49">
        <f>'дод 3'!H281+'дод 3'!H42</f>
        <v>0</v>
      </c>
      <c r="H186" s="49">
        <f>'дод 3'!I281+'дод 3'!I42</f>
        <v>0</v>
      </c>
      <c r="I186" s="49">
        <f>'дод 3'!J281+'дод 3'!J42</f>
        <v>10294114</v>
      </c>
      <c r="J186" s="49">
        <f>'дод 3'!K281+'дод 3'!K42</f>
        <v>10294114</v>
      </c>
      <c r="K186" s="49">
        <f>'дод 3'!L281+'дод 3'!L42</f>
        <v>0</v>
      </c>
      <c r="L186" s="49">
        <f>'дод 3'!M281+'дод 3'!M42</f>
        <v>0</v>
      </c>
      <c r="M186" s="49">
        <f>'дод 3'!N281+'дод 3'!N42</f>
        <v>0</v>
      </c>
      <c r="N186" s="49">
        <f>'дод 3'!O281+'дод 3'!O42</f>
        <v>10294114</v>
      </c>
      <c r="O186" s="49">
        <f>'дод 3'!P281+'дод 3'!P42</f>
        <v>10294114</v>
      </c>
    </row>
    <row r="187" spans="1:15" ht="21.75" customHeight="1" x14ac:dyDescent="0.25">
      <c r="A187" s="40" t="s">
        <v>274</v>
      </c>
      <c r="B187" s="40" t="s">
        <v>111</v>
      </c>
      <c r="C187" s="6" t="s">
        <v>546</v>
      </c>
      <c r="D187" s="49">
        <f>'дод 3'!E282+'дод 3'!E244+'дод 3'!E43</f>
        <v>0</v>
      </c>
      <c r="E187" s="49">
        <f>'дод 3'!F282+'дод 3'!F244+'дод 3'!F43</f>
        <v>0</v>
      </c>
      <c r="F187" s="49">
        <f>'дод 3'!G282+'дод 3'!G244+'дод 3'!G43</f>
        <v>0</v>
      </c>
      <c r="G187" s="49">
        <f>'дод 3'!H282+'дод 3'!H244+'дод 3'!H43</f>
        <v>0</v>
      </c>
      <c r="H187" s="49">
        <f>'дод 3'!I282+'дод 3'!I244+'дод 3'!I43</f>
        <v>0</v>
      </c>
      <c r="I187" s="49">
        <f>'дод 3'!J282+'дод 3'!J244+'дод 3'!J43</f>
        <v>31601881.579999998</v>
      </c>
      <c r="J187" s="49">
        <f>'дод 3'!K282+'дод 3'!K244+'дод 3'!K43</f>
        <v>31601881.579999998</v>
      </c>
      <c r="K187" s="49">
        <f>'дод 3'!L282+'дод 3'!L244+'дод 3'!L43</f>
        <v>0</v>
      </c>
      <c r="L187" s="49">
        <f>'дод 3'!M282+'дод 3'!M244+'дод 3'!M43</f>
        <v>0</v>
      </c>
      <c r="M187" s="49">
        <f>'дод 3'!N282+'дод 3'!N244+'дод 3'!N43</f>
        <v>0</v>
      </c>
      <c r="N187" s="49">
        <f>'дод 3'!O282+'дод 3'!O244+'дод 3'!O43</f>
        <v>31601881.579999998</v>
      </c>
      <c r="O187" s="49">
        <f>'дод 3'!P282+'дод 3'!P244+'дод 3'!P43</f>
        <v>31601881.579999998</v>
      </c>
    </row>
    <row r="188" spans="1:15" ht="31.5" customHeight="1" x14ac:dyDescent="0.25">
      <c r="A188" s="37" t="s">
        <v>138</v>
      </c>
      <c r="B188" s="37" t="s">
        <v>111</v>
      </c>
      <c r="C188" s="3" t="s">
        <v>1</v>
      </c>
      <c r="D188" s="49">
        <f>'дод 3'!E245+'дод 3'!E283</f>
        <v>0</v>
      </c>
      <c r="E188" s="49">
        <f>'дод 3'!F245+'дод 3'!F283</f>
        <v>0</v>
      </c>
      <c r="F188" s="49">
        <f>'дод 3'!G245+'дод 3'!G283</f>
        <v>0</v>
      </c>
      <c r="G188" s="49">
        <f>'дод 3'!H245+'дод 3'!H283</f>
        <v>0</v>
      </c>
      <c r="H188" s="49">
        <f>'дод 3'!I245+'дод 3'!I283</f>
        <v>0</v>
      </c>
      <c r="I188" s="49">
        <f>'дод 3'!J245+'дод 3'!J283</f>
        <v>4133608</v>
      </c>
      <c r="J188" s="49">
        <f>'дод 3'!K245+'дод 3'!K283</f>
        <v>4133608</v>
      </c>
      <c r="K188" s="49">
        <f>'дод 3'!L245+'дод 3'!L283</f>
        <v>0</v>
      </c>
      <c r="L188" s="49">
        <f>'дод 3'!M245+'дод 3'!M283</f>
        <v>0</v>
      </c>
      <c r="M188" s="49">
        <f>'дод 3'!N245+'дод 3'!N283</f>
        <v>0</v>
      </c>
      <c r="N188" s="49">
        <f>'дод 3'!O245+'дод 3'!O283</f>
        <v>4133608</v>
      </c>
      <c r="O188" s="49">
        <f>'дод 3'!P245+'дод 3'!P283</f>
        <v>4133608</v>
      </c>
    </row>
    <row r="189" spans="1:15" ht="35.25" customHeight="1" x14ac:dyDescent="0.25">
      <c r="A189" s="58" t="s">
        <v>458</v>
      </c>
      <c r="B189" s="58" t="s">
        <v>111</v>
      </c>
      <c r="C189" s="3" t="s">
        <v>459</v>
      </c>
      <c r="D189" s="49">
        <f>'дод 3'!E296</f>
        <v>0</v>
      </c>
      <c r="E189" s="49">
        <f>'дод 3'!F296</f>
        <v>0</v>
      </c>
      <c r="F189" s="49">
        <f>'дод 3'!G296</f>
        <v>0</v>
      </c>
      <c r="G189" s="49">
        <f>'дод 3'!H296</f>
        <v>0</v>
      </c>
      <c r="H189" s="49">
        <f>'дод 3'!I296</f>
        <v>0</v>
      </c>
      <c r="I189" s="49">
        <f>'дод 3'!J296</f>
        <v>0</v>
      </c>
      <c r="J189" s="49">
        <f>'дод 3'!K296</f>
        <v>0</v>
      </c>
      <c r="K189" s="49">
        <f>'дод 3'!L296</f>
        <v>0</v>
      </c>
      <c r="L189" s="49">
        <f>'дод 3'!M296</f>
        <v>0</v>
      </c>
      <c r="M189" s="49">
        <f>'дод 3'!N296</f>
        <v>0</v>
      </c>
      <c r="N189" s="49">
        <f>'дод 3'!O296</f>
        <v>0</v>
      </c>
      <c r="O189" s="49">
        <f>'дод 3'!P296</f>
        <v>0</v>
      </c>
    </row>
    <row r="190" spans="1:15" ht="51.75" customHeight="1" x14ac:dyDescent="0.25">
      <c r="A190" s="37">
        <v>7361</v>
      </c>
      <c r="B190" s="37" t="s">
        <v>82</v>
      </c>
      <c r="C190" s="3" t="s">
        <v>372</v>
      </c>
      <c r="D190" s="49">
        <f>'дод 3'!E246+'дод 3'!E284+'дод 3'!E156</f>
        <v>0</v>
      </c>
      <c r="E190" s="49">
        <f>'дод 3'!F246+'дод 3'!F284+'дод 3'!F156</f>
        <v>0</v>
      </c>
      <c r="F190" s="49">
        <f>'дод 3'!G246+'дод 3'!G284+'дод 3'!G156</f>
        <v>0</v>
      </c>
      <c r="G190" s="49">
        <f>'дод 3'!H246+'дод 3'!H284+'дод 3'!H156</f>
        <v>0</v>
      </c>
      <c r="H190" s="49">
        <f>'дод 3'!I246+'дод 3'!I284+'дод 3'!I156</f>
        <v>0</v>
      </c>
      <c r="I190" s="49">
        <f>'дод 3'!J246+'дод 3'!J284+'дод 3'!J156</f>
        <v>72862673</v>
      </c>
      <c r="J190" s="49">
        <f>'дод 3'!K246+'дод 3'!K284+'дод 3'!K156</f>
        <v>72862673</v>
      </c>
      <c r="K190" s="49">
        <f>'дод 3'!L246+'дод 3'!L284+'дод 3'!L156</f>
        <v>0</v>
      </c>
      <c r="L190" s="49">
        <f>'дод 3'!M246+'дод 3'!M284+'дод 3'!M156</f>
        <v>0</v>
      </c>
      <c r="M190" s="49">
        <f>'дод 3'!N246+'дод 3'!N284+'дод 3'!N156</f>
        <v>0</v>
      </c>
      <c r="N190" s="49">
        <f>'дод 3'!O246+'дод 3'!O284+'дод 3'!O156</f>
        <v>72862673</v>
      </c>
      <c r="O190" s="49">
        <f>'дод 3'!P246+'дод 3'!P284+'дод 3'!P156</f>
        <v>72862673</v>
      </c>
    </row>
    <row r="191" spans="1:15" s="54" customFormat="1" ht="46.5" hidden="1" customHeight="1" x14ac:dyDescent="0.25">
      <c r="A191" s="37">
        <v>7362</v>
      </c>
      <c r="B191" s="37" t="s">
        <v>82</v>
      </c>
      <c r="C191" s="3" t="s">
        <v>364</v>
      </c>
      <c r="D191" s="49">
        <f>'дод 3'!E247</f>
        <v>0</v>
      </c>
      <c r="E191" s="49">
        <f>'дод 3'!F247</f>
        <v>0</v>
      </c>
      <c r="F191" s="49">
        <f>'дод 3'!G247</f>
        <v>0</v>
      </c>
      <c r="G191" s="49">
        <f>'дод 3'!H247</f>
        <v>0</v>
      </c>
      <c r="H191" s="49">
        <f>'дод 3'!I247</f>
        <v>0</v>
      </c>
      <c r="I191" s="49">
        <f>'дод 3'!J247</f>
        <v>0</v>
      </c>
      <c r="J191" s="49">
        <f>'дод 3'!K247</f>
        <v>0</v>
      </c>
      <c r="K191" s="49">
        <f>'дод 3'!L247</f>
        <v>0</v>
      </c>
      <c r="L191" s="49">
        <f>'дод 3'!M247</f>
        <v>0</v>
      </c>
      <c r="M191" s="49">
        <f>'дод 3'!N247</f>
        <v>0</v>
      </c>
      <c r="N191" s="49">
        <f>'дод 3'!O247</f>
        <v>0</v>
      </c>
      <c r="O191" s="49">
        <f>'дод 3'!P247</f>
        <v>0</v>
      </c>
    </row>
    <row r="192" spans="1:15" s="54" customFormat="1" ht="47.25" x14ac:dyDescent="0.25">
      <c r="A192" s="37">
        <v>7363</v>
      </c>
      <c r="B192" s="59" t="s">
        <v>82</v>
      </c>
      <c r="C192" s="60" t="s">
        <v>398</v>
      </c>
      <c r="D192" s="49">
        <f>'дод 3'!E248+'дод 3'!E118+'дод 3'!E157+'дод 3'!E285</f>
        <v>0</v>
      </c>
      <c r="E192" s="49">
        <f>'дод 3'!F248+'дод 3'!F118+'дод 3'!F157+'дод 3'!F285</f>
        <v>0</v>
      </c>
      <c r="F192" s="49">
        <f>'дод 3'!G248+'дод 3'!G118+'дод 3'!G157+'дод 3'!G285</f>
        <v>0</v>
      </c>
      <c r="G192" s="49">
        <f>'дод 3'!H248+'дод 3'!H118+'дод 3'!H157+'дод 3'!H285</f>
        <v>0</v>
      </c>
      <c r="H192" s="49">
        <f>'дод 3'!I248+'дод 3'!I118+'дод 3'!I157+'дод 3'!I285</f>
        <v>0</v>
      </c>
      <c r="I192" s="49">
        <f>'дод 3'!J248+'дод 3'!J118+'дод 3'!J157+'дод 3'!J285</f>
        <v>42098241</v>
      </c>
      <c r="J192" s="49">
        <f>'дод 3'!K248+'дод 3'!K118+'дод 3'!K157+'дод 3'!K285</f>
        <v>38605291</v>
      </c>
      <c r="K192" s="49">
        <f>'дод 3'!L248+'дод 3'!L118+'дод 3'!L157+'дод 3'!L285</f>
        <v>0</v>
      </c>
      <c r="L192" s="49">
        <f>'дод 3'!M248+'дод 3'!M118+'дод 3'!M157+'дод 3'!M285</f>
        <v>0</v>
      </c>
      <c r="M192" s="49">
        <f>'дод 3'!N248+'дод 3'!N118+'дод 3'!N157+'дод 3'!N285</f>
        <v>0</v>
      </c>
      <c r="N192" s="49">
        <f>'дод 3'!O248+'дод 3'!O118+'дод 3'!O157+'дод 3'!O285</f>
        <v>42098241</v>
      </c>
      <c r="O192" s="49">
        <f>'дод 3'!P248+'дод 3'!P118+'дод 3'!P157+'дод 3'!P285</f>
        <v>42098241</v>
      </c>
    </row>
    <row r="193" spans="1:15" s="54" customFormat="1" ht="47.25" x14ac:dyDescent="0.25">
      <c r="A193" s="77"/>
      <c r="B193" s="83"/>
      <c r="C193" s="78" t="s">
        <v>388</v>
      </c>
      <c r="D193" s="79">
        <f>'дод 3'!E119+'дод 3'!E158+'дод 3'!E249+'дод 3'!E286</f>
        <v>0</v>
      </c>
      <c r="E193" s="79">
        <f>'дод 3'!F119+'дод 3'!F158+'дод 3'!F249+'дод 3'!F286</f>
        <v>0</v>
      </c>
      <c r="F193" s="79">
        <f>'дод 3'!G119+'дод 3'!G158+'дод 3'!G249+'дод 3'!G286</f>
        <v>0</v>
      </c>
      <c r="G193" s="79">
        <f>'дод 3'!H119+'дод 3'!H158+'дод 3'!H249+'дод 3'!H286</f>
        <v>0</v>
      </c>
      <c r="H193" s="79">
        <f>'дод 3'!I119+'дод 3'!I158+'дод 3'!I249+'дод 3'!I286</f>
        <v>0</v>
      </c>
      <c r="I193" s="79">
        <f>'дод 3'!J119+'дод 3'!J158+'дод 3'!J249+'дод 3'!J286</f>
        <v>30921007</v>
      </c>
      <c r="J193" s="79">
        <f>'дод 3'!K119+'дод 3'!K158+'дод 3'!K249+'дод 3'!K286</f>
        <v>27428057</v>
      </c>
      <c r="K193" s="79">
        <f>'дод 3'!L119+'дод 3'!L158+'дод 3'!L249+'дод 3'!L286</f>
        <v>0</v>
      </c>
      <c r="L193" s="79">
        <f>'дод 3'!M119+'дод 3'!M158+'дод 3'!M249+'дод 3'!M286</f>
        <v>0</v>
      </c>
      <c r="M193" s="79">
        <f>'дод 3'!N119+'дод 3'!N158+'дод 3'!N249+'дод 3'!N286</f>
        <v>0</v>
      </c>
      <c r="N193" s="79">
        <f>'дод 3'!O119+'дод 3'!O158+'дод 3'!O249+'дод 3'!O286</f>
        <v>30921007</v>
      </c>
      <c r="O193" s="79">
        <f>'дод 3'!P119+'дод 3'!P158+'дод 3'!P249+'дод 3'!P286</f>
        <v>30921007</v>
      </c>
    </row>
    <row r="194" spans="1:15" ht="31.5" x14ac:dyDescent="0.25">
      <c r="A194" s="37">
        <v>7368</v>
      </c>
      <c r="B194" s="37" t="s">
        <v>82</v>
      </c>
      <c r="C194" s="36" t="s">
        <v>588</v>
      </c>
      <c r="D194" s="49">
        <f>'дод 3'!E250</f>
        <v>0</v>
      </c>
      <c r="E194" s="49">
        <f>'дод 3'!F250</f>
        <v>0</v>
      </c>
      <c r="F194" s="49">
        <f>'дод 3'!G250</f>
        <v>0</v>
      </c>
      <c r="G194" s="49">
        <f>'дод 3'!H250</f>
        <v>0</v>
      </c>
      <c r="H194" s="49">
        <f>'дод 3'!I250</f>
        <v>0</v>
      </c>
      <c r="I194" s="49">
        <f>'дод 3'!J250</f>
        <v>200000</v>
      </c>
      <c r="J194" s="49">
        <f>'дод 3'!K250</f>
        <v>200000</v>
      </c>
      <c r="K194" s="49">
        <f>'дод 3'!L250</f>
        <v>0</v>
      </c>
      <c r="L194" s="49">
        <f>'дод 3'!M250</f>
        <v>0</v>
      </c>
      <c r="M194" s="49">
        <f>'дод 3'!N250</f>
        <v>0</v>
      </c>
      <c r="N194" s="49">
        <f>'дод 3'!O250</f>
        <v>200000</v>
      </c>
      <c r="O194" s="49">
        <f>'дод 3'!P250</f>
        <v>200000</v>
      </c>
    </row>
    <row r="195" spans="1:15" s="54" customFormat="1" x14ac:dyDescent="0.25">
      <c r="A195" s="77"/>
      <c r="B195" s="83"/>
      <c r="C195" s="84" t="s">
        <v>393</v>
      </c>
      <c r="D195" s="79">
        <f>'дод 3'!E251</f>
        <v>0</v>
      </c>
      <c r="E195" s="79">
        <f>'дод 3'!F251</f>
        <v>0</v>
      </c>
      <c r="F195" s="79">
        <f>'дод 3'!G251</f>
        <v>0</v>
      </c>
      <c r="G195" s="79">
        <f>'дод 3'!H251</f>
        <v>0</v>
      </c>
      <c r="H195" s="79">
        <f>'дод 3'!I251</f>
        <v>0</v>
      </c>
      <c r="I195" s="79">
        <f>'дод 3'!J251</f>
        <v>200000</v>
      </c>
      <c r="J195" s="79">
        <f>'дод 3'!K251</f>
        <v>200000</v>
      </c>
      <c r="K195" s="79">
        <f>'дод 3'!L251</f>
        <v>0</v>
      </c>
      <c r="L195" s="79">
        <f>'дод 3'!M251</f>
        <v>0</v>
      </c>
      <c r="M195" s="79">
        <f>'дод 3'!N251</f>
        <v>0</v>
      </c>
      <c r="N195" s="79">
        <f>'дод 3'!O251</f>
        <v>200000</v>
      </c>
      <c r="O195" s="79">
        <f>'дод 3'!P251</f>
        <v>200000</v>
      </c>
    </row>
    <row r="196" spans="1:15" s="54" customFormat="1" ht="31.5" x14ac:dyDescent="0.25">
      <c r="A196" s="37">
        <v>7370</v>
      </c>
      <c r="B196" s="59" t="s">
        <v>82</v>
      </c>
      <c r="C196" s="60" t="s">
        <v>431</v>
      </c>
      <c r="D196" s="49">
        <f>'дод 3'!E287+'дод 3'!E297</f>
        <v>2341300.6</v>
      </c>
      <c r="E196" s="49">
        <f>'дод 3'!F287+'дод 3'!F297</f>
        <v>2341300.6</v>
      </c>
      <c r="F196" s="49">
        <f>'дод 3'!G287+'дод 3'!G297</f>
        <v>0</v>
      </c>
      <c r="G196" s="49">
        <f>'дод 3'!H287+'дод 3'!H297</f>
        <v>0</v>
      </c>
      <c r="H196" s="49">
        <f>'дод 3'!I287+'дод 3'!I297</f>
        <v>0</v>
      </c>
      <c r="I196" s="49">
        <f>'дод 3'!J287+'дод 3'!J297</f>
        <v>0</v>
      </c>
      <c r="J196" s="49">
        <f>'дод 3'!K287+'дод 3'!K297</f>
        <v>0</v>
      </c>
      <c r="K196" s="49">
        <f>'дод 3'!L287+'дод 3'!L297</f>
        <v>0</v>
      </c>
      <c r="L196" s="49">
        <f>'дод 3'!M287+'дод 3'!M297</f>
        <v>0</v>
      </c>
      <c r="M196" s="49">
        <f>'дод 3'!N287+'дод 3'!N297</f>
        <v>0</v>
      </c>
      <c r="N196" s="49">
        <f>'дод 3'!O287+'дод 3'!O297</f>
        <v>0</v>
      </c>
      <c r="O196" s="49">
        <f>'дод 3'!P287+'дод 3'!P297</f>
        <v>2341300.6</v>
      </c>
    </row>
    <row r="197" spans="1:15" s="52" customFormat="1" ht="34.5" customHeight="1" x14ac:dyDescent="0.25">
      <c r="A197" s="38" t="s">
        <v>85</v>
      </c>
      <c r="B197" s="41"/>
      <c r="C197" s="2" t="s">
        <v>593</v>
      </c>
      <c r="D197" s="48">
        <f>D201+D202+D203+D204+D208+D209+D211</f>
        <v>64406042</v>
      </c>
      <c r="E197" s="48">
        <f t="shared" ref="E197:O197" si="42">E201+E202+E203+E204+E208+E209+E211</f>
        <v>1727346</v>
      </c>
      <c r="F197" s="48">
        <f t="shared" si="42"/>
        <v>0</v>
      </c>
      <c r="G197" s="48">
        <f t="shared" si="42"/>
        <v>0</v>
      </c>
      <c r="H197" s="48">
        <f t="shared" si="42"/>
        <v>62678696</v>
      </c>
      <c r="I197" s="48">
        <f t="shared" si="42"/>
        <v>12100000</v>
      </c>
      <c r="J197" s="48">
        <f t="shared" si="42"/>
        <v>0</v>
      </c>
      <c r="K197" s="48">
        <f t="shared" si="42"/>
        <v>12100000</v>
      </c>
      <c r="L197" s="48">
        <f t="shared" si="42"/>
        <v>0</v>
      </c>
      <c r="M197" s="48">
        <f t="shared" si="42"/>
        <v>0</v>
      </c>
      <c r="N197" s="48">
        <f t="shared" si="42"/>
        <v>0</v>
      </c>
      <c r="O197" s="48">
        <f t="shared" si="42"/>
        <v>76506042</v>
      </c>
    </row>
    <row r="198" spans="1:15" s="53" customFormat="1" ht="97.5" customHeight="1" x14ac:dyDescent="0.25">
      <c r="A198" s="70"/>
      <c r="B198" s="71"/>
      <c r="C198" s="74" t="s">
        <v>397</v>
      </c>
      <c r="D198" s="75">
        <f>D206</f>
        <v>0</v>
      </c>
      <c r="E198" s="75">
        <f t="shared" ref="E198:O198" si="43">E206</f>
        <v>0</v>
      </c>
      <c r="F198" s="75">
        <f t="shared" si="43"/>
        <v>0</v>
      </c>
      <c r="G198" s="75">
        <f t="shared" si="43"/>
        <v>0</v>
      </c>
      <c r="H198" s="75">
        <f t="shared" si="43"/>
        <v>0</v>
      </c>
      <c r="I198" s="75">
        <f t="shared" si="43"/>
        <v>12100000</v>
      </c>
      <c r="J198" s="75">
        <f t="shared" si="43"/>
        <v>0</v>
      </c>
      <c r="K198" s="75">
        <f t="shared" si="43"/>
        <v>12100000</v>
      </c>
      <c r="L198" s="75">
        <f t="shared" si="43"/>
        <v>0</v>
      </c>
      <c r="M198" s="75">
        <f t="shared" si="43"/>
        <v>0</v>
      </c>
      <c r="N198" s="75">
        <f t="shared" si="43"/>
        <v>0</v>
      </c>
      <c r="O198" s="75">
        <f t="shared" si="43"/>
        <v>12100000</v>
      </c>
    </row>
    <row r="199" spans="1:15" s="53" customFormat="1" ht="65.25" customHeight="1" x14ac:dyDescent="0.25">
      <c r="A199" s="70"/>
      <c r="B199" s="71"/>
      <c r="C199" s="74" t="s">
        <v>445</v>
      </c>
      <c r="D199" s="75">
        <f>D210</f>
        <v>1527346</v>
      </c>
      <c r="E199" s="75">
        <f t="shared" ref="E199:O199" si="44">E210</f>
        <v>1527346</v>
      </c>
      <c r="F199" s="75">
        <f t="shared" si="44"/>
        <v>0</v>
      </c>
      <c r="G199" s="75">
        <f t="shared" si="44"/>
        <v>0</v>
      </c>
      <c r="H199" s="75">
        <f t="shared" si="44"/>
        <v>0</v>
      </c>
      <c r="I199" s="75">
        <f t="shared" si="44"/>
        <v>0</v>
      </c>
      <c r="J199" s="75">
        <f t="shared" si="44"/>
        <v>0</v>
      </c>
      <c r="K199" s="75">
        <f t="shared" si="44"/>
        <v>0</v>
      </c>
      <c r="L199" s="75">
        <f t="shared" si="44"/>
        <v>0</v>
      </c>
      <c r="M199" s="75">
        <f t="shared" si="44"/>
        <v>0</v>
      </c>
      <c r="N199" s="75">
        <f t="shared" si="44"/>
        <v>0</v>
      </c>
      <c r="O199" s="75">
        <f t="shared" si="44"/>
        <v>1527346</v>
      </c>
    </row>
    <row r="200" spans="1:15" s="53" customFormat="1" x14ac:dyDescent="0.25">
      <c r="A200" s="70"/>
      <c r="B200" s="71"/>
      <c r="C200" s="82" t="s">
        <v>393</v>
      </c>
      <c r="D200" s="75">
        <f>D212</f>
        <v>200000</v>
      </c>
      <c r="E200" s="75">
        <f t="shared" ref="E200:O200" si="45">E212</f>
        <v>200000</v>
      </c>
      <c r="F200" s="75">
        <f t="shared" si="45"/>
        <v>0</v>
      </c>
      <c r="G200" s="75">
        <f t="shared" si="45"/>
        <v>0</v>
      </c>
      <c r="H200" s="75">
        <f t="shared" si="45"/>
        <v>0</v>
      </c>
      <c r="I200" s="75">
        <f t="shared" si="45"/>
        <v>0</v>
      </c>
      <c r="J200" s="75">
        <f t="shared" si="45"/>
        <v>0</v>
      </c>
      <c r="K200" s="75">
        <f t="shared" si="45"/>
        <v>0</v>
      </c>
      <c r="L200" s="75">
        <f t="shared" si="45"/>
        <v>0</v>
      </c>
      <c r="M200" s="75">
        <f t="shared" si="45"/>
        <v>0</v>
      </c>
      <c r="N200" s="75">
        <f t="shared" si="45"/>
        <v>0</v>
      </c>
      <c r="O200" s="75">
        <f t="shared" si="45"/>
        <v>200000</v>
      </c>
    </row>
    <row r="201" spans="1:15" s="54" customFormat="1" ht="18.75" customHeight="1" x14ac:dyDescent="0.25">
      <c r="A201" s="37" t="s">
        <v>3</v>
      </c>
      <c r="B201" s="37" t="s">
        <v>84</v>
      </c>
      <c r="C201" s="3" t="s">
        <v>36</v>
      </c>
      <c r="D201" s="49">
        <f>'дод 3'!E44</f>
        <v>6542500</v>
      </c>
      <c r="E201" s="49">
        <f>'дод 3'!F44</f>
        <v>0</v>
      </c>
      <c r="F201" s="49">
        <f>'дод 3'!G44</f>
        <v>0</v>
      </c>
      <c r="G201" s="49">
        <f>'дод 3'!H44</f>
        <v>0</v>
      </c>
      <c r="H201" s="49">
        <f>'дод 3'!I44</f>
        <v>6542500</v>
      </c>
      <c r="I201" s="49">
        <f>'дод 3'!J44</f>
        <v>0</v>
      </c>
      <c r="J201" s="49">
        <f>'дод 3'!K44</f>
        <v>0</v>
      </c>
      <c r="K201" s="49">
        <f>'дод 3'!L44</f>
        <v>0</v>
      </c>
      <c r="L201" s="49">
        <f>'дод 3'!M44</f>
        <v>0</v>
      </c>
      <c r="M201" s="49">
        <f>'дод 3'!N44</f>
        <v>0</v>
      </c>
      <c r="N201" s="49">
        <f>'дод 3'!O44</f>
        <v>0</v>
      </c>
      <c r="O201" s="49">
        <f>'дод 3'!P44</f>
        <v>6542500</v>
      </c>
    </row>
    <row r="202" spans="1:15" s="54" customFormat="1" ht="20.25" customHeight="1" x14ac:dyDescent="0.25">
      <c r="A202" s="37">
        <v>7413</v>
      </c>
      <c r="B202" s="37" t="s">
        <v>84</v>
      </c>
      <c r="C202" s="3" t="s">
        <v>375</v>
      </c>
      <c r="D202" s="49">
        <f>'дод 3'!E45</f>
        <v>12800000</v>
      </c>
      <c r="E202" s="49">
        <f>'дод 3'!F45</f>
        <v>0</v>
      </c>
      <c r="F202" s="49">
        <f>'дод 3'!G45</f>
        <v>0</v>
      </c>
      <c r="G202" s="49">
        <f>'дод 3'!H45</f>
        <v>0</v>
      </c>
      <c r="H202" s="49">
        <f>'дод 3'!I45</f>
        <v>12800000</v>
      </c>
      <c r="I202" s="49">
        <f>'дод 3'!J45</f>
        <v>0</v>
      </c>
      <c r="J202" s="49">
        <f>'дод 3'!K45</f>
        <v>0</v>
      </c>
      <c r="K202" s="49">
        <f>'дод 3'!L45</f>
        <v>0</v>
      </c>
      <c r="L202" s="49">
        <f>'дод 3'!M45</f>
        <v>0</v>
      </c>
      <c r="M202" s="49">
        <f>'дод 3'!N45</f>
        <v>0</v>
      </c>
      <c r="N202" s="49">
        <f>'дод 3'!O45</f>
        <v>0</v>
      </c>
      <c r="O202" s="49">
        <f>'дод 3'!P45</f>
        <v>12800000</v>
      </c>
    </row>
    <row r="203" spans="1:15" s="54" customFormat="1" ht="31.5" x14ac:dyDescent="0.25">
      <c r="A203" s="42">
        <v>7422</v>
      </c>
      <c r="B203" s="102" t="s">
        <v>413</v>
      </c>
      <c r="C203" s="103" t="s">
        <v>565</v>
      </c>
      <c r="D203" s="49">
        <f>'дод 3'!E46</f>
        <v>5893900</v>
      </c>
      <c r="E203" s="49">
        <f>'дод 3'!F46</f>
        <v>0</v>
      </c>
      <c r="F203" s="49">
        <f>'дод 3'!G46</f>
        <v>0</v>
      </c>
      <c r="G203" s="49">
        <f>'дод 3'!H46</f>
        <v>0</v>
      </c>
      <c r="H203" s="49">
        <f>'дод 3'!I46</f>
        <v>5893900</v>
      </c>
      <c r="I203" s="49">
        <f>'дод 3'!J46</f>
        <v>0</v>
      </c>
      <c r="J203" s="49">
        <f>'дод 3'!K46</f>
        <v>0</v>
      </c>
      <c r="K203" s="49">
        <f>'дод 3'!L46</f>
        <v>0</v>
      </c>
      <c r="L203" s="49">
        <f>'дод 3'!M46</f>
        <v>0</v>
      </c>
      <c r="M203" s="49">
        <f>'дод 3'!N46</f>
        <v>0</v>
      </c>
      <c r="N203" s="49">
        <f>'дод 3'!O46</f>
        <v>0</v>
      </c>
      <c r="O203" s="49">
        <f>'дод 3'!P46</f>
        <v>5893900</v>
      </c>
    </row>
    <row r="204" spans="1:15" s="54" customFormat="1" ht="24" customHeight="1" x14ac:dyDescent="0.25">
      <c r="A204" s="37">
        <v>7426</v>
      </c>
      <c r="B204" s="58" t="s">
        <v>413</v>
      </c>
      <c r="C204" s="3" t="s">
        <v>376</v>
      </c>
      <c r="D204" s="49">
        <f>'дод 3'!E47</f>
        <v>37442296</v>
      </c>
      <c r="E204" s="49">
        <f>'дод 3'!F47</f>
        <v>0</v>
      </c>
      <c r="F204" s="49">
        <f>'дод 3'!G47</f>
        <v>0</v>
      </c>
      <c r="G204" s="49">
        <f>'дод 3'!H47</f>
        <v>0</v>
      </c>
      <c r="H204" s="49">
        <f>'дод 3'!I47</f>
        <v>37442296</v>
      </c>
      <c r="I204" s="49">
        <f>'дод 3'!J47</f>
        <v>0</v>
      </c>
      <c r="J204" s="49">
        <f>'дод 3'!K47</f>
        <v>0</v>
      </c>
      <c r="K204" s="49">
        <f>'дод 3'!L47</f>
        <v>0</v>
      </c>
      <c r="L204" s="49">
        <f>'дод 3'!M47</f>
        <v>0</v>
      </c>
      <c r="M204" s="49">
        <f>'дод 3'!N47</f>
        <v>0</v>
      </c>
      <c r="N204" s="49">
        <f>'дод 3'!O47</f>
        <v>0</v>
      </c>
      <c r="O204" s="49">
        <f>'дод 3'!P47</f>
        <v>37442296</v>
      </c>
    </row>
    <row r="205" spans="1:15" s="54" customFormat="1" ht="53.25" hidden="1" customHeight="1" x14ac:dyDescent="0.25">
      <c r="A205" s="37">
        <v>7462</v>
      </c>
      <c r="B205" s="58" t="s">
        <v>400</v>
      </c>
      <c r="C205" s="3" t="s">
        <v>399</v>
      </c>
      <c r="D205" s="49">
        <f>'дод 3'!E252</f>
        <v>1527346</v>
      </c>
      <c r="E205" s="49">
        <f>'дод 3'!F252</f>
        <v>1527346</v>
      </c>
      <c r="F205" s="49">
        <f>'дод 3'!G252</f>
        <v>0</v>
      </c>
      <c r="G205" s="49">
        <f>'дод 3'!H252</f>
        <v>0</v>
      </c>
      <c r="H205" s="49">
        <f>'дод 3'!I252</f>
        <v>0</v>
      </c>
      <c r="I205" s="49">
        <f>'дод 3'!J252</f>
        <v>12100000</v>
      </c>
      <c r="J205" s="49">
        <f>'дод 3'!K252</f>
        <v>0</v>
      </c>
      <c r="K205" s="49">
        <f>'дод 3'!L252</f>
        <v>12100000</v>
      </c>
      <c r="L205" s="49">
        <f>'дод 3'!M252</f>
        <v>0</v>
      </c>
      <c r="M205" s="49">
        <f>'дод 3'!N252</f>
        <v>0</v>
      </c>
      <c r="N205" s="49">
        <f>'дод 3'!O252</f>
        <v>0</v>
      </c>
      <c r="O205" s="49">
        <f>'дод 3'!P252</f>
        <v>13627346</v>
      </c>
    </row>
    <row r="206" spans="1:15" s="54" customFormat="1" ht="94.5" hidden="1" customHeight="1" x14ac:dyDescent="0.25">
      <c r="A206" s="77"/>
      <c r="B206" s="77"/>
      <c r="C206" s="78" t="s">
        <v>397</v>
      </c>
      <c r="D206" s="79">
        <f>'дод 3'!E253</f>
        <v>0</v>
      </c>
      <c r="E206" s="79">
        <f>'дод 3'!F253</f>
        <v>0</v>
      </c>
      <c r="F206" s="79">
        <f>'дод 3'!G253</f>
        <v>0</v>
      </c>
      <c r="G206" s="79">
        <f>'дод 3'!H253</f>
        <v>0</v>
      </c>
      <c r="H206" s="79">
        <f>'дод 3'!I253</f>
        <v>0</v>
      </c>
      <c r="I206" s="79">
        <f>'дод 3'!J253</f>
        <v>12100000</v>
      </c>
      <c r="J206" s="79">
        <f>'дод 3'!K253</f>
        <v>0</v>
      </c>
      <c r="K206" s="79">
        <f>'дод 3'!L253</f>
        <v>12100000</v>
      </c>
      <c r="L206" s="79">
        <f>'дод 3'!M253</f>
        <v>0</v>
      </c>
      <c r="M206" s="79">
        <f>'дод 3'!N253</f>
        <v>0</v>
      </c>
      <c r="N206" s="79">
        <f>'дод 3'!O253</f>
        <v>0</v>
      </c>
      <c r="O206" s="79">
        <f>'дод 3'!P253</f>
        <v>12100000</v>
      </c>
    </row>
    <row r="207" spans="1:15" s="54" customFormat="1" ht="63" hidden="1" customHeight="1" x14ac:dyDescent="0.25">
      <c r="A207" s="77"/>
      <c r="B207" s="77"/>
      <c r="C207" s="78" t="s">
        <v>445</v>
      </c>
      <c r="D207" s="79">
        <f>'дод 3'!E254</f>
        <v>1527346</v>
      </c>
      <c r="E207" s="79">
        <f>'дод 3'!F254</f>
        <v>1527346</v>
      </c>
      <c r="F207" s="79">
        <f>'дод 3'!G254</f>
        <v>0</v>
      </c>
      <c r="G207" s="79">
        <f>'дод 3'!H254</f>
        <v>0</v>
      </c>
      <c r="H207" s="79">
        <f>'дод 3'!I254</f>
        <v>0</v>
      </c>
      <c r="I207" s="79">
        <f>'дод 3'!J254</f>
        <v>0</v>
      </c>
      <c r="J207" s="79">
        <f>'дод 3'!K254</f>
        <v>0</v>
      </c>
      <c r="K207" s="79">
        <f>'дод 3'!L254</f>
        <v>0</v>
      </c>
      <c r="L207" s="79">
        <f>'дод 3'!M254</f>
        <v>0</v>
      </c>
      <c r="M207" s="79">
        <f>'дод 3'!N254</f>
        <v>0</v>
      </c>
      <c r="N207" s="79">
        <f>'дод 3'!O254</f>
        <v>0</v>
      </c>
      <c r="O207" s="79">
        <f>'дод 3'!P254</f>
        <v>1527346</v>
      </c>
    </row>
    <row r="208" spans="1:15" s="54" customFormat="1" ht="18" customHeight="1" x14ac:dyDescent="0.25">
      <c r="A208" s="58" t="s">
        <v>454</v>
      </c>
      <c r="B208" s="58" t="s">
        <v>400</v>
      </c>
      <c r="C208" s="3" t="s">
        <v>460</v>
      </c>
      <c r="D208" s="49">
        <f>'дод 3'!E48</f>
        <v>0</v>
      </c>
      <c r="E208" s="49">
        <f>'дод 3'!F48</f>
        <v>0</v>
      </c>
      <c r="F208" s="49">
        <f>'дод 3'!G48</f>
        <v>0</v>
      </c>
      <c r="G208" s="49">
        <f>'дод 3'!H48</f>
        <v>0</v>
      </c>
      <c r="H208" s="49">
        <f>'дод 3'!I48</f>
        <v>0</v>
      </c>
      <c r="I208" s="49">
        <f>'дод 3'!J48</f>
        <v>0</v>
      </c>
      <c r="J208" s="49">
        <f>'дод 3'!K48</f>
        <v>0</v>
      </c>
      <c r="K208" s="49">
        <f>'дод 3'!L48</f>
        <v>0</v>
      </c>
      <c r="L208" s="49">
        <f>'дод 3'!M48</f>
        <v>0</v>
      </c>
      <c r="M208" s="49">
        <f>'дод 3'!N48</f>
        <v>0</v>
      </c>
      <c r="N208" s="49">
        <f>'дод 3'!O48</f>
        <v>0</v>
      </c>
      <c r="O208" s="49">
        <f>'дод 3'!P48</f>
        <v>0</v>
      </c>
    </row>
    <row r="209" spans="1:15" s="54" customFormat="1" ht="54.75" customHeight="1" x14ac:dyDescent="0.25">
      <c r="A209" s="58" t="s">
        <v>541</v>
      </c>
      <c r="B209" s="58" t="s">
        <v>400</v>
      </c>
      <c r="C209" s="116" t="s">
        <v>399</v>
      </c>
      <c r="D209" s="49">
        <f>'дод 3'!E252</f>
        <v>1527346</v>
      </c>
      <c r="E209" s="49">
        <f>'дод 3'!F252</f>
        <v>1527346</v>
      </c>
      <c r="F209" s="49">
        <f>'дод 3'!G252</f>
        <v>0</v>
      </c>
      <c r="G209" s="49">
        <f>'дод 3'!H252</f>
        <v>0</v>
      </c>
      <c r="H209" s="49">
        <f>'дод 3'!I252</f>
        <v>0</v>
      </c>
      <c r="I209" s="49">
        <f>'дод 3'!J252</f>
        <v>12100000</v>
      </c>
      <c r="J209" s="49">
        <f>'дод 3'!K252</f>
        <v>0</v>
      </c>
      <c r="K209" s="49">
        <f>'дод 3'!L252</f>
        <v>12100000</v>
      </c>
      <c r="L209" s="49">
        <f>'дод 3'!M252</f>
        <v>0</v>
      </c>
      <c r="M209" s="49">
        <f>'дод 3'!N252</f>
        <v>0</v>
      </c>
      <c r="N209" s="49">
        <f>'дод 3'!O252</f>
        <v>0</v>
      </c>
      <c r="O209" s="49">
        <f>'дод 3'!P252</f>
        <v>13627346</v>
      </c>
    </row>
    <row r="210" spans="1:15" s="54" customFormat="1" ht="63" x14ac:dyDescent="0.25">
      <c r="A210" s="88"/>
      <c r="B210" s="88"/>
      <c r="C210" s="86" t="s">
        <v>539</v>
      </c>
      <c r="D210" s="79">
        <f>'дод 3'!E254</f>
        <v>1527346</v>
      </c>
      <c r="E210" s="79">
        <f>'дод 3'!F254</f>
        <v>1527346</v>
      </c>
      <c r="F210" s="79">
        <f>'дод 3'!G254</f>
        <v>0</v>
      </c>
      <c r="G210" s="79">
        <f>'дод 3'!H254</f>
        <v>0</v>
      </c>
      <c r="H210" s="79">
        <f>'дод 3'!I254</f>
        <v>0</v>
      </c>
      <c r="I210" s="79">
        <f>'дод 3'!J254</f>
        <v>0</v>
      </c>
      <c r="J210" s="79">
        <f>'дод 3'!K254</f>
        <v>0</v>
      </c>
      <c r="K210" s="79">
        <f>'дод 3'!L254</f>
        <v>0</v>
      </c>
      <c r="L210" s="79">
        <f>'дод 3'!M254</f>
        <v>0</v>
      </c>
      <c r="M210" s="79">
        <f>'дод 3'!N254</f>
        <v>0</v>
      </c>
      <c r="N210" s="79">
        <f>'дод 3'!O254</f>
        <v>0</v>
      </c>
      <c r="O210" s="79">
        <f>'дод 3'!P254</f>
        <v>1527346</v>
      </c>
    </row>
    <row r="211" spans="1:15" ht="49.5" customHeight="1" x14ac:dyDescent="0.25">
      <c r="A211" s="58" t="s">
        <v>596</v>
      </c>
      <c r="B211" s="59" t="s">
        <v>400</v>
      </c>
      <c r="C211" s="116" t="s">
        <v>586</v>
      </c>
      <c r="D211" s="49">
        <f>'дод 3'!E255</f>
        <v>200000</v>
      </c>
      <c r="E211" s="49">
        <f>'дод 3'!F255</f>
        <v>200000</v>
      </c>
      <c r="F211" s="49">
        <f>'дод 3'!G255</f>
        <v>0</v>
      </c>
      <c r="G211" s="49">
        <f>'дод 3'!H255</f>
        <v>0</v>
      </c>
      <c r="H211" s="49">
        <f>'дод 3'!I255</f>
        <v>0</v>
      </c>
      <c r="I211" s="49">
        <f>'дод 3'!J255</f>
        <v>0</v>
      </c>
      <c r="J211" s="49">
        <f>'дод 3'!K255</f>
        <v>0</v>
      </c>
      <c r="K211" s="49">
        <f>'дод 3'!L255</f>
        <v>0</v>
      </c>
      <c r="L211" s="49">
        <f>'дод 3'!M255</f>
        <v>0</v>
      </c>
      <c r="M211" s="49">
        <f>'дод 3'!N255</f>
        <v>0</v>
      </c>
      <c r="N211" s="49">
        <f>'дод 3'!O255</f>
        <v>0</v>
      </c>
      <c r="O211" s="49">
        <f>'дод 3'!P255</f>
        <v>200000</v>
      </c>
    </row>
    <row r="212" spans="1:15" s="54" customFormat="1" x14ac:dyDescent="0.25">
      <c r="A212" s="88"/>
      <c r="B212" s="88"/>
      <c r="C212" s="84" t="s">
        <v>393</v>
      </c>
      <c r="D212" s="79">
        <f>'дод 3'!E256</f>
        <v>200000</v>
      </c>
      <c r="E212" s="79">
        <f>'дод 3'!F256</f>
        <v>200000</v>
      </c>
      <c r="F212" s="79">
        <f>'дод 3'!G256</f>
        <v>0</v>
      </c>
      <c r="G212" s="79">
        <f>'дод 3'!H256</f>
        <v>0</v>
      </c>
      <c r="H212" s="79">
        <f>'дод 3'!I256</f>
        <v>0</v>
      </c>
      <c r="I212" s="79">
        <f>'дод 3'!J256</f>
        <v>0</v>
      </c>
      <c r="J212" s="79">
        <f>'дод 3'!K256</f>
        <v>0</v>
      </c>
      <c r="K212" s="79">
        <f>'дод 3'!L256</f>
        <v>0</v>
      </c>
      <c r="L212" s="79">
        <f>'дод 3'!M256</f>
        <v>0</v>
      </c>
      <c r="M212" s="79">
        <f>'дод 3'!N256</f>
        <v>0</v>
      </c>
      <c r="N212" s="79">
        <f>'дод 3'!O256</f>
        <v>0</v>
      </c>
      <c r="O212" s="79">
        <f>'дод 3'!P256</f>
        <v>200000</v>
      </c>
    </row>
    <row r="213" spans="1:15" s="52" customFormat="1" ht="18.75" customHeight="1" x14ac:dyDescent="0.25">
      <c r="A213" s="39" t="s">
        <v>237</v>
      </c>
      <c r="B213" s="41"/>
      <c r="C213" s="2" t="s">
        <v>238</v>
      </c>
      <c r="D213" s="48">
        <f>D214</f>
        <v>5882000</v>
      </c>
      <c r="E213" s="48">
        <f t="shared" ref="E213:O213" si="46">E214</f>
        <v>5882000</v>
      </c>
      <c r="F213" s="48">
        <f t="shared" si="46"/>
        <v>0</v>
      </c>
      <c r="G213" s="48">
        <f t="shared" si="46"/>
        <v>0</v>
      </c>
      <c r="H213" s="48">
        <f t="shared" si="46"/>
        <v>0</v>
      </c>
      <c r="I213" s="48">
        <f t="shared" si="46"/>
        <v>4020000</v>
      </c>
      <c r="J213" s="48">
        <f t="shared" si="46"/>
        <v>4020000</v>
      </c>
      <c r="K213" s="48">
        <f t="shared" si="46"/>
        <v>0</v>
      </c>
      <c r="L213" s="48">
        <f t="shared" si="46"/>
        <v>0</v>
      </c>
      <c r="M213" s="48">
        <f t="shared" si="46"/>
        <v>0</v>
      </c>
      <c r="N213" s="48">
        <f t="shared" si="46"/>
        <v>4020000</v>
      </c>
      <c r="O213" s="48">
        <f t="shared" si="46"/>
        <v>9902000</v>
      </c>
    </row>
    <row r="214" spans="1:15" ht="37.5" customHeight="1" x14ac:dyDescent="0.25">
      <c r="A214" s="40" t="s">
        <v>235</v>
      </c>
      <c r="B214" s="40" t="s">
        <v>236</v>
      </c>
      <c r="C214" s="11" t="s">
        <v>234</v>
      </c>
      <c r="D214" s="49">
        <f>'дод 3'!E49+'дод 3'!E257</f>
        <v>5882000</v>
      </c>
      <c r="E214" s="49">
        <f>'дод 3'!F49+'дод 3'!F257</f>
        <v>5882000</v>
      </c>
      <c r="F214" s="49">
        <f>'дод 3'!G49+'дод 3'!G257</f>
        <v>0</v>
      </c>
      <c r="G214" s="49">
        <f>'дод 3'!H49+'дод 3'!H257</f>
        <v>0</v>
      </c>
      <c r="H214" s="49">
        <f>'дод 3'!I49+'дод 3'!I257</f>
        <v>0</v>
      </c>
      <c r="I214" s="49">
        <f>'дод 3'!J49+'дод 3'!J257</f>
        <v>4020000</v>
      </c>
      <c r="J214" s="49">
        <f>'дод 3'!K49+'дод 3'!K257</f>
        <v>4020000</v>
      </c>
      <c r="K214" s="49">
        <f>'дод 3'!L49+'дод 3'!L257</f>
        <v>0</v>
      </c>
      <c r="L214" s="49">
        <f>'дод 3'!M49+'дод 3'!M257</f>
        <v>0</v>
      </c>
      <c r="M214" s="49">
        <f>'дод 3'!N49+'дод 3'!N257</f>
        <v>0</v>
      </c>
      <c r="N214" s="49">
        <f>'дод 3'!O49+'дод 3'!O257</f>
        <v>4020000</v>
      </c>
      <c r="O214" s="49">
        <f>'дод 3'!P49+'дод 3'!P257</f>
        <v>9902000</v>
      </c>
    </row>
    <row r="215" spans="1:15" s="52" customFormat="1" ht="31.5" customHeight="1" x14ac:dyDescent="0.25">
      <c r="A215" s="38" t="s">
        <v>88</v>
      </c>
      <c r="B215" s="41"/>
      <c r="C215" s="2" t="s">
        <v>421</v>
      </c>
      <c r="D215" s="48">
        <f>D217+D218+D220+D221+D222+D224+D225+D226</f>
        <v>5942999.5499999998</v>
      </c>
      <c r="E215" s="48">
        <f t="shared" ref="E215:O215" si="47">E217+E218+E220+E221+E222+E224+E225+E226</f>
        <v>4660389.55</v>
      </c>
      <c r="F215" s="48">
        <f t="shared" si="47"/>
        <v>0</v>
      </c>
      <c r="G215" s="48">
        <f t="shared" si="47"/>
        <v>0</v>
      </c>
      <c r="H215" s="48">
        <f t="shared" si="47"/>
        <v>1282610</v>
      </c>
      <c r="I215" s="48">
        <f t="shared" si="47"/>
        <v>192605605.44</v>
      </c>
      <c r="J215" s="48">
        <f t="shared" si="47"/>
        <v>176275633.56999999</v>
      </c>
      <c r="K215" s="48">
        <f t="shared" si="47"/>
        <v>2948437.8699999996</v>
      </c>
      <c r="L215" s="48">
        <f t="shared" si="47"/>
        <v>0</v>
      </c>
      <c r="M215" s="48">
        <f t="shared" si="47"/>
        <v>0</v>
      </c>
      <c r="N215" s="48">
        <f t="shared" si="47"/>
        <v>189657167.56999999</v>
      </c>
      <c r="O215" s="48">
        <f t="shared" si="47"/>
        <v>198548604.98999998</v>
      </c>
    </row>
    <row r="216" spans="1:15" s="53" customFormat="1" ht="16.5" customHeight="1" x14ac:dyDescent="0.25">
      <c r="A216" s="70"/>
      <c r="B216" s="70"/>
      <c r="C216" s="82" t="s">
        <v>419</v>
      </c>
      <c r="D216" s="75">
        <f>D219+D223</f>
        <v>0</v>
      </c>
      <c r="E216" s="75">
        <f t="shared" ref="E216:O216" si="48">E219+E223</f>
        <v>0</v>
      </c>
      <c r="F216" s="75">
        <f t="shared" si="48"/>
        <v>0</v>
      </c>
      <c r="G216" s="75">
        <f t="shared" si="48"/>
        <v>0</v>
      </c>
      <c r="H216" s="75">
        <f t="shared" si="48"/>
        <v>0</v>
      </c>
      <c r="I216" s="75">
        <f t="shared" si="48"/>
        <v>127771665.12</v>
      </c>
      <c r="J216" s="75">
        <f t="shared" si="48"/>
        <v>127771665.12</v>
      </c>
      <c r="K216" s="75">
        <f t="shared" si="48"/>
        <v>0</v>
      </c>
      <c r="L216" s="75">
        <f t="shared" si="48"/>
        <v>0</v>
      </c>
      <c r="M216" s="75">
        <f t="shared" si="48"/>
        <v>0</v>
      </c>
      <c r="N216" s="75">
        <f t="shared" si="48"/>
        <v>127771665.12</v>
      </c>
      <c r="O216" s="75">
        <f t="shared" si="48"/>
        <v>127771665.12</v>
      </c>
    </row>
    <row r="217" spans="1:15" ht="32.25" customHeight="1" x14ac:dyDescent="0.25">
      <c r="A217" s="37" t="s">
        <v>4</v>
      </c>
      <c r="B217" s="37" t="s">
        <v>87</v>
      </c>
      <c r="C217" s="3" t="s">
        <v>23</v>
      </c>
      <c r="D217" s="49">
        <f>'дод 3'!E50+'дод 3'!E306</f>
        <v>372000</v>
      </c>
      <c r="E217" s="49">
        <f>'дод 3'!F50+'дод 3'!F306</f>
        <v>372000</v>
      </c>
      <c r="F217" s="49">
        <f>'дод 3'!G50+'дод 3'!G306</f>
        <v>0</v>
      </c>
      <c r="G217" s="49">
        <f>'дод 3'!H50+'дод 3'!H306</f>
        <v>0</v>
      </c>
      <c r="H217" s="49">
        <f>'дод 3'!I50+'дод 3'!I306</f>
        <v>0</v>
      </c>
      <c r="I217" s="49">
        <f>'дод 3'!J50+'дод 3'!J306</f>
        <v>0</v>
      </c>
      <c r="J217" s="49">
        <f>'дод 3'!K50+'дод 3'!K306</f>
        <v>0</v>
      </c>
      <c r="K217" s="49">
        <f>'дод 3'!L50+'дод 3'!L306</f>
        <v>0</v>
      </c>
      <c r="L217" s="49">
        <f>'дод 3'!M50+'дод 3'!M306</f>
        <v>0</v>
      </c>
      <c r="M217" s="49">
        <f>'дод 3'!N50+'дод 3'!N306</f>
        <v>0</v>
      </c>
      <c r="N217" s="49">
        <f>'дод 3'!O50+'дод 3'!O306</f>
        <v>0</v>
      </c>
      <c r="O217" s="49">
        <f>'дод 3'!P50+'дод 3'!P306</f>
        <v>372000</v>
      </c>
    </row>
    <row r="218" spans="1:15" ht="20.25" customHeight="1" x14ac:dyDescent="0.25">
      <c r="A218" s="37" t="s">
        <v>2</v>
      </c>
      <c r="B218" s="37" t="s">
        <v>86</v>
      </c>
      <c r="C218" s="3" t="s">
        <v>418</v>
      </c>
      <c r="D218" s="49">
        <f>'дод 3'!E120+'дод 3'!E159+'дод 3'!E221+'дод 3'!E258+'дод 3'!E288+'дод 3'!E316</f>
        <v>3515686.55</v>
      </c>
      <c r="E218" s="49">
        <f>'дод 3'!F120+'дод 3'!F159+'дод 3'!F221+'дод 3'!F258+'дод 3'!F288+'дод 3'!F316</f>
        <v>2233076.5499999998</v>
      </c>
      <c r="F218" s="49">
        <f>'дод 3'!G120+'дод 3'!G159+'дод 3'!G221+'дод 3'!G258+'дод 3'!G288+'дод 3'!G316</f>
        <v>0</v>
      </c>
      <c r="G218" s="49">
        <f>'дод 3'!H120+'дод 3'!H159+'дод 3'!H221+'дод 3'!H258+'дод 3'!H288+'дод 3'!H316</f>
        <v>0</v>
      </c>
      <c r="H218" s="49">
        <f>'дод 3'!I120+'дод 3'!I159+'дод 3'!I221+'дод 3'!I258+'дод 3'!I288+'дод 3'!I316</f>
        <v>1282610</v>
      </c>
      <c r="I218" s="49">
        <f>'дод 3'!J120+'дод 3'!J159+'дод 3'!J221+'дод 3'!J258+'дод 3'!J288+'дод 3'!J316</f>
        <v>141941667.56999999</v>
      </c>
      <c r="J218" s="49">
        <f>'дод 3'!K120+'дод 3'!K159+'дод 3'!K221+'дод 3'!K258+'дод 3'!K288+'дод 3'!K316</f>
        <v>130467733.56999999</v>
      </c>
      <c r="K218" s="49">
        <f>'дод 3'!L120+'дод 3'!L159+'дод 3'!L221+'дод 3'!L258+'дод 3'!L288+'дод 3'!L316</f>
        <v>0</v>
      </c>
      <c r="L218" s="49">
        <f>'дод 3'!M120+'дод 3'!M159+'дод 3'!M221+'дод 3'!M258+'дод 3'!M288+'дод 3'!M316</f>
        <v>0</v>
      </c>
      <c r="M218" s="49">
        <f>'дод 3'!N120+'дод 3'!N159+'дод 3'!N221+'дод 3'!N258+'дод 3'!N288+'дод 3'!N316</f>
        <v>0</v>
      </c>
      <c r="N218" s="49">
        <f>'дод 3'!O120+'дод 3'!O159+'дод 3'!O221+'дод 3'!O258+'дод 3'!O288+'дод 3'!O316</f>
        <v>141941667.56999999</v>
      </c>
      <c r="O218" s="49">
        <f>'дод 3'!P120+'дод 3'!P159+'дод 3'!P221+'дод 3'!P258+'дод 3'!P288+'дод 3'!P316</f>
        <v>145457354.11999997</v>
      </c>
    </row>
    <row r="219" spans="1:15" s="54" customFormat="1" ht="17.25" customHeight="1" x14ac:dyDescent="0.25">
      <c r="A219" s="77"/>
      <c r="B219" s="77"/>
      <c r="C219" s="84" t="s">
        <v>419</v>
      </c>
      <c r="D219" s="79">
        <f>'дод 3'!E160+'дод 3'!E289</f>
        <v>0</v>
      </c>
      <c r="E219" s="79">
        <f>'дод 3'!F160+'дод 3'!F289</f>
        <v>0</v>
      </c>
      <c r="F219" s="79">
        <f>'дод 3'!G160+'дод 3'!G289</f>
        <v>0</v>
      </c>
      <c r="G219" s="79">
        <f>'дод 3'!H160+'дод 3'!H289</f>
        <v>0</v>
      </c>
      <c r="H219" s="79">
        <f>'дод 3'!I160+'дод 3'!I289</f>
        <v>0</v>
      </c>
      <c r="I219" s="79">
        <f>'дод 3'!J160+'дод 3'!J289</f>
        <v>101521665.12</v>
      </c>
      <c r="J219" s="79">
        <f>'дод 3'!K160+'дод 3'!K289</f>
        <v>101521665.12</v>
      </c>
      <c r="K219" s="79">
        <f>'дод 3'!L160+'дод 3'!L289</f>
        <v>0</v>
      </c>
      <c r="L219" s="79">
        <f>'дод 3'!M160+'дод 3'!M289</f>
        <v>0</v>
      </c>
      <c r="M219" s="79">
        <f>'дод 3'!N160+'дод 3'!N289</f>
        <v>0</v>
      </c>
      <c r="N219" s="79">
        <f>'дод 3'!O160+'дод 3'!O289</f>
        <v>101521665.12</v>
      </c>
      <c r="O219" s="79">
        <f>'дод 3'!P160+'дод 3'!P289</f>
        <v>101521665.12</v>
      </c>
    </row>
    <row r="220" spans="1:15" ht="33.75" customHeight="1" x14ac:dyDescent="0.25">
      <c r="A220" s="37" t="s">
        <v>267</v>
      </c>
      <c r="B220" s="37" t="s">
        <v>82</v>
      </c>
      <c r="C220" s="3" t="s">
        <v>346</v>
      </c>
      <c r="D220" s="49">
        <f>'дод 3'!E307</f>
        <v>0</v>
      </c>
      <c r="E220" s="49">
        <f>'дод 3'!F307</f>
        <v>0</v>
      </c>
      <c r="F220" s="49">
        <f>'дод 3'!G307</f>
        <v>0</v>
      </c>
      <c r="G220" s="49">
        <f>'дод 3'!H307</f>
        <v>0</v>
      </c>
      <c r="H220" s="49">
        <f>'дод 3'!I307</f>
        <v>0</v>
      </c>
      <c r="I220" s="49">
        <f>'дод 3'!J307</f>
        <v>20000</v>
      </c>
      <c r="J220" s="49">
        <f>'дод 3'!K307</f>
        <v>20000</v>
      </c>
      <c r="K220" s="49">
        <f>'дод 3'!L307</f>
        <v>0</v>
      </c>
      <c r="L220" s="49">
        <f>'дод 3'!M307</f>
        <v>0</v>
      </c>
      <c r="M220" s="49">
        <f>'дод 3'!N307</f>
        <v>0</v>
      </c>
      <c r="N220" s="49">
        <f>'дод 3'!O307</f>
        <v>20000</v>
      </c>
      <c r="O220" s="49">
        <f>'дод 3'!P307</f>
        <v>20000</v>
      </c>
    </row>
    <row r="221" spans="1:15" ht="67.5" customHeight="1" x14ac:dyDescent="0.25">
      <c r="A221" s="37" t="s">
        <v>269</v>
      </c>
      <c r="B221" s="37" t="s">
        <v>82</v>
      </c>
      <c r="C221" s="3" t="s">
        <v>270</v>
      </c>
      <c r="D221" s="49">
        <f>'дод 3'!E308</f>
        <v>0</v>
      </c>
      <c r="E221" s="49">
        <f>'дод 3'!F308</f>
        <v>0</v>
      </c>
      <c r="F221" s="49">
        <f>'дод 3'!G308</f>
        <v>0</v>
      </c>
      <c r="G221" s="49">
        <f>'дод 3'!H308</f>
        <v>0</v>
      </c>
      <c r="H221" s="49">
        <f>'дод 3'!I308</f>
        <v>0</v>
      </c>
      <c r="I221" s="49">
        <f>'дод 3'!J308</f>
        <v>45000</v>
      </c>
      <c r="J221" s="49">
        <f>'дод 3'!K308</f>
        <v>45000</v>
      </c>
      <c r="K221" s="49">
        <f>'дод 3'!L308</f>
        <v>0</v>
      </c>
      <c r="L221" s="49">
        <f>'дод 3'!M308</f>
        <v>0</v>
      </c>
      <c r="M221" s="49">
        <f>'дод 3'!N308</f>
        <v>0</v>
      </c>
      <c r="N221" s="49">
        <f>'дод 3'!O308</f>
        <v>45000</v>
      </c>
      <c r="O221" s="49">
        <f>'дод 3'!P308</f>
        <v>45000</v>
      </c>
    </row>
    <row r="222" spans="1:15" ht="30.75" customHeight="1" x14ac:dyDescent="0.25">
      <c r="A222" s="37" t="s">
        <v>5</v>
      </c>
      <c r="B222" s="37" t="s">
        <v>82</v>
      </c>
      <c r="C222" s="3" t="s">
        <v>466</v>
      </c>
      <c r="D222" s="49">
        <f>'дод 3'!E51+'дод 3'!E259</f>
        <v>0</v>
      </c>
      <c r="E222" s="49">
        <f>'дод 3'!F51+'дод 3'!F259</f>
        <v>0</v>
      </c>
      <c r="F222" s="49">
        <f>'дод 3'!G51+'дод 3'!G259</f>
        <v>0</v>
      </c>
      <c r="G222" s="49">
        <f>'дод 3'!H51+'дод 3'!H259</f>
        <v>0</v>
      </c>
      <c r="H222" s="49">
        <f>'дод 3'!I51+'дод 3'!I259</f>
        <v>0</v>
      </c>
      <c r="I222" s="49">
        <f>'дод 3'!J51+'дод 3'!J259</f>
        <v>45742900</v>
      </c>
      <c r="J222" s="49">
        <f>'дод 3'!K51+'дод 3'!K259</f>
        <v>45742900</v>
      </c>
      <c r="K222" s="49">
        <f>'дод 3'!L51+'дод 3'!L259</f>
        <v>0</v>
      </c>
      <c r="L222" s="49">
        <f>'дод 3'!M51+'дод 3'!M259</f>
        <v>0</v>
      </c>
      <c r="M222" s="49">
        <f>'дод 3'!N51+'дод 3'!N259</f>
        <v>0</v>
      </c>
      <c r="N222" s="49">
        <f>'дод 3'!O51+'дод 3'!O259</f>
        <v>45742900</v>
      </c>
      <c r="O222" s="49">
        <f>'дод 3'!P51+'дод 3'!P259</f>
        <v>45742900</v>
      </c>
    </row>
    <row r="223" spans="1:15" ht="16.5" customHeight="1" x14ac:dyDescent="0.25">
      <c r="A223" s="37"/>
      <c r="B223" s="37"/>
      <c r="C223" s="84" t="s">
        <v>419</v>
      </c>
      <c r="D223" s="49">
        <f>'дод 3'!E260</f>
        <v>0</v>
      </c>
      <c r="E223" s="49">
        <f>'дод 3'!F260</f>
        <v>0</v>
      </c>
      <c r="F223" s="49">
        <f>'дод 3'!G260</f>
        <v>0</v>
      </c>
      <c r="G223" s="49">
        <f>'дод 3'!H260</f>
        <v>0</v>
      </c>
      <c r="H223" s="49">
        <f>'дод 3'!I260</f>
        <v>0</v>
      </c>
      <c r="I223" s="49">
        <f>'дод 3'!J260</f>
        <v>26250000</v>
      </c>
      <c r="J223" s="49">
        <f>'дод 3'!K260</f>
        <v>26250000</v>
      </c>
      <c r="K223" s="49">
        <f>'дод 3'!L260</f>
        <v>0</v>
      </c>
      <c r="L223" s="49">
        <f>'дод 3'!M260</f>
        <v>0</v>
      </c>
      <c r="M223" s="49">
        <f>'дод 3'!N260</f>
        <v>0</v>
      </c>
      <c r="N223" s="49">
        <f>'дод 3'!O260</f>
        <v>26250000</v>
      </c>
      <c r="O223" s="49">
        <f>'дод 3'!P260</f>
        <v>26250000</v>
      </c>
    </row>
    <row r="224" spans="1:15" ht="36.75" customHeight="1" x14ac:dyDescent="0.25">
      <c r="A224" s="37" t="s">
        <v>248</v>
      </c>
      <c r="B224" s="37" t="s">
        <v>82</v>
      </c>
      <c r="C224" s="3" t="s">
        <v>249</v>
      </c>
      <c r="D224" s="49">
        <f>'дод 3'!E52</f>
        <v>356337</v>
      </c>
      <c r="E224" s="49">
        <f>'дод 3'!F52</f>
        <v>356337</v>
      </c>
      <c r="F224" s="49">
        <f>'дод 3'!G52</f>
        <v>0</v>
      </c>
      <c r="G224" s="49">
        <f>'дод 3'!H52</f>
        <v>0</v>
      </c>
      <c r="H224" s="49">
        <f>'дод 3'!I52</f>
        <v>0</v>
      </c>
      <c r="I224" s="49">
        <f>'дод 3'!J52</f>
        <v>0</v>
      </c>
      <c r="J224" s="49">
        <f>'дод 3'!K52</f>
        <v>0</v>
      </c>
      <c r="K224" s="49">
        <f>'дод 3'!L52</f>
        <v>0</v>
      </c>
      <c r="L224" s="49">
        <f>'дод 3'!M52</f>
        <v>0</v>
      </c>
      <c r="M224" s="49">
        <f>'дод 3'!N52</f>
        <v>0</v>
      </c>
      <c r="N224" s="49">
        <f>'дод 3'!O52</f>
        <v>0</v>
      </c>
      <c r="O224" s="49">
        <f>'дод 3'!P52</f>
        <v>356337</v>
      </c>
    </row>
    <row r="225" spans="1:15" s="54" customFormat="1" ht="117" customHeight="1" x14ac:dyDescent="0.25">
      <c r="A225" s="37" t="s">
        <v>296</v>
      </c>
      <c r="B225" s="37" t="s">
        <v>82</v>
      </c>
      <c r="C225" s="3" t="s">
        <v>314</v>
      </c>
      <c r="D225" s="49">
        <f>'дод 3'!E53+'дод 3'!E261+'дод 3'!E290+'дод 3'!E298</f>
        <v>0</v>
      </c>
      <c r="E225" s="49">
        <f>'дод 3'!F53+'дод 3'!F261+'дод 3'!F290+'дод 3'!F298</f>
        <v>0</v>
      </c>
      <c r="F225" s="49">
        <f>'дод 3'!G53+'дод 3'!G261+'дод 3'!G290+'дод 3'!G298</f>
        <v>0</v>
      </c>
      <c r="G225" s="49">
        <f>'дод 3'!H53+'дод 3'!H261+'дод 3'!H290+'дод 3'!H298</f>
        <v>0</v>
      </c>
      <c r="H225" s="49">
        <f>'дод 3'!I53+'дод 3'!I261+'дод 3'!I290+'дод 3'!I298</f>
        <v>0</v>
      </c>
      <c r="I225" s="49">
        <f>'дод 3'!J53+'дод 3'!J261+'дод 3'!J290+'дод 3'!J298</f>
        <v>4856037.8699999992</v>
      </c>
      <c r="J225" s="49">
        <f>'дод 3'!K53+'дод 3'!K261+'дод 3'!K290+'дод 3'!K298</f>
        <v>0</v>
      </c>
      <c r="K225" s="49">
        <f>'дод 3'!L53+'дод 3'!L261+'дод 3'!L290+'дод 3'!L298</f>
        <v>2948437.8699999996</v>
      </c>
      <c r="L225" s="49">
        <f>'дод 3'!M53+'дод 3'!M261+'дод 3'!M290+'дод 3'!M298</f>
        <v>0</v>
      </c>
      <c r="M225" s="49">
        <f>'дод 3'!N53+'дод 3'!N261+'дод 3'!N290+'дод 3'!N298</f>
        <v>0</v>
      </c>
      <c r="N225" s="49">
        <f>'дод 3'!O53+'дод 3'!O261+'дод 3'!O290+'дод 3'!O298</f>
        <v>1907600</v>
      </c>
      <c r="O225" s="49">
        <f>'дод 3'!P53+'дод 3'!P261+'дод 3'!P290+'дод 3'!P298</f>
        <v>4856037.8699999992</v>
      </c>
    </row>
    <row r="226" spans="1:15" s="54" customFormat="1" ht="23.25" customHeight="1" x14ac:dyDescent="0.25">
      <c r="A226" s="37" t="s">
        <v>239</v>
      </c>
      <c r="B226" s="37" t="s">
        <v>82</v>
      </c>
      <c r="C226" s="3" t="s">
        <v>17</v>
      </c>
      <c r="D226" s="49">
        <f>'дод 3'!E54+'дод 3'!E309+'дод 3'!E317</f>
        <v>1698976</v>
      </c>
      <c r="E226" s="49">
        <f>'дод 3'!F54+'дод 3'!F309+'дод 3'!F317</f>
        <v>1698976</v>
      </c>
      <c r="F226" s="49">
        <f>'дод 3'!G54+'дод 3'!G309+'дод 3'!G317</f>
        <v>0</v>
      </c>
      <c r="G226" s="49">
        <f>'дод 3'!H54+'дод 3'!H309+'дод 3'!H317</f>
        <v>0</v>
      </c>
      <c r="H226" s="49">
        <f>'дод 3'!I54+'дод 3'!I309+'дод 3'!I317</f>
        <v>0</v>
      </c>
      <c r="I226" s="49">
        <f>'дод 3'!J54+'дод 3'!J309+'дод 3'!J317</f>
        <v>0</v>
      </c>
      <c r="J226" s="49">
        <f>'дод 3'!K54+'дод 3'!K309+'дод 3'!K317</f>
        <v>0</v>
      </c>
      <c r="K226" s="49">
        <f>'дод 3'!L54+'дод 3'!L309+'дод 3'!L317</f>
        <v>0</v>
      </c>
      <c r="L226" s="49">
        <f>'дод 3'!M54+'дод 3'!M309+'дод 3'!M317</f>
        <v>0</v>
      </c>
      <c r="M226" s="49">
        <f>'дод 3'!N54+'дод 3'!N309+'дод 3'!N317</f>
        <v>0</v>
      </c>
      <c r="N226" s="49">
        <f>'дод 3'!O54+'дод 3'!O309+'дод 3'!O317</f>
        <v>0</v>
      </c>
      <c r="O226" s="49">
        <f>'дод 3'!P54+'дод 3'!P309+'дод 3'!P317</f>
        <v>1698976</v>
      </c>
    </row>
    <row r="227" spans="1:15" s="53" customFormat="1" ht="48.75" customHeight="1" x14ac:dyDescent="0.25">
      <c r="A227" s="38">
        <v>7700</v>
      </c>
      <c r="B227" s="38"/>
      <c r="C227" s="90" t="s">
        <v>362</v>
      </c>
      <c r="D227" s="48">
        <f>D228</f>
        <v>0</v>
      </c>
      <c r="E227" s="48">
        <f t="shared" ref="E227:O227" si="49">E228</f>
        <v>0</v>
      </c>
      <c r="F227" s="48">
        <f t="shared" si="49"/>
        <v>0</v>
      </c>
      <c r="G227" s="48">
        <f t="shared" si="49"/>
        <v>0</v>
      </c>
      <c r="H227" s="48">
        <f t="shared" si="49"/>
        <v>0</v>
      </c>
      <c r="I227" s="48">
        <f t="shared" si="49"/>
        <v>630000</v>
      </c>
      <c r="J227" s="48">
        <f t="shared" si="49"/>
        <v>0</v>
      </c>
      <c r="K227" s="48">
        <f t="shared" si="49"/>
        <v>0</v>
      </c>
      <c r="L227" s="48">
        <f t="shared" si="49"/>
        <v>0</v>
      </c>
      <c r="M227" s="48">
        <f t="shared" si="49"/>
        <v>0</v>
      </c>
      <c r="N227" s="48">
        <f t="shared" si="49"/>
        <v>630000</v>
      </c>
      <c r="O227" s="48">
        <f t="shared" si="49"/>
        <v>630000</v>
      </c>
    </row>
    <row r="228" spans="1:15" s="54" customFormat="1" ht="46.5" customHeight="1" x14ac:dyDescent="0.25">
      <c r="A228" s="37">
        <v>7700</v>
      </c>
      <c r="B228" s="58" t="s">
        <v>93</v>
      </c>
      <c r="C228" s="60" t="s">
        <v>362</v>
      </c>
      <c r="D228" s="49">
        <f>'дод 3'!E121</f>
        <v>0</v>
      </c>
      <c r="E228" s="49">
        <f>'дод 3'!F121</f>
        <v>0</v>
      </c>
      <c r="F228" s="49">
        <f>'дод 3'!G121</f>
        <v>0</v>
      </c>
      <c r="G228" s="49">
        <f>'дод 3'!H121</f>
        <v>0</v>
      </c>
      <c r="H228" s="49">
        <f>'дод 3'!I121</f>
        <v>0</v>
      </c>
      <c r="I228" s="49">
        <f>'дод 3'!J121</f>
        <v>630000</v>
      </c>
      <c r="J228" s="49">
        <f>'дод 3'!K121</f>
        <v>0</v>
      </c>
      <c r="K228" s="49">
        <f>'дод 3'!L121</f>
        <v>0</v>
      </c>
      <c r="L228" s="49">
        <f>'дод 3'!M121</f>
        <v>0</v>
      </c>
      <c r="M228" s="49">
        <f>'дод 3'!N121</f>
        <v>0</v>
      </c>
      <c r="N228" s="49">
        <f>'дод 3'!O121</f>
        <v>630000</v>
      </c>
      <c r="O228" s="49">
        <f>'дод 3'!P121</f>
        <v>630000</v>
      </c>
    </row>
    <row r="229" spans="1:15" s="52" customFormat="1" ht="30.75" customHeight="1" x14ac:dyDescent="0.25">
      <c r="A229" s="38" t="s">
        <v>94</v>
      </c>
      <c r="B229" s="39"/>
      <c r="C229" s="2" t="s">
        <v>584</v>
      </c>
      <c r="D229" s="48">
        <f>D231+D236+D238+D241+D243+D244</f>
        <v>22913693.32</v>
      </c>
      <c r="E229" s="48">
        <f t="shared" ref="E229:O229" si="50">E231+E236+E238+E241+E243+E244</f>
        <v>5156871.9800000004</v>
      </c>
      <c r="F229" s="48">
        <f t="shared" si="50"/>
        <v>1906900</v>
      </c>
      <c r="G229" s="48">
        <f t="shared" si="50"/>
        <v>372797</v>
      </c>
      <c r="H229" s="48">
        <f t="shared" si="50"/>
        <v>0</v>
      </c>
      <c r="I229" s="48">
        <f t="shared" si="50"/>
        <v>5730564.6600000001</v>
      </c>
      <c r="J229" s="48">
        <f t="shared" si="50"/>
        <v>1398264.66</v>
      </c>
      <c r="K229" s="48">
        <f t="shared" si="50"/>
        <v>2982400</v>
      </c>
      <c r="L229" s="48">
        <f t="shared" si="50"/>
        <v>0</v>
      </c>
      <c r="M229" s="48">
        <f t="shared" si="50"/>
        <v>1400</v>
      </c>
      <c r="N229" s="48">
        <f t="shared" si="50"/>
        <v>2748164.66</v>
      </c>
      <c r="O229" s="48">
        <f t="shared" si="50"/>
        <v>28644257.98</v>
      </c>
    </row>
    <row r="230" spans="1:15" s="53" customFormat="1" ht="54.75" customHeight="1" x14ac:dyDescent="0.25">
      <c r="A230" s="70"/>
      <c r="B230" s="73"/>
      <c r="C230" s="74" t="s">
        <v>382</v>
      </c>
      <c r="D230" s="75">
        <f>D232</f>
        <v>588815</v>
      </c>
      <c r="E230" s="75">
        <f t="shared" ref="E230:O230" si="51">E232</f>
        <v>588815</v>
      </c>
      <c r="F230" s="75">
        <f t="shared" si="51"/>
        <v>482635</v>
      </c>
      <c r="G230" s="75">
        <f t="shared" si="51"/>
        <v>0</v>
      </c>
      <c r="H230" s="75">
        <f t="shared" si="51"/>
        <v>0</v>
      </c>
      <c r="I230" s="75">
        <f t="shared" si="51"/>
        <v>0</v>
      </c>
      <c r="J230" s="75">
        <f t="shared" si="51"/>
        <v>0</v>
      </c>
      <c r="K230" s="75">
        <f t="shared" si="51"/>
        <v>0</v>
      </c>
      <c r="L230" s="75">
        <f t="shared" si="51"/>
        <v>0</v>
      </c>
      <c r="M230" s="75">
        <f t="shared" si="51"/>
        <v>0</v>
      </c>
      <c r="N230" s="75">
        <f t="shared" si="51"/>
        <v>0</v>
      </c>
      <c r="O230" s="75">
        <f t="shared" si="51"/>
        <v>588815</v>
      </c>
    </row>
    <row r="231" spans="1:15" s="52" customFormat="1" ht="51.75" customHeight="1" x14ac:dyDescent="0.25">
      <c r="A231" s="38" t="s">
        <v>96</v>
      </c>
      <c r="B231" s="39"/>
      <c r="C231" s="2" t="s">
        <v>520</v>
      </c>
      <c r="D231" s="48">
        <f t="shared" ref="D231:O231" si="52">D233+D234</f>
        <v>3454876.98</v>
      </c>
      <c r="E231" s="48">
        <f t="shared" si="52"/>
        <v>3454876.98</v>
      </c>
      <c r="F231" s="48">
        <f t="shared" si="52"/>
        <v>1906900</v>
      </c>
      <c r="G231" s="48">
        <f t="shared" si="52"/>
        <v>80055</v>
      </c>
      <c r="H231" s="48">
        <f t="shared" si="52"/>
        <v>0</v>
      </c>
      <c r="I231" s="48">
        <f t="shared" si="52"/>
        <v>1403964.66</v>
      </c>
      <c r="J231" s="48">
        <f t="shared" si="52"/>
        <v>1398264.66</v>
      </c>
      <c r="K231" s="48">
        <f t="shared" si="52"/>
        <v>5700</v>
      </c>
      <c r="L231" s="48">
        <f t="shared" si="52"/>
        <v>0</v>
      </c>
      <c r="M231" s="48">
        <f t="shared" si="52"/>
        <v>1400</v>
      </c>
      <c r="N231" s="48">
        <f t="shared" si="52"/>
        <v>1398264.66</v>
      </c>
      <c r="O231" s="48">
        <f t="shared" si="52"/>
        <v>4858841.6400000006</v>
      </c>
    </row>
    <row r="232" spans="1:15" s="53" customFormat="1" ht="53.25" customHeight="1" x14ac:dyDescent="0.25">
      <c r="A232" s="70"/>
      <c r="B232" s="73"/>
      <c r="C232" s="76" t="str">
        <f>C235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2" s="75">
        <f>D235</f>
        <v>588815</v>
      </c>
      <c r="E232" s="75">
        <f t="shared" ref="E232:O232" si="53">E235</f>
        <v>588815</v>
      </c>
      <c r="F232" s="75">
        <f t="shared" si="53"/>
        <v>482635</v>
      </c>
      <c r="G232" s="75">
        <f t="shared" si="53"/>
        <v>0</v>
      </c>
      <c r="H232" s="75">
        <f t="shared" si="53"/>
        <v>0</v>
      </c>
      <c r="I232" s="75">
        <f t="shared" si="53"/>
        <v>0</v>
      </c>
      <c r="J232" s="75">
        <f t="shared" si="53"/>
        <v>0</v>
      </c>
      <c r="K232" s="75">
        <f t="shared" si="53"/>
        <v>0</v>
      </c>
      <c r="L232" s="75">
        <f t="shared" si="53"/>
        <v>0</v>
      </c>
      <c r="M232" s="75">
        <f t="shared" si="53"/>
        <v>0</v>
      </c>
      <c r="N232" s="75">
        <f t="shared" si="53"/>
        <v>0</v>
      </c>
      <c r="O232" s="75">
        <f t="shared" si="53"/>
        <v>588815</v>
      </c>
    </row>
    <row r="233" spans="1:15" s="52" customFormat="1" ht="36.75" customHeight="1" x14ac:dyDescent="0.25">
      <c r="A233" s="40" t="s">
        <v>7</v>
      </c>
      <c r="B233" s="40" t="s">
        <v>89</v>
      </c>
      <c r="C233" s="3" t="s">
        <v>297</v>
      </c>
      <c r="D233" s="49">
        <f>'дод 3'!E55+'дод 3'!E262</f>
        <v>1005771.98</v>
      </c>
      <c r="E233" s="49">
        <f>'дод 3'!F55+'дод 3'!F262</f>
        <v>1005771.98</v>
      </c>
      <c r="F233" s="49">
        <f>'дод 3'!G55+'дод 3'!G262</f>
        <v>0</v>
      </c>
      <c r="G233" s="49">
        <f>'дод 3'!H55+'дод 3'!H262</f>
        <v>6350</v>
      </c>
      <c r="H233" s="49">
        <f>'дод 3'!I55+'дод 3'!I262</f>
        <v>0</v>
      </c>
      <c r="I233" s="49">
        <f>'дод 3'!J55+'дод 3'!J262</f>
        <v>1398264.66</v>
      </c>
      <c r="J233" s="49">
        <f>'дод 3'!K55+'дод 3'!K262</f>
        <v>1398264.66</v>
      </c>
      <c r="K233" s="49">
        <f>'дод 3'!L55+'дод 3'!L262</f>
        <v>0</v>
      </c>
      <c r="L233" s="49">
        <f>'дод 3'!M55+'дод 3'!M262</f>
        <v>0</v>
      </c>
      <c r="M233" s="49">
        <f>'дод 3'!N55+'дод 3'!N262</f>
        <v>0</v>
      </c>
      <c r="N233" s="49">
        <f>'дод 3'!O55+'дод 3'!O262</f>
        <v>1398264.66</v>
      </c>
      <c r="O233" s="49">
        <f>'дод 3'!P55+'дод 3'!P262</f>
        <v>2404036.64</v>
      </c>
    </row>
    <row r="234" spans="1:15" ht="27" customHeight="1" x14ac:dyDescent="0.25">
      <c r="A234" s="37" t="s">
        <v>148</v>
      </c>
      <c r="B234" s="42" t="s">
        <v>89</v>
      </c>
      <c r="C234" s="3" t="s">
        <v>518</v>
      </c>
      <c r="D234" s="49">
        <f>'дод 3'!E56</f>
        <v>2449105</v>
      </c>
      <c r="E234" s="49">
        <f>'дод 3'!F56</f>
        <v>2449105</v>
      </c>
      <c r="F234" s="49">
        <f>'дод 3'!G56</f>
        <v>1906900</v>
      </c>
      <c r="G234" s="49">
        <f>'дод 3'!H56</f>
        <v>73705</v>
      </c>
      <c r="H234" s="49">
        <f>'дод 3'!I56</f>
        <v>0</v>
      </c>
      <c r="I234" s="49">
        <f>'дод 3'!J56</f>
        <v>5700</v>
      </c>
      <c r="J234" s="49">
        <f>'дод 3'!K56</f>
        <v>0</v>
      </c>
      <c r="K234" s="49">
        <f>'дод 3'!L56</f>
        <v>5700</v>
      </c>
      <c r="L234" s="49">
        <f>'дод 3'!M56</f>
        <v>0</v>
      </c>
      <c r="M234" s="49">
        <f>'дод 3'!N56</f>
        <v>1400</v>
      </c>
      <c r="N234" s="49">
        <f>'дод 3'!O56</f>
        <v>0</v>
      </c>
      <c r="O234" s="49">
        <f>'дод 3'!P56</f>
        <v>2454805</v>
      </c>
    </row>
    <row r="235" spans="1:15" s="54" customFormat="1" ht="47.25" x14ac:dyDescent="0.25">
      <c r="A235" s="77"/>
      <c r="B235" s="87"/>
      <c r="C235" s="86" t="s">
        <v>382</v>
      </c>
      <c r="D235" s="79">
        <f>'дод 3'!E57</f>
        <v>588815</v>
      </c>
      <c r="E235" s="79">
        <f>'дод 3'!F57</f>
        <v>588815</v>
      </c>
      <c r="F235" s="79">
        <f>'дод 3'!G57</f>
        <v>482635</v>
      </c>
      <c r="G235" s="79">
        <f>'дод 3'!H57</f>
        <v>0</v>
      </c>
      <c r="H235" s="79">
        <f>'дод 3'!I57</f>
        <v>0</v>
      </c>
      <c r="I235" s="79">
        <f>'дод 3'!J57</f>
        <v>0</v>
      </c>
      <c r="J235" s="79">
        <f>'дод 3'!K57</f>
        <v>0</v>
      </c>
      <c r="K235" s="79">
        <f>'дод 3'!L57</f>
        <v>0</v>
      </c>
      <c r="L235" s="79">
        <f>'дод 3'!M57</f>
        <v>0</v>
      </c>
      <c r="M235" s="79">
        <f>'дод 3'!N57</f>
        <v>0</v>
      </c>
      <c r="N235" s="79">
        <f>'дод 3'!O57</f>
        <v>0</v>
      </c>
      <c r="O235" s="79">
        <f>'дод 3'!P57</f>
        <v>588815</v>
      </c>
    </row>
    <row r="236" spans="1:15" s="52" customFormat="1" ht="23.25" customHeight="1" x14ac:dyDescent="0.25">
      <c r="A236" s="38" t="s">
        <v>250</v>
      </c>
      <c r="B236" s="38"/>
      <c r="C236" s="12" t="s">
        <v>251</v>
      </c>
      <c r="D236" s="48">
        <f t="shared" ref="D236:O236" si="54">D237</f>
        <v>462056</v>
      </c>
      <c r="E236" s="48">
        <f t="shared" si="54"/>
        <v>462056</v>
      </c>
      <c r="F236" s="48">
        <f t="shared" si="54"/>
        <v>0</v>
      </c>
      <c r="G236" s="48">
        <f t="shared" si="54"/>
        <v>292742</v>
      </c>
      <c r="H236" s="48">
        <f t="shared" si="54"/>
        <v>0</v>
      </c>
      <c r="I236" s="48">
        <f t="shared" si="54"/>
        <v>0</v>
      </c>
      <c r="J236" s="48">
        <f t="shared" si="54"/>
        <v>0</v>
      </c>
      <c r="K236" s="48">
        <f t="shared" si="54"/>
        <v>0</v>
      </c>
      <c r="L236" s="48">
        <f t="shared" si="54"/>
        <v>0</v>
      </c>
      <c r="M236" s="48">
        <f t="shared" si="54"/>
        <v>0</v>
      </c>
      <c r="N236" s="48">
        <f t="shared" si="54"/>
        <v>0</v>
      </c>
      <c r="O236" s="48">
        <f t="shared" si="54"/>
        <v>462056</v>
      </c>
    </row>
    <row r="237" spans="1:15" ht="22.5" customHeight="1" x14ac:dyDescent="0.25">
      <c r="A237" s="37" t="s">
        <v>244</v>
      </c>
      <c r="B237" s="42" t="s">
        <v>245</v>
      </c>
      <c r="C237" s="3" t="s">
        <v>246</v>
      </c>
      <c r="D237" s="49">
        <f>'дод 3'!E58+'дод 3'!E263</f>
        <v>462056</v>
      </c>
      <c r="E237" s="49">
        <f>'дод 3'!F58+'дод 3'!F263</f>
        <v>462056</v>
      </c>
      <c r="F237" s="49">
        <f>'дод 3'!G58+'дод 3'!G263</f>
        <v>0</v>
      </c>
      <c r="G237" s="49">
        <f>'дод 3'!H58+'дод 3'!H263</f>
        <v>292742</v>
      </c>
      <c r="H237" s="49">
        <f>'дод 3'!I58+'дод 3'!I263</f>
        <v>0</v>
      </c>
      <c r="I237" s="49">
        <f>'дод 3'!J58+'дод 3'!J263</f>
        <v>0</v>
      </c>
      <c r="J237" s="49">
        <f>'дод 3'!K58+'дод 3'!K263</f>
        <v>0</v>
      </c>
      <c r="K237" s="49">
        <f>'дод 3'!L58+'дод 3'!L263</f>
        <v>0</v>
      </c>
      <c r="L237" s="49">
        <f>'дод 3'!M58+'дод 3'!M263</f>
        <v>0</v>
      </c>
      <c r="M237" s="49">
        <f>'дод 3'!N58+'дод 3'!N263</f>
        <v>0</v>
      </c>
      <c r="N237" s="49">
        <f>'дод 3'!O58+'дод 3'!O263</f>
        <v>0</v>
      </c>
      <c r="O237" s="49">
        <f>'дод 3'!P58+'дод 3'!P263</f>
        <v>462056</v>
      </c>
    </row>
    <row r="238" spans="1:15" s="52" customFormat="1" ht="22.5" customHeight="1" x14ac:dyDescent="0.25">
      <c r="A238" s="38" t="s">
        <v>6</v>
      </c>
      <c r="B238" s="39"/>
      <c r="C238" s="2" t="s">
        <v>8</v>
      </c>
      <c r="D238" s="48">
        <f t="shared" ref="D238:O238" si="55">D240+D239</f>
        <v>75000</v>
      </c>
      <c r="E238" s="48">
        <f t="shared" si="55"/>
        <v>75000</v>
      </c>
      <c r="F238" s="48">
        <f t="shared" si="55"/>
        <v>0</v>
      </c>
      <c r="G238" s="48">
        <f t="shared" si="55"/>
        <v>0</v>
      </c>
      <c r="H238" s="48">
        <f t="shared" si="55"/>
        <v>0</v>
      </c>
      <c r="I238" s="48">
        <f t="shared" si="55"/>
        <v>4326600</v>
      </c>
      <c r="J238" s="48">
        <f t="shared" si="55"/>
        <v>0</v>
      </c>
      <c r="K238" s="48">
        <f t="shared" si="55"/>
        <v>2976700</v>
      </c>
      <c r="L238" s="48">
        <f t="shared" si="55"/>
        <v>0</v>
      </c>
      <c r="M238" s="48">
        <f t="shared" si="55"/>
        <v>0</v>
      </c>
      <c r="N238" s="48">
        <f t="shared" si="55"/>
        <v>1349900</v>
      </c>
      <c r="O238" s="48">
        <f t="shared" si="55"/>
        <v>4401600</v>
      </c>
    </row>
    <row r="239" spans="1:15" s="52" customFormat="1" ht="33.75" customHeight="1" x14ac:dyDescent="0.25">
      <c r="A239" s="37">
        <v>8330</v>
      </c>
      <c r="B239" s="58" t="s">
        <v>92</v>
      </c>
      <c r="C239" s="3" t="s">
        <v>348</v>
      </c>
      <c r="D239" s="49">
        <f>'дод 3'!E318</f>
        <v>75000</v>
      </c>
      <c r="E239" s="49">
        <f>'дод 3'!F318</f>
        <v>75000</v>
      </c>
      <c r="F239" s="49">
        <f>'дод 3'!G318</f>
        <v>0</v>
      </c>
      <c r="G239" s="49">
        <f>'дод 3'!H318</f>
        <v>0</v>
      </c>
      <c r="H239" s="49">
        <f>'дод 3'!I318</f>
        <v>0</v>
      </c>
      <c r="I239" s="49">
        <f>'дод 3'!J318</f>
        <v>0</v>
      </c>
      <c r="J239" s="49">
        <f>'дод 3'!K318</f>
        <v>0</v>
      </c>
      <c r="K239" s="49">
        <f>'дод 3'!L318</f>
        <v>0</v>
      </c>
      <c r="L239" s="49">
        <f>'дод 3'!M318</f>
        <v>0</v>
      </c>
      <c r="M239" s="49">
        <f>'дод 3'!N318</f>
        <v>0</v>
      </c>
      <c r="N239" s="49">
        <f>'дод 3'!O318</f>
        <v>0</v>
      </c>
      <c r="O239" s="49">
        <f>'дод 3'!P318</f>
        <v>75000</v>
      </c>
    </row>
    <row r="240" spans="1:15" s="52" customFormat="1" ht="19.5" customHeight="1" x14ac:dyDescent="0.25">
      <c r="A240" s="37" t="s">
        <v>9</v>
      </c>
      <c r="B240" s="37" t="s">
        <v>92</v>
      </c>
      <c r="C240" s="3" t="s">
        <v>10</v>
      </c>
      <c r="D240" s="49">
        <f>'дод 3'!E59+'дод 3'!E122+'дод 3'!E264+'дод 3'!E319</f>
        <v>0</v>
      </c>
      <c r="E240" s="49">
        <f>'дод 3'!F59+'дод 3'!F122+'дод 3'!F264+'дод 3'!F319</f>
        <v>0</v>
      </c>
      <c r="F240" s="49">
        <f>'дод 3'!G59+'дод 3'!G122+'дод 3'!G264+'дод 3'!G319</f>
        <v>0</v>
      </c>
      <c r="G240" s="49">
        <f>'дод 3'!H59+'дод 3'!H122+'дод 3'!H264+'дод 3'!H319</f>
        <v>0</v>
      </c>
      <c r="H240" s="49">
        <f>'дод 3'!I59+'дод 3'!I122+'дод 3'!I264+'дод 3'!I319</f>
        <v>0</v>
      </c>
      <c r="I240" s="49">
        <f>'дод 3'!J59+'дод 3'!J122+'дод 3'!J264+'дод 3'!J319</f>
        <v>4326600</v>
      </c>
      <c r="J240" s="49">
        <f>'дод 3'!K59+'дод 3'!K122+'дод 3'!K264+'дод 3'!K319</f>
        <v>0</v>
      </c>
      <c r="K240" s="49">
        <f>'дод 3'!L59+'дод 3'!L122+'дод 3'!L264+'дод 3'!L319</f>
        <v>2976700</v>
      </c>
      <c r="L240" s="49">
        <f>'дод 3'!M59+'дод 3'!M122+'дод 3'!M264+'дод 3'!M319</f>
        <v>0</v>
      </c>
      <c r="M240" s="49">
        <f>'дод 3'!N59+'дод 3'!N122+'дод 3'!N264+'дод 3'!N319</f>
        <v>0</v>
      </c>
      <c r="N240" s="49">
        <f>'дод 3'!O59+'дод 3'!O122+'дод 3'!O264+'дод 3'!O319</f>
        <v>1349900</v>
      </c>
      <c r="O240" s="49">
        <f>'дод 3'!P59+'дод 3'!P122+'дод 3'!P264+'дод 3'!P319</f>
        <v>4326600</v>
      </c>
    </row>
    <row r="241" spans="1:15" s="52" customFormat="1" ht="20.25" customHeight="1" x14ac:dyDescent="0.25">
      <c r="A241" s="38" t="s">
        <v>133</v>
      </c>
      <c r="B241" s="39"/>
      <c r="C241" s="2" t="s">
        <v>76</v>
      </c>
      <c r="D241" s="48">
        <f t="shared" ref="D241:O241" si="56">D242</f>
        <v>78700</v>
      </c>
      <c r="E241" s="48">
        <f t="shared" si="56"/>
        <v>78700</v>
      </c>
      <c r="F241" s="48">
        <f t="shared" si="56"/>
        <v>0</v>
      </c>
      <c r="G241" s="48">
        <f t="shared" si="56"/>
        <v>0</v>
      </c>
      <c r="H241" s="48">
        <f t="shared" si="56"/>
        <v>0</v>
      </c>
      <c r="I241" s="48">
        <f t="shared" si="56"/>
        <v>0</v>
      </c>
      <c r="J241" s="48">
        <f t="shared" si="56"/>
        <v>0</v>
      </c>
      <c r="K241" s="48">
        <f t="shared" si="56"/>
        <v>0</v>
      </c>
      <c r="L241" s="48">
        <f t="shared" si="56"/>
        <v>0</v>
      </c>
      <c r="M241" s="48">
        <f t="shared" si="56"/>
        <v>0</v>
      </c>
      <c r="N241" s="48">
        <f t="shared" si="56"/>
        <v>0</v>
      </c>
      <c r="O241" s="48">
        <f t="shared" si="56"/>
        <v>78700</v>
      </c>
    </row>
    <row r="242" spans="1:15" s="52" customFormat="1" ht="21" customHeight="1" x14ac:dyDescent="0.25">
      <c r="A242" s="37" t="s">
        <v>255</v>
      </c>
      <c r="B242" s="42" t="s">
        <v>77</v>
      </c>
      <c r="C242" s="3" t="s">
        <v>256</v>
      </c>
      <c r="D242" s="49">
        <f>'дод 3'!E60</f>
        <v>78700</v>
      </c>
      <c r="E242" s="49">
        <f>'дод 3'!F60</f>
        <v>78700</v>
      </c>
      <c r="F242" s="49">
        <f>'дод 3'!G60</f>
        <v>0</v>
      </c>
      <c r="G242" s="49">
        <f>'дод 3'!H60</f>
        <v>0</v>
      </c>
      <c r="H242" s="49">
        <f>'дод 3'!I60</f>
        <v>0</v>
      </c>
      <c r="I242" s="49">
        <f>'дод 3'!J60</f>
        <v>0</v>
      </c>
      <c r="J242" s="49">
        <f>'дод 3'!K60</f>
        <v>0</v>
      </c>
      <c r="K242" s="49">
        <f>'дод 3'!L60</f>
        <v>0</v>
      </c>
      <c r="L242" s="49">
        <f>'дод 3'!M60</f>
        <v>0</v>
      </c>
      <c r="M242" s="49">
        <f>'дод 3'!N60</f>
        <v>0</v>
      </c>
      <c r="N242" s="49">
        <f>'дод 3'!O60</f>
        <v>0</v>
      </c>
      <c r="O242" s="49">
        <f>'дод 3'!P60</f>
        <v>78700</v>
      </c>
    </row>
    <row r="243" spans="1:15" s="52" customFormat="1" ht="21" customHeight="1" x14ac:dyDescent="0.25">
      <c r="A243" s="38" t="s">
        <v>95</v>
      </c>
      <c r="B243" s="38" t="s">
        <v>90</v>
      </c>
      <c r="C243" s="2" t="s">
        <v>11</v>
      </c>
      <c r="D243" s="48">
        <f>'дод 3'!E320</f>
        <v>1086239</v>
      </c>
      <c r="E243" s="48">
        <f>'дод 3'!F320</f>
        <v>1086239</v>
      </c>
      <c r="F243" s="48">
        <f>'дод 3'!G320</f>
        <v>0</v>
      </c>
      <c r="G243" s="48">
        <f>'дод 3'!H320</f>
        <v>0</v>
      </c>
      <c r="H243" s="48">
        <f>'дод 3'!I320</f>
        <v>0</v>
      </c>
      <c r="I243" s="48">
        <f>'дод 3'!J320</f>
        <v>0</v>
      </c>
      <c r="J243" s="48">
        <f>'дод 3'!K320</f>
        <v>0</v>
      </c>
      <c r="K243" s="48">
        <f>'дод 3'!L320</f>
        <v>0</v>
      </c>
      <c r="L243" s="48">
        <f>'дод 3'!M320</f>
        <v>0</v>
      </c>
      <c r="M243" s="48">
        <f>'дод 3'!N320</f>
        <v>0</v>
      </c>
      <c r="N243" s="48">
        <f>'дод 3'!O320</f>
        <v>0</v>
      </c>
      <c r="O243" s="48">
        <f>'дод 3'!P320</f>
        <v>1086239</v>
      </c>
    </row>
    <row r="244" spans="1:15" s="52" customFormat="1" ht="25.5" customHeight="1" x14ac:dyDescent="0.25">
      <c r="A244" s="38">
        <v>8710</v>
      </c>
      <c r="B244" s="38" t="s">
        <v>93</v>
      </c>
      <c r="C244" s="2" t="s">
        <v>517</v>
      </c>
      <c r="D244" s="48">
        <f>'дод 3'!E321</f>
        <v>17756821.34</v>
      </c>
      <c r="E244" s="48">
        <f>'дод 3'!F321</f>
        <v>0</v>
      </c>
      <c r="F244" s="48">
        <f>'дод 3'!G321</f>
        <v>0</v>
      </c>
      <c r="G244" s="48">
        <f>'дод 3'!H321</f>
        <v>0</v>
      </c>
      <c r="H244" s="48">
        <f>'дод 3'!I321</f>
        <v>0</v>
      </c>
      <c r="I244" s="48">
        <f>'дод 3'!J321</f>
        <v>0</v>
      </c>
      <c r="J244" s="48">
        <f>'дод 3'!K321</f>
        <v>0</v>
      </c>
      <c r="K244" s="48">
        <f>'дод 3'!L321</f>
        <v>0</v>
      </c>
      <c r="L244" s="48">
        <f>'дод 3'!M321</f>
        <v>0</v>
      </c>
      <c r="M244" s="48">
        <f>'дод 3'!N321</f>
        <v>0</v>
      </c>
      <c r="N244" s="48">
        <f>'дод 3'!O321</f>
        <v>0</v>
      </c>
      <c r="O244" s="48">
        <f>'дод 3'!P321</f>
        <v>17756821.34</v>
      </c>
    </row>
    <row r="245" spans="1:15" s="52" customFormat="1" ht="24" customHeight="1" x14ac:dyDescent="0.25">
      <c r="A245" s="38" t="s">
        <v>12</v>
      </c>
      <c r="B245" s="38"/>
      <c r="C245" s="2" t="s">
        <v>544</v>
      </c>
      <c r="D245" s="48">
        <f>D247+D249+D253+D257</f>
        <v>190102213</v>
      </c>
      <c r="E245" s="48">
        <f t="shared" ref="E245:O245" si="57">E247+E249+E253+E257</f>
        <v>190102213</v>
      </c>
      <c r="F245" s="48">
        <f t="shared" si="57"/>
        <v>0</v>
      </c>
      <c r="G245" s="48">
        <f t="shared" si="57"/>
        <v>0</v>
      </c>
      <c r="H245" s="48">
        <f t="shared" si="57"/>
        <v>0</v>
      </c>
      <c r="I245" s="48">
        <f t="shared" si="57"/>
        <v>16837739.43</v>
      </c>
      <c r="J245" s="48">
        <f t="shared" si="57"/>
        <v>16837739.43</v>
      </c>
      <c r="K245" s="48">
        <f t="shared" si="57"/>
        <v>0</v>
      </c>
      <c r="L245" s="48">
        <f t="shared" si="57"/>
        <v>0</v>
      </c>
      <c r="M245" s="48">
        <f t="shared" si="57"/>
        <v>0</v>
      </c>
      <c r="N245" s="48">
        <f t="shared" si="57"/>
        <v>16837739.43</v>
      </c>
      <c r="O245" s="48">
        <f t="shared" si="57"/>
        <v>206939952.43000001</v>
      </c>
    </row>
    <row r="246" spans="1:15" s="52" customFormat="1" ht="36.75" customHeight="1" x14ac:dyDescent="0.25">
      <c r="A246" s="38"/>
      <c r="B246" s="38"/>
      <c r="C246" s="76" t="s">
        <v>540</v>
      </c>
      <c r="D246" s="75">
        <f>D250</f>
        <v>693000</v>
      </c>
      <c r="E246" s="75">
        <f t="shared" ref="E246:O246" si="58">E250</f>
        <v>693000</v>
      </c>
      <c r="F246" s="75">
        <f t="shared" si="58"/>
        <v>0</v>
      </c>
      <c r="G246" s="75">
        <f t="shared" si="58"/>
        <v>0</v>
      </c>
      <c r="H246" s="75">
        <f t="shared" si="58"/>
        <v>0</v>
      </c>
      <c r="I246" s="75">
        <f t="shared" si="58"/>
        <v>3307000</v>
      </c>
      <c r="J246" s="75">
        <f t="shared" si="58"/>
        <v>3307000</v>
      </c>
      <c r="K246" s="75">
        <f t="shared" si="58"/>
        <v>0</v>
      </c>
      <c r="L246" s="75">
        <f t="shared" si="58"/>
        <v>0</v>
      </c>
      <c r="M246" s="75">
        <f t="shared" si="58"/>
        <v>0</v>
      </c>
      <c r="N246" s="75">
        <f t="shared" si="58"/>
        <v>3307000</v>
      </c>
      <c r="O246" s="75">
        <f t="shared" si="58"/>
        <v>4000000</v>
      </c>
    </row>
    <row r="247" spans="1:15" s="52" customFormat="1" ht="21.75" customHeight="1" x14ac:dyDescent="0.25">
      <c r="A247" s="38" t="s">
        <v>253</v>
      </c>
      <c r="B247" s="38"/>
      <c r="C247" s="2" t="s">
        <v>298</v>
      </c>
      <c r="D247" s="48">
        <f t="shared" ref="D247:O247" si="59">D248</f>
        <v>100870700</v>
      </c>
      <c r="E247" s="48">
        <f t="shared" si="59"/>
        <v>100870700</v>
      </c>
      <c r="F247" s="48">
        <f t="shared" si="59"/>
        <v>0</v>
      </c>
      <c r="G247" s="48">
        <f t="shared" si="59"/>
        <v>0</v>
      </c>
      <c r="H247" s="48">
        <f t="shared" si="59"/>
        <v>0</v>
      </c>
      <c r="I247" s="48">
        <f t="shared" si="59"/>
        <v>0</v>
      </c>
      <c r="J247" s="48">
        <f t="shared" si="59"/>
        <v>0</v>
      </c>
      <c r="K247" s="48">
        <f t="shared" si="59"/>
        <v>0</v>
      </c>
      <c r="L247" s="48">
        <f t="shared" si="59"/>
        <v>0</v>
      </c>
      <c r="M247" s="48">
        <f t="shared" si="59"/>
        <v>0</v>
      </c>
      <c r="N247" s="48">
        <f t="shared" si="59"/>
        <v>0</v>
      </c>
      <c r="O247" s="48">
        <f t="shared" si="59"/>
        <v>100870700</v>
      </c>
    </row>
    <row r="248" spans="1:15" s="52" customFormat="1" ht="21" customHeight="1" x14ac:dyDescent="0.25">
      <c r="A248" s="37" t="s">
        <v>91</v>
      </c>
      <c r="B248" s="42" t="s">
        <v>45</v>
      </c>
      <c r="C248" s="3" t="s">
        <v>110</v>
      </c>
      <c r="D248" s="49">
        <f>'дод 3'!E322</f>
        <v>100870700</v>
      </c>
      <c r="E248" s="49">
        <f>'дод 3'!F322</f>
        <v>100870700</v>
      </c>
      <c r="F248" s="49">
        <f>'дод 3'!G322</f>
        <v>0</v>
      </c>
      <c r="G248" s="49">
        <f>'дод 3'!H322</f>
        <v>0</v>
      </c>
      <c r="H248" s="49">
        <f>'дод 3'!I322</f>
        <v>0</v>
      </c>
      <c r="I248" s="49">
        <f>'дод 3'!J322</f>
        <v>0</v>
      </c>
      <c r="J248" s="49">
        <f>'дод 3'!K322</f>
        <v>0</v>
      </c>
      <c r="K248" s="49">
        <f>'дод 3'!L322</f>
        <v>0</v>
      </c>
      <c r="L248" s="49">
        <f>'дод 3'!M322</f>
        <v>0</v>
      </c>
      <c r="M248" s="49">
        <f>'дод 3'!N322</f>
        <v>0</v>
      </c>
      <c r="N248" s="49">
        <f>'дод 3'!O322</f>
        <v>0</v>
      </c>
      <c r="O248" s="49">
        <f>'дод 3'!P322</f>
        <v>100870700</v>
      </c>
    </row>
    <row r="249" spans="1:15" s="52" customFormat="1" ht="69" customHeight="1" x14ac:dyDescent="0.25">
      <c r="A249" s="38">
        <v>9300</v>
      </c>
      <c r="B249" s="105"/>
      <c r="C249" s="2" t="s">
        <v>537</v>
      </c>
      <c r="D249" s="48">
        <f>D251</f>
        <v>693000</v>
      </c>
      <c r="E249" s="48">
        <f t="shared" ref="E249:O249" si="60">E251</f>
        <v>693000</v>
      </c>
      <c r="F249" s="48">
        <f t="shared" si="60"/>
        <v>0</v>
      </c>
      <c r="G249" s="48">
        <f t="shared" si="60"/>
        <v>0</v>
      </c>
      <c r="H249" s="48">
        <f t="shared" si="60"/>
        <v>0</v>
      </c>
      <c r="I249" s="48">
        <f t="shared" si="60"/>
        <v>3307000</v>
      </c>
      <c r="J249" s="48">
        <f t="shared" si="60"/>
        <v>3307000</v>
      </c>
      <c r="K249" s="48">
        <f t="shared" si="60"/>
        <v>0</v>
      </c>
      <c r="L249" s="48">
        <f t="shared" si="60"/>
        <v>0</v>
      </c>
      <c r="M249" s="48">
        <f t="shared" si="60"/>
        <v>0</v>
      </c>
      <c r="N249" s="48">
        <f t="shared" si="60"/>
        <v>3307000</v>
      </c>
      <c r="O249" s="48">
        <f t="shared" si="60"/>
        <v>4000000</v>
      </c>
    </row>
    <row r="250" spans="1:15" s="52" customFormat="1" ht="36.75" customHeight="1" x14ac:dyDescent="0.25">
      <c r="A250" s="38"/>
      <c r="B250" s="102"/>
      <c r="C250" s="76" t="s">
        <v>540</v>
      </c>
      <c r="D250" s="75">
        <f>D252</f>
        <v>693000</v>
      </c>
      <c r="E250" s="75">
        <f t="shared" ref="E250:O250" si="61">E252</f>
        <v>693000</v>
      </c>
      <c r="F250" s="75">
        <f t="shared" si="61"/>
        <v>0</v>
      </c>
      <c r="G250" s="75">
        <f t="shared" si="61"/>
        <v>0</v>
      </c>
      <c r="H250" s="75">
        <f t="shared" si="61"/>
        <v>0</v>
      </c>
      <c r="I250" s="75">
        <f t="shared" si="61"/>
        <v>3307000</v>
      </c>
      <c r="J250" s="75">
        <f t="shared" si="61"/>
        <v>3307000</v>
      </c>
      <c r="K250" s="75">
        <f t="shared" si="61"/>
        <v>0</v>
      </c>
      <c r="L250" s="75">
        <f t="shared" si="61"/>
        <v>0</v>
      </c>
      <c r="M250" s="75">
        <f t="shared" si="61"/>
        <v>0</v>
      </c>
      <c r="N250" s="75">
        <f t="shared" si="61"/>
        <v>3307000</v>
      </c>
      <c r="O250" s="75">
        <f t="shared" si="61"/>
        <v>4000000</v>
      </c>
    </row>
    <row r="251" spans="1:15" s="52" customFormat="1" ht="53.25" customHeight="1" x14ac:dyDescent="0.25">
      <c r="A251" s="37">
        <v>9320</v>
      </c>
      <c r="B251" s="102" t="s">
        <v>45</v>
      </c>
      <c r="C251" s="6" t="s">
        <v>538</v>
      </c>
      <c r="D251" s="49">
        <f>'дод 3'!E123</f>
        <v>693000</v>
      </c>
      <c r="E251" s="49">
        <f>'дод 3'!F123</f>
        <v>693000</v>
      </c>
      <c r="F251" s="49">
        <f>'дод 3'!G123</f>
        <v>0</v>
      </c>
      <c r="G251" s="49">
        <f>'дод 3'!H123</f>
        <v>0</v>
      </c>
      <c r="H251" s="49">
        <f>'дод 3'!I123</f>
        <v>0</v>
      </c>
      <c r="I251" s="49">
        <f>'дод 3'!J123</f>
        <v>3307000</v>
      </c>
      <c r="J251" s="49">
        <f>'дод 3'!K123</f>
        <v>3307000</v>
      </c>
      <c r="K251" s="49">
        <f>'дод 3'!L123</f>
        <v>0</v>
      </c>
      <c r="L251" s="49">
        <f>'дод 3'!M123</f>
        <v>0</v>
      </c>
      <c r="M251" s="49">
        <f>'дод 3'!N123</f>
        <v>0</v>
      </c>
      <c r="N251" s="49">
        <f>'дод 3'!O123</f>
        <v>3307000</v>
      </c>
      <c r="O251" s="49">
        <f>'дод 3'!P123</f>
        <v>4000000</v>
      </c>
    </row>
    <row r="252" spans="1:15" s="53" customFormat="1" ht="36.75" customHeight="1" x14ac:dyDescent="0.25">
      <c r="A252" s="77"/>
      <c r="B252" s="104"/>
      <c r="C252" s="86" t="s">
        <v>540</v>
      </c>
      <c r="D252" s="79">
        <f>'дод 3'!E124</f>
        <v>693000</v>
      </c>
      <c r="E252" s="79">
        <f>'дод 3'!F124</f>
        <v>693000</v>
      </c>
      <c r="F252" s="79">
        <f>'дод 3'!G124</f>
        <v>0</v>
      </c>
      <c r="G252" s="79">
        <f>'дод 3'!H124</f>
        <v>0</v>
      </c>
      <c r="H252" s="79">
        <f>'дод 3'!I124</f>
        <v>0</v>
      </c>
      <c r="I252" s="79">
        <f>'дод 3'!J124</f>
        <v>3307000</v>
      </c>
      <c r="J252" s="79">
        <f>'дод 3'!K124</f>
        <v>3307000</v>
      </c>
      <c r="K252" s="79">
        <f>'дод 3'!L124</f>
        <v>0</v>
      </c>
      <c r="L252" s="79">
        <f>'дод 3'!M124</f>
        <v>0</v>
      </c>
      <c r="M252" s="79">
        <f>'дод 3'!N124</f>
        <v>0</v>
      </c>
      <c r="N252" s="79">
        <f>'дод 3'!O124</f>
        <v>3307000</v>
      </c>
      <c r="O252" s="79">
        <f>'дод 3'!P124</f>
        <v>4000000</v>
      </c>
    </row>
    <row r="253" spans="1:15" s="52" customFormat="1" ht="57.75" customHeight="1" x14ac:dyDescent="0.25">
      <c r="A253" s="38" t="s">
        <v>13</v>
      </c>
      <c r="B253" s="105"/>
      <c r="C253" s="2" t="s">
        <v>347</v>
      </c>
      <c r="D253" s="48">
        <f>D254+D255+D256</f>
        <v>86430784</v>
      </c>
      <c r="E253" s="48">
        <f t="shared" ref="E253:O253" si="62">E254+E255+E256</f>
        <v>86430784</v>
      </c>
      <c r="F253" s="48">
        <f t="shared" si="62"/>
        <v>0</v>
      </c>
      <c r="G253" s="48">
        <f t="shared" si="62"/>
        <v>0</v>
      </c>
      <c r="H253" s="48">
        <f t="shared" si="62"/>
        <v>0</v>
      </c>
      <c r="I253" s="48">
        <f t="shared" si="62"/>
        <v>10647739.43</v>
      </c>
      <c r="J253" s="48">
        <f t="shared" si="62"/>
        <v>10647739.43</v>
      </c>
      <c r="K253" s="48">
        <f t="shared" si="62"/>
        <v>0</v>
      </c>
      <c r="L253" s="48">
        <f t="shared" si="62"/>
        <v>0</v>
      </c>
      <c r="M253" s="48">
        <f t="shared" si="62"/>
        <v>0</v>
      </c>
      <c r="N253" s="48">
        <f t="shared" si="62"/>
        <v>10647739.43</v>
      </c>
      <c r="O253" s="48">
        <f t="shared" si="62"/>
        <v>97078523.430000007</v>
      </c>
    </row>
    <row r="254" spans="1:15" s="52" customFormat="1" ht="79.5" customHeight="1" x14ac:dyDescent="0.25">
      <c r="A254" s="92">
        <v>9730</v>
      </c>
      <c r="B254" s="59" t="s">
        <v>45</v>
      </c>
      <c r="C254" s="60" t="s">
        <v>572</v>
      </c>
      <c r="D254" s="49">
        <f>'дод 3'!E265</f>
        <v>0</v>
      </c>
      <c r="E254" s="49">
        <f>'дод 3'!F265</f>
        <v>0</v>
      </c>
      <c r="F254" s="49">
        <f>'дод 3'!G265</f>
        <v>0</v>
      </c>
      <c r="G254" s="49">
        <f>'дод 3'!H265</f>
        <v>0</v>
      </c>
      <c r="H254" s="49">
        <f>'дод 3'!I265</f>
        <v>0</v>
      </c>
      <c r="I254" s="49">
        <f>'дод 3'!J265</f>
        <v>0</v>
      </c>
      <c r="J254" s="49">
        <f>'дод 3'!K265</f>
        <v>0</v>
      </c>
      <c r="K254" s="49">
        <f>'дод 3'!L265</f>
        <v>0</v>
      </c>
      <c r="L254" s="49">
        <f>'дод 3'!M265</f>
        <v>0</v>
      </c>
      <c r="M254" s="49">
        <f>'дод 3'!N265</f>
        <v>0</v>
      </c>
      <c r="N254" s="49">
        <f>'дод 3'!O265</f>
        <v>0</v>
      </c>
      <c r="O254" s="49">
        <f>'дод 3'!P265</f>
        <v>0</v>
      </c>
    </row>
    <row r="255" spans="1:15" ht="33.75" customHeight="1" x14ac:dyDescent="0.25">
      <c r="A255" s="37">
        <v>9750</v>
      </c>
      <c r="B255" s="42" t="s">
        <v>45</v>
      </c>
      <c r="C255" s="60" t="s">
        <v>528</v>
      </c>
      <c r="D255" s="49">
        <f>'дод 3'!E291</f>
        <v>0</v>
      </c>
      <c r="E255" s="49">
        <f>'дод 3'!F291</f>
        <v>0</v>
      </c>
      <c r="F255" s="49">
        <f>'дод 3'!G291</f>
        <v>0</v>
      </c>
      <c r="G255" s="49">
        <f>'дод 3'!H291</f>
        <v>0</v>
      </c>
      <c r="H255" s="49">
        <f>'дод 3'!I291</f>
        <v>0</v>
      </c>
      <c r="I255" s="49">
        <f>'дод 3'!J291</f>
        <v>86000</v>
      </c>
      <c r="J255" s="49">
        <f>'дод 3'!K291</f>
        <v>86000</v>
      </c>
      <c r="K255" s="49">
        <f>'дод 3'!L291</f>
        <v>0</v>
      </c>
      <c r="L255" s="49">
        <f>'дод 3'!M291</f>
        <v>0</v>
      </c>
      <c r="M255" s="49">
        <f>'дод 3'!N291</f>
        <v>0</v>
      </c>
      <c r="N255" s="49">
        <f>'дод 3'!O291</f>
        <v>86000</v>
      </c>
      <c r="O255" s="49">
        <f>'дод 3'!P291</f>
        <v>86000</v>
      </c>
    </row>
    <row r="256" spans="1:15" s="52" customFormat="1" ht="22.5" customHeight="1" x14ac:dyDescent="0.25">
      <c r="A256" s="37" t="s">
        <v>14</v>
      </c>
      <c r="B256" s="42" t="s">
        <v>45</v>
      </c>
      <c r="C256" s="6" t="s">
        <v>356</v>
      </c>
      <c r="D256" s="49">
        <f>'дод 3'!E125+'дод 3'!E162+'дод 3'!E203+'дод 3'!E266+'дод 3'!E61</f>
        <v>86430784</v>
      </c>
      <c r="E256" s="49">
        <f>'дод 3'!F125+'дод 3'!F162+'дод 3'!F203+'дод 3'!F266+'дод 3'!F61</f>
        <v>86430784</v>
      </c>
      <c r="F256" s="49">
        <f>'дод 3'!G125+'дод 3'!G162+'дод 3'!G203+'дод 3'!G266+'дод 3'!G61</f>
        <v>0</v>
      </c>
      <c r="G256" s="49">
        <f>'дод 3'!H125+'дод 3'!H162+'дод 3'!H203+'дод 3'!H266+'дод 3'!H61</f>
        <v>0</v>
      </c>
      <c r="H256" s="49">
        <f>'дод 3'!I125+'дод 3'!I162+'дод 3'!I203+'дод 3'!I266+'дод 3'!I61</f>
        <v>0</v>
      </c>
      <c r="I256" s="49">
        <f>'дод 3'!J125+'дод 3'!J162+'дод 3'!J203+'дод 3'!J266+'дод 3'!J61</f>
        <v>10561739.43</v>
      </c>
      <c r="J256" s="49">
        <f>'дод 3'!K125+'дод 3'!K162+'дод 3'!K203+'дод 3'!K266+'дод 3'!K61</f>
        <v>10561739.43</v>
      </c>
      <c r="K256" s="49">
        <f>'дод 3'!L125+'дод 3'!L162+'дод 3'!L203+'дод 3'!L266+'дод 3'!L61</f>
        <v>0</v>
      </c>
      <c r="L256" s="49">
        <f>'дод 3'!M125+'дод 3'!M162+'дод 3'!M203+'дод 3'!M266+'дод 3'!M61</f>
        <v>0</v>
      </c>
      <c r="M256" s="49">
        <f>'дод 3'!N125+'дод 3'!N162+'дод 3'!N203+'дод 3'!N266+'дод 3'!N61</f>
        <v>0</v>
      </c>
      <c r="N256" s="49">
        <f>'дод 3'!O125+'дод 3'!O162+'дод 3'!O203+'дод 3'!O266+'дод 3'!O61</f>
        <v>10561739.43</v>
      </c>
      <c r="O256" s="49">
        <f>'дод 3'!P125+'дод 3'!P162+'дод 3'!P203+'дод 3'!P266+'дод 3'!P61</f>
        <v>96992523.430000007</v>
      </c>
    </row>
    <row r="257" spans="1:513" s="52" customFormat="1" ht="51" customHeight="1" x14ac:dyDescent="0.25">
      <c r="A257" s="38">
        <v>9800</v>
      </c>
      <c r="B257" s="39" t="s">
        <v>45</v>
      </c>
      <c r="C257" s="9" t="s">
        <v>367</v>
      </c>
      <c r="D257" s="48">
        <f>'дод 3'!E126+'дод 3'!E62</f>
        <v>2107729</v>
      </c>
      <c r="E257" s="48">
        <f>'дод 3'!F126+'дод 3'!F62</f>
        <v>2107729</v>
      </c>
      <c r="F257" s="48">
        <f>'дод 3'!G126+'дод 3'!G62</f>
        <v>0</v>
      </c>
      <c r="G257" s="48">
        <f>'дод 3'!H126+'дод 3'!H62</f>
        <v>0</v>
      </c>
      <c r="H257" s="48">
        <f>'дод 3'!I126+'дод 3'!I62</f>
        <v>0</v>
      </c>
      <c r="I257" s="48">
        <f>'дод 3'!J126+'дод 3'!J62</f>
        <v>2883000</v>
      </c>
      <c r="J257" s="48">
        <f>'дод 3'!K126+'дод 3'!K62</f>
        <v>2883000</v>
      </c>
      <c r="K257" s="48">
        <f>'дод 3'!L126+'дод 3'!L62</f>
        <v>0</v>
      </c>
      <c r="L257" s="48">
        <f>'дод 3'!M126+'дод 3'!M62</f>
        <v>0</v>
      </c>
      <c r="M257" s="48">
        <f>'дод 3'!N126+'дод 3'!N62</f>
        <v>0</v>
      </c>
      <c r="N257" s="48">
        <f>'дод 3'!O126+'дод 3'!O62</f>
        <v>2883000</v>
      </c>
      <c r="O257" s="48">
        <f>'дод 3'!P126+'дод 3'!P62</f>
        <v>4990729</v>
      </c>
    </row>
    <row r="258" spans="1:513" s="52" customFormat="1" ht="18.75" customHeight="1" x14ac:dyDescent="0.25">
      <c r="A258" s="7"/>
      <c r="B258" s="7"/>
      <c r="C258" s="2" t="s">
        <v>408</v>
      </c>
      <c r="D258" s="48">
        <f t="shared" ref="D258:O258" si="63">D17+D24+D79+D100+D141+D146+D155+D167+D229+D245</f>
        <v>2343104951.4900002</v>
      </c>
      <c r="E258" s="48">
        <f t="shared" si="63"/>
        <v>2229828610.8400002</v>
      </c>
      <c r="F258" s="48">
        <f t="shared" si="63"/>
        <v>1078601075</v>
      </c>
      <c r="G258" s="48">
        <f t="shared" si="63"/>
        <v>137315124</v>
      </c>
      <c r="H258" s="48">
        <f t="shared" si="63"/>
        <v>95519519.310000002</v>
      </c>
      <c r="I258" s="48">
        <f t="shared" si="63"/>
        <v>811710587.37999988</v>
      </c>
      <c r="J258" s="48">
        <f t="shared" si="63"/>
        <v>731022742.8599999</v>
      </c>
      <c r="K258" s="48">
        <f t="shared" si="63"/>
        <v>61672501.869999997</v>
      </c>
      <c r="L258" s="48">
        <f t="shared" si="63"/>
        <v>6033355</v>
      </c>
      <c r="M258" s="48">
        <f t="shared" si="63"/>
        <v>266522</v>
      </c>
      <c r="N258" s="48">
        <f t="shared" si="63"/>
        <v>750038085.50999987</v>
      </c>
      <c r="O258" s="48">
        <f t="shared" si="63"/>
        <v>3154815538.8699999</v>
      </c>
    </row>
    <row r="259" spans="1:513" s="53" customFormat="1" ht="18" customHeight="1" x14ac:dyDescent="0.25">
      <c r="A259" s="85"/>
      <c r="B259" s="85"/>
      <c r="C259" s="74" t="s">
        <v>401</v>
      </c>
      <c r="D259" s="75">
        <f t="shared" ref="D259:O259" si="64">D25+D32+D199+D246+D176+D33</f>
        <v>485697135.60000002</v>
      </c>
      <c r="E259" s="75">
        <f t="shared" si="64"/>
        <v>485697135.60000002</v>
      </c>
      <c r="F259" s="75">
        <f t="shared" si="64"/>
        <v>395816000</v>
      </c>
      <c r="G259" s="75">
        <f t="shared" si="64"/>
        <v>0</v>
      </c>
      <c r="H259" s="75">
        <f t="shared" si="64"/>
        <v>0</v>
      </c>
      <c r="I259" s="75">
        <f t="shared" si="64"/>
        <v>41444460.18</v>
      </c>
      <c r="J259" s="75">
        <f t="shared" si="64"/>
        <v>37951510.18</v>
      </c>
      <c r="K259" s="75">
        <f t="shared" si="64"/>
        <v>0</v>
      </c>
      <c r="L259" s="75">
        <f t="shared" si="64"/>
        <v>0</v>
      </c>
      <c r="M259" s="75">
        <f t="shared" si="64"/>
        <v>0</v>
      </c>
      <c r="N259" s="75">
        <f t="shared" si="64"/>
        <v>41444460.18</v>
      </c>
      <c r="O259" s="75">
        <f t="shared" si="64"/>
        <v>527141595.77999997</v>
      </c>
    </row>
    <row r="260" spans="1:513" s="53" customFormat="1" ht="31.5" x14ac:dyDescent="0.25">
      <c r="A260" s="85"/>
      <c r="B260" s="85"/>
      <c r="C260" s="74" t="s">
        <v>402</v>
      </c>
      <c r="D260" s="75">
        <f>D26+D27+D29+D103+D104+D105+D235+D31+D35+D82+D83+D147+D34+D171+D164+D169+D170</f>
        <v>33940606.130000003</v>
      </c>
      <c r="E260" s="75">
        <f t="shared" ref="E260:N260" si="65">E26+E27+E29+E103+E104+E105+E235+E31+E35+E82+E83+E147+E34+E171+E164+E169+E170</f>
        <v>33940606.130000003</v>
      </c>
      <c r="F260" s="75">
        <f t="shared" si="65"/>
        <v>4103499</v>
      </c>
      <c r="G260" s="75">
        <f t="shared" si="65"/>
        <v>0</v>
      </c>
      <c r="H260" s="75">
        <f t="shared" si="65"/>
        <v>0</v>
      </c>
      <c r="I260" s="75">
        <f>I26+I27+I29+I103+I104+I105+I235+I31+I35+I82+I83+I147+I34+I171+I164+I169+I170</f>
        <v>31113850.450000003</v>
      </c>
      <c r="J260" s="75">
        <f t="shared" si="65"/>
        <v>19013850.450000003</v>
      </c>
      <c r="K260" s="75">
        <f t="shared" si="65"/>
        <v>12100000</v>
      </c>
      <c r="L260" s="75">
        <f t="shared" si="65"/>
        <v>0</v>
      </c>
      <c r="M260" s="75">
        <f t="shared" si="65"/>
        <v>0</v>
      </c>
      <c r="N260" s="75">
        <f t="shared" si="65"/>
        <v>19013850.450000003</v>
      </c>
      <c r="O260" s="75">
        <f>O26+O27+O29+O103+O104+O105+O235+O31+O35+O82+O83+O147+O34+O171+O164+O169+O170</f>
        <v>65054456.579999998</v>
      </c>
    </row>
    <row r="261" spans="1:513" s="53" customFormat="1" ht="23.25" customHeight="1" x14ac:dyDescent="0.25">
      <c r="A261" s="70"/>
      <c r="B261" s="70"/>
      <c r="C261" s="82" t="s">
        <v>419</v>
      </c>
      <c r="D261" s="75">
        <f>D172</f>
        <v>0</v>
      </c>
      <c r="E261" s="75">
        <f t="shared" ref="E261:O261" si="66">E172</f>
        <v>0</v>
      </c>
      <c r="F261" s="75">
        <f t="shared" si="66"/>
        <v>0</v>
      </c>
      <c r="G261" s="75">
        <f t="shared" si="66"/>
        <v>0</v>
      </c>
      <c r="H261" s="75">
        <f t="shared" si="66"/>
        <v>0</v>
      </c>
      <c r="I261" s="75">
        <f t="shared" si="66"/>
        <v>127771665.12</v>
      </c>
      <c r="J261" s="75">
        <f t="shared" si="66"/>
        <v>127771665.12</v>
      </c>
      <c r="K261" s="75">
        <f t="shared" si="66"/>
        <v>0</v>
      </c>
      <c r="L261" s="75">
        <f t="shared" si="66"/>
        <v>0</v>
      </c>
      <c r="M261" s="75">
        <f t="shared" si="66"/>
        <v>0</v>
      </c>
      <c r="N261" s="75">
        <f t="shared" si="66"/>
        <v>127771665.12</v>
      </c>
      <c r="O261" s="75">
        <f t="shared" si="66"/>
        <v>127771665.12</v>
      </c>
    </row>
    <row r="262" spans="1:513" s="52" customFormat="1" ht="19.5" customHeight="1" x14ac:dyDescent="0.25">
      <c r="A262" s="63"/>
      <c r="B262" s="63"/>
      <c r="C262" s="64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</row>
    <row r="263" spans="1:513" s="52" customFormat="1" ht="30" customHeight="1" x14ac:dyDescent="0.55000000000000004">
      <c r="A263" s="63"/>
      <c r="B263" s="63"/>
      <c r="C263" s="64"/>
      <c r="D263" s="65"/>
      <c r="E263" s="65"/>
      <c r="F263" s="65"/>
      <c r="G263" s="65"/>
      <c r="H263" s="65"/>
      <c r="I263" s="65"/>
      <c r="J263" s="129"/>
      <c r="K263" s="65"/>
      <c r="L263" s="65"/>
      <c r="M263" s="65"/>
      <c r="N263" s="65"/>
      <c r="O263" s="65"/>
    </row>
    <row r="264" spans="1:513" s="140" customFormat="1" ht="47.25" customHeight="1" x14ac:dyDescent="0.55000000000000004">
      <c r="A264" s="137" t="s">
        <v>614</v>
      </c>
      <c r="B264" s="138"/>
      <c r="C264" s="139"/>
      <c r="D264" s="129"/>
      <c r="E264" s="129"/>
      <c r="F264" s="129"/>
      <c r="G264" s="129"/>
      <c r="H264" s="129"/>
      <c r="I264" s="129"/>
      <c r="J264" s="47"/>
      <c r="K264" s="129"/>
      <c r="L264" s="129" t="s">
        <v>616</v>
      </c>
      <c r="M264" s="130"/>
      <c r="N264" s="130"/>
      <c r="O264" s="130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1"/>
      <c r="AX264" s="141"/>
      <c r="AY264" s="141"/>
      <c r="AZ264" s="141"/>
      <c r="BA264" s="141"/>
      <c r="BB264" s="141"/>
      <c r="BC264" s="141"/>
      <c r="BD264" s="141"/>
      <c r="BE264" s="141"/>
      <c r="BF264" s="141"/>
      <c r="BG264" s="141"/>
      <c r="BH264" s="141"/>
      <c r="BI264" s="141"/>
      <c r="BJ264" s="141"/>
      <c r="BK264" s="141"/>
      <c r="BL264" s="141"/>
      <c r="BM264" s="141"/>
      <c r="BN264" s="141"/>
      <c r="BO264" s="141"/>
      <c r="BP264" s="141"/>
      <c r="BQ264" s="141"/>
      <c r="BR264" s="141"/>
      <c r="BS264" s="141"/>
      <c r="BT264" s="141"/>
      <c r="BU264" s="141"/>
      <c r="BV264" s="141"/>
      <c r="BW264" s="141"/>
      <c r="BX264" s="141"/>
      <c r="BY264" s="141"/>
      <c r="BZ264" s="141"/>
      <c r="CA264" s="141"/>
      <c r="CB264" s="141"/>
      <c r="CC264" s="141"/>
      <c r="CD264" s="141"/>
      <c r="CE264" s="141"/>
      <c r="CF264" s="141"/>
      <c r="CG264" s="141"/>
      <c r="CH264" s="141"/>
      <c r="CI264" s="141"/>
      <c r="CJ264" s="141"/>
      <c r="CK264" s="141"/>
      <c r="CL264" s="141"/>
      <c r="CM264" s="141"/>
      <c r="CN264" s="141"/>
      <c r="CO264" s="141"/>
      <c r="CP264" s="141"/>
      <c r="CQ264" s="141"/>
      <c r="CR264" s="141"/>
      <c r="CS264" s="141"/>
      <c r="CT264" s="141"/>
      <c r="CU264" s="141"/>
      <c r="CV264" s="141"/>
      <c r="CW264" s="141"/>
      <c r="CX264" s="141"/>
      <c r="CY264" s="141"/>
      <c r="CZ264" s="141"/>
      <c r="DA264" s="141"/>
      <c r="DB264" s="141"/>
      <c r="DC264" s="141"/>
      <c r="DD264" s="141"/>
      <c r="DE264" s="141"/>
      <c r="DF264" s="141"/>
      <c r="DG264" s="141"/>
      <c r="DH264" s="141"/>
      <c r="DI264" s="141"/>
      <c r="DJ264" s="141"/>
      <c r="DK264" s="141"/>
      <c r="DL264" s="141"/>
      <c r="DM264" s="141"/>
      <c r="DN264" s="141"/>
      <c r="DO264" s="141"/>
      <c r="DP264" s="141"/>
      <c r="DQ264" s="141"/>
      <c r="DR264" s="141"/>
      <c r="DS264" s="141"/>
      <c r="DT264" s="141"/>
      <c r="DU264" s="141"/>
      <c r="DV264" s="141"/>
      <c r="DW264" s="141"/>
      <c r="DX264" s="141"/>
      <c r="DY264" s="141"/>
      <c r="DZ264" s="141"/>
      <c r="EA264" s="141"/>
      <c r="EB264" s="141"/>
      <c r="EC264" s="141"/>
      <c r="ED264" s="141"/>
      <c r="EE264" s="141"/>
      <c r="EF264" s="141"/>
      <c r="EG264" s="141"/>
      <c r="EH264" s="141"/>
      <c r="EI264" s="141"/>
      <c r="EJ264" s="141"/>
      <c r="EK264" s="141"/>
      <c r="EL264" s="141"/>
      <c r="EM264" s="141"/>
      <c r="EN264" s="141"/>
      <c r="EO264" s="141"/>
      <c r="EP264" s="141"/>
      <c r="EQ264" s="141"/>
      <c r="ER264" s="141"/>
      <c r="ES264" s="141"/>
      <c r="ET264" s="141"/>
      <c r="EU264" s="141"/>
      <c r="EV264" s="141"/>
      <c r="EW264" s="141"/>
      <c r="EX264" s="141"/>
      <c r="EY264" s="141"/>
      <c r="EZ264" s="141"/>
      <c r="FA264" s="141"/>
      <c r="FB264" s="141"/>
      <c r="FC264" s="141"/>
      <c r="FD264" s="141"/>
      <c r="FE264" s="141"/>
      <c r="FF264" s="141"/>
      <c r="FG264" s="141"/>
      <c r="FH264" s="141"/>
      <c r="FI264" s="141"/>
      <c r="FJ264" s="141"/>
      <c r="FK264" s="141"/>
      <c r="FL264" s="141"/>
      <c r="FM264" s="141"/>
      <c r="FN264" s="141"/>
      <c r="FO264" s="141"/>
      <c r="FP264" s="141"/>
      <c r="FQ264" s="141"/>
      <c r="FR264" s="141"/>
      <c r="FS264" s="141"/>
      <c r="FT264" s="141"/>
      <c r="FU264" s="141"/>
      <c r="FV264" s="141"/>
      <c r="FW264" s="141"/>
      <c r="FX264" s="141"/>
      <c r="FY264" s="141"/>
      <c r="FZ264" s="141"/>
      <c r="GA264" s="141"/>
      <c r="GB264" s="141"/>
      <c r="GC264" s="141"/>
      <c r="GD264" s="141"/>
      <c r="GE264" s="141"/>
      <c r="GF264" s="141"/>
      <c r="GG264" s="141"/>
      <c r="GH264" s="141"/>
      <c r="GI264" s="141"/>
      <c r="GJ264" s="141"/>
      <c r="GK264" s="141"/>
      <c r="GL264" s="141"/>
      <c r="GM264" s="141"/>
      <c r="GN264" s="141"/>
      <c r="GO264" s="141"/>
      <c r="GP264" s="141"/>
      <c r="GQ264" s="141"/>
      <c r="GR264" s="141"/>
      <c r="GS264" s="141"/>
      <c r="GT264" s="141"/>
      <c r="GU264" s="141"/>
      <c r="GV264" s="141"/>
      <c r="GW264" s="141"/>
      <c r="GX264" s="141"/>
      <c r="GY264" s="141"/>
      <c r="GZ264" s="141"/>
      <c r="HA264" s="141"/>
      <c r="HB264" s="141"/>
      <c r="HC264" s="141"/>
      <c r="HD264" s="141"/>
      <c r="HE264" s="141"/>
      <c r="HF264" s="141"/>
      <c r="HG264" s="141"/>
      <c r="HH264" s="141"/>
      <c r="HI264" s="141"/>
      <c r="HJ264" s="141"/>
      <c r="HK264" s="141"/>
      <c r="HL264" s="141"/>
      <c r="HM264" s="141"/>
      <c r="HN264" s="141"/>
      <c r="HO264" s="141"/>
      <c r="HP264" s="141"/>
      <c r="HQ264" s="141"/>
      <c r="HR264" s="141"/>
      <c r="HS264" s="141"/>
      <c r="HT264" s="141"/>
      <c r="HU264" s="141"/>
      <c r="HV264" s="141"/>
      <c r="HW264" s="141"/>
      <c r="HX264" s="141"/>
      <c r="HY264" s="141"/>
      <c r="HZ264" s="141"/>
      <c r="IA264" s="141"/>
      <c r="IB264" s="141"/>
      <c r="IC264" s="141"/>
      <c r="ID264" s="141"/>
      <c r="IE264" s="141"/>
      <c r="IF264" s="141"/>
      <c r="IG264" s="141"/>
      <c r="IH264" s="141"/>
      <c r="II264" s="141"/>
      <c r="IJ264" s="141"/>
      <c r="IK264" s="141"/>
      <c r="IL264" s="141"/>
      <c r="IM264" s="141"/>
      <c r="IN264" s="141"/>
      <c r="IO264" s="141"/>
      <c r="IP264" s="141"/>
      <c r="IQ264" s="141"/>
      <c r="IR264" s="141"/>
      <c r="IS264" s="141"/>
      <c r="IT264" s="141"/>
      <c r="IU264" s="141"/>
      <c r="IV264" s="141"/>
      <c r="IW264" s="141"/>
      <c r="IX264" s="141"/>
      <c r="IY264" s="141"/>
      <c r="IZ264" s="141"/>
      <c r="JA264" s="141"/>
      <c r="JB264" s="141"/>
      <c r="JC264" s="141"/>
      <c r="JD264" s="141"/>
      <c r="JE264" s="141"/>
      <c r="JF264" s="141"/>
      <c r="JG264" s="141"/>
      <c r="JH264" s="141"/>
      <c r="JI264" s="141"/>
      <c r="JJ264" s="141"/>
      <c r="JK264" s="141"/>
      <c r="JL264" s="141"/>
      <c r="JM264" s="141"/>
      <c r="JN264" s="141"/>
      <c r="JO264" s="141"/>
      <c r="JP264" s="141"/>
      <c r="JQ264" s="141"/>
      <c r="JR264" s="141"/>
      <c r="JS264" s="141"/>
      <c r="JT264" s="141"/>
      <c r="JU264" s="141"/>
      <c r="JV264" s="141"/>
      <c r="JW264" s="141"/>
      <c r="JX264" s="141"/>
      <c r="JY264" s="141"/>
      <c r="JZ264" s="141"/>
      <c r="KA264" s="141"/>
      <c r="KB264" s="141"/>
      <c r="KC264" s="141"/>
      <c r="KD264" s="141"/>
      <c r="KE264" s="141"/>
      <c r="KF264" s="141"/>
      <c r="KG264" s="141"/>
      <c r="KH264" s="141"/>
      <c r="KI264" s="141"/>
      <c r="KJ264" s="141"/>
      <c r="KK264" s="141"/>
      <c r="KL264" s="141"/>
      <c r="KM264" s="141"/>
      <c r="KN264" s="141"/>
      <c r="KO264" s="141"/>
      <c r="KP264" s="141"/>
      <c r="KQ264" s="141"/>
      <c r="KR264" s="141"/>
      <c r="KS264" s="141"/>
      <c r="KT264" s="141"/>
      <c r="KU264" s="141"/>
      <c r="KV264" s="141"/>
      <c r="KW264" s="141"/>
      <c r="KX264" s="141"/>
      <c r="KY264" s="141"/>
      <c r="KZ264" s="141"/>
      <c r="LA264" s="141"/>
      <c r="LB264" s="141"/>
      <c r="LC264" s="141"/>
      <c r="LD264" s="141"/>
      <c r="LE264" s="141"/>
      <c r="LF264" s="141"/>
      <c r="LG264" s="141"/>
      <c r="LH264" s="141"/>
      <c r="LI264" s="141"/>
      <c r="LJ264" s="141"/>
      <c r="LK264" s="141"/>
      <c r="LL264" s="141"/>
      <c r="LM264" s="141"/>
      <c r="LN264" s="141"/>
      <c r="LO264" s="141"/>
      <c r="LP264" s="141"/>
      <c r="LQ264" s="141"/>
      <c r="LR264" s="141"/>
      <c r="LS264" s="141"/>
      <c r="LT264" s="141"/>
      <c r="LU264" s="141"/>
      <c r="LV264" s="141"/>
      <c r="LW264" s="141"/>
      <c r="LX264" s="141"/>
      <c r="LY264" s="141"/>
      <c r="LZ264" s="141"/>
      <c r="MA264" s="141"/>
      <c r="MB264" s="141"/>
      <c r="MC264" s="141"/>
      <c r="MD264" s="141"/>
      <c r="ME264" s="141"/>
      <c r="MF264" s="141"/>
      <c r="MG264" s="141"/>
      <c r="MH264" s="141"/>
      <c r="MI264" s="141"/>
      <c r="MJ264" s="141"/>
      <c r="MK264" s="141"/>
      <c r="ML264" s="141"/>
      <c r="MM264" s="141"/>
      <c r="MN264" s="141"/>
      <c r="MO264" s="141"/>
      <c r="MP264" s="141"/>
      <c r="MQ264" s="141"/>
      <c r="MR264" s="141"/>
      <c r="MS264" s="141"/>
      <c r="MT264" s="141"/>
      <c r="MU264" s="141"/>
      <c r="MV264" s="141"/>
      <c r="MW264" s="141"/>
      <c r="MX264" s="141"/>
      <c r="MY264" s="141"/>
      <c r="MZ264" s="141"/>
      <c r="NA264" s="141"/>
      <c r="NB264" s="141"/>
      <c r="NC264" s="141"/>
      <c r="ND264" s="141"/>
      <c r="NE264" s="141"/>
      <c r="NF264" s="141"/>
      <c r="NG264" s="141"/>
      <c r="NH264" s="141"/>
      <c r="NI264" s="141"/>
      <c r="NJ264" s="141"/>
      <c r="NK264" s="141"/>
      <c r="NL264" s="141"/>
      <c r="NM264" s="141"/>
      <c r="NN264" s="141"/>
      <c r="NO264" s="141"/>
      <c r="NP264" s="141"/>
      <c r="NQ264" s="141"/>
      <c r="NR264" s="141"/>
      <c r="NS264" s="141"/>
      <c r="NT264" s="141"/>
      <c r="NU264" s="141"/>
      <c r="NV264" s="141"/>
      <c r="NW264" s="141"/>
      <c r="NX264" s="141"/>
      <c r="NY264" s="141"/>
      <c r="NZ264" s="141"/>
      <c r="OA264" s="141"/>
      <c r="OB264" s="141"/>
      <c r="OC264" s="141"/>
      <c r="OD264" s="141"/>
      <c r="OE264" s="141"/>
      <c r="OF264" s="141"/>
      <c r="OG264" s="141"/>
      <c r="OH264" s="141"/>
      <c r="OI264" s="141"/>
      <c r="OJ264" s="141"/>
      <c r="OK264" s="141"/>
      <c r="OL264" s="141"/>
      <c r="OM264" s="141"/>
      <c r="ON264" s="141"/>
      <c r="OO264" s="141"/>
      <c r="OP264" s="141"/>
      <c r="OQ264" s="141"/>
      <c r="OR264" s="141"/>
      <c r="OS264" s="141"/>
      <c r="OT264" s="141"/>
      <c r="OU264" s="141"/>
      <c r="OV264" s="141"/>
      <c r="OW264" s="141"/>
      <c r="OX264" s="141"/>
      <c r="OY264" s="141"/>
      <c r="OZ264" s="141"/>
      <c r="PA264" s="141"/>
      <c r="PB264" s="141"/>
      <c r="PC264" s="141"/>
      <c r="PD264" s="141"/>
      <c r="PE264" s="141"/>
      <c r="PF264" s="141"/>
      <c r="PG264" s="141"/>
      <c r="PH264" s="141"/>
      <c r="PI264" s="141"/>
      <c r="PJ264" s="141"/>
      <c r="PK264" s="141"/>
      <c r="PL264" s="141"/>
      <c r="PM264" s="141"/>
      <c r="PN264" s="141"/>
      <c r="PO264" s="141"/>
      <c r="PP264" s="141"/>
      <c r="PQ264" s="141"/>
      <c r="PR264" s="141"/>
      <c r="PS264" s="141"/>
      <c r="PT264" s="141"/>
      <c r="PU264" s="141"/>
      <c r="PV264" s="141"/>
      <c r="PW264" s="141"/>
      <c r="PX264" s="141"/>
      <c r="PY264" s="141"/>
      <c r="PZ264" s="141"/>
      <c r="QA264" s="141"/>
      <c r="QB264" s="141"/>
      <c r="QC264" s="141"/>
      <c r="QD264" s="141"/>
      <c r="QE264" s="141"/>
      <c r="QF264" s="141"/>
      <c r="QG264" s="141"/>
      <c r="QH264" s="141"/>
      <c r="QI264" s="141"/>
      <c r="QJ264" s="141"/>
      <c r="QK264" s="141"/>
      <c r="QL264" s="141"/>
      <c r="QM264" s="141"/>
      <c r="QN264" s="141"/>
      <c r="QO264" s="141"/>
      <c r="QP264" s="141"/>
      <c r="QQ264" s="141"/>
      <c r="QR264" s="141"/>
      <c r="QS264" s="141"/>
      <c r="QT264" s="141"/>
      <c r="QU264" s="141"/>
      <c r="QV264" s="141"/>
      <c r="QW264" s="141"/>
      <c r="QX264" s="141"/>
      <c r="QY264" s="141"/>
      <c r="QZ264" s="141"/>
      <c r="RA264" s="141"/>
      <c r="RB264" s="141"/>
      <c r="RC264" s="141"/>
      <c r="RD264" s="141"/>
      <c r="RE264" s="141"/>
      <c r="RF264" s="141"/>
      <c r="RG264" s="141"/>
      <c r="RH264" s="141"/>
      <c r="RI264" s="141"/>
      <c r="RJ264" s="141"/>
      <c r="RK264" s="141"/>
      <c r="RL264" s="141"/>
      <c r="RM264" s="141"/>
      <c r="RN264" s="141"/>
      <c r="RO264" s="141"/>
      <c r="RP264" s="141"/>
      <c r="RQ264" s="141"/>
      <c r="RR264" s="141"/>
      <c r="RS264" s="141"/>
      <c r="RT264" s="141"/>
      <c r="RU264" s="141"/>
      <c r="RV264" s="141"/>
      <c r="RW264" s="141"/>
      <c r="RX264" s="141"/>
      <c r="RY264" s="141"/>
      <c r="RZ264" s="141"/>
      <c r="SA264" s="141"/>
      <c r="SB264" s="141"/>
      <c r="SC264" s="141"/>
      <c r="SD264" s="141"/>
      <c r="SE264" s="141"/>
      <c r="SF264" s="141"/>
      <c r="SG264" s="141"/>
      <c r="SH264" s="141"/>
      <c r="SI264" s="141"/>
      <c r="SJ264" s="141"/>
      <c r="SK264" s="141"/>
      <c r="SL264" s="141"/>
      <c r="SM264" s="141"/>
      <c r="SN264" s="141"/>
      <c r="SO264" s="141"/>
      <c r="SP264" s="141"/>
      <c r="SQ264" s="141"/>
      <c r="SR264" s="141"/>
      <c r="SS264" s="141"/>
    </row>
    <row r="265" spans="1:513" s="28" customFormat="1" ht="22.5" customHeight="1" x14ac:dyDescent="0.45">
      <c r="A265" s="56"/>
      <c r="B265" s="61"/>
      <c r="C265" s="61"/>
      <c r="D265" s="35"/>
      <c r="E265" s="47"/>
      <c r="F265" s="47"/>
      <c r="G265" s="47"/>
      <c r="H265" s="47"/>
      <c r="I265" s="47"/>
      <c r="J265" s="132"/>
      <c r="K265" s="47"/>
      <c r="L265" s="47"/>
      <c r="M265" s="47"/>
      <c r="N265" s="47"/>
      <c r="O265" s="47"/>
    </row>
    <row r="266" spans="1:513" s="133" customFormat="1" ht="31.5" x14ac:dyDescent="0.45">
      <c r="A266" s="131" t="s">
        <v>627</v>
      </c>
      <c r="B266" s="131"/>
      <c r="C266" s="131"/>
      <c r="D266" s="131"/>
      <c r="E266" s="132"/>
      <c r="F266" s="132"/>
      <c r="G266" s="132"/>
      <c r="H266" s="132"/>
      <c r="I266" s="132"/>
      <c r="J266" s="124"/>
      <c r="K266" s="132"/>
      <c r="L266" s="132"/>
      <c r="M266" s="132"/>
      <c r="N266" s="132"/>
      <c r="O266" s="132"/>
    </row>
    <row r="267" spans="1:513" s="125" customFormat="1" ht="25.5" customHeight="1" x14ac:dyDescent="0.4">
      <c r="A267" s="159"/>
      <c r="B267" s="159"/>
      <c r="C267" s="126"/>
      <c r="D267" s="151"/>
      <c r="E267" s="124"/>
      <c r="F267" s="124"/>
      <c r="G267" s="124"/>
      <c r="H267" s="124"/>
      <c r="I267" s="124"/>
      <c r="J267" s="127"/>
      <c r="K267" s="124"/>
      <c r="L267" s="124"/>
      <c r="M267" s="124"/>
      <c r="N267" s="124"/>
      <c r="O267" s="124"/>
    </row>
  </sheetData>
  <mergeCells count="25">
    <mergeCell ref="J1:O1"/>
    <mergeCell ref="A10:O10"/>
    <mergeCell ref="B14:B16"/>
    <mergeCell ref="C14:C16"/>
    <mergeCell ref="A14:A16"/>
    <mergeCell ref="D15:D16"/>
    <mergeCell ref="E15:E16"/>
    <mergeCell ref="F15:G15"/>
    <mergeCell ref="K15:K16"/>
    <mergeCell ref="H15:H16"/>
    <mergeCell ref="I15:I16"/>
    <mergeCell ref="L15:M15"/>
    <mergeCell ref="N15:N16"/>
    <mergeCell ref="D14:H14"/>
    <mergeCell ref="J3:O3"/>
    <mergeCell ref="J15:J16"/>
    <mergeCell ref="A267:B267"/>
    <mergeCell ref="O14:O16"/>
    <mergeCell ref="J4:O4"/>
    <mergeCell ref="J5:O5"/>
    <mergeCell ref="J6:O6"/>
    <mergeCell ref="J8:O8"/>
    <mergeCell ref="I14:N14"/>
    <mergeCell ref="A11:O11"/>
    <mergeCell ref="A12:O12"/>
  </mergeCells>
  <phoneticPr fontId="3" type="noConversion"/>
  <printOptions horizontalCentered="1"/>
  <pageMargins left="0" right="0" top="0.86614173228346458" bottom="0.59055118110236227" header="0" footer="0.31496062992125984"/>
  <pageSetup paperSize="9" scale="44" fitToHeight="100" orientation="landscape" verticalDpi="300" r:id="rId1"/>
  <headerFooter scaleWithDoc="0" alignWithMargins="0">
    <oddHeader xml:space="preserve">&amp;R
</oddHeader>
    <oddFooter>&amp;R&amp;9Сторінка &amp;P</oddFooter>
  </headerFooter>
  <rowBreaks count="2" manualBreakCount="2">
    <brk id="196" max="14" man="1"/>
    <brk id="2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7</vt:lpstr>
      <vt:lpstr>'дод 3'!Заголовки_для_печати</vt:lpstr>
      <vt:lpstr>'дод 7'!Заголовки_для_печати</vt:lpstr>
      <vt:lpstr>'дод 3'!Область_печати</vt:lpstr>
      <vt:lpstr>'дод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2021-12-16T06:21:42Z</cp:lastPrinted>
  <dcterms:created xsi:type="dcterms:W3CDTF">2014-01-17T10:52:16Z</dcterms:created>
  <dcterms:modified xsi:type="dcterms:W3CDTF">2021-12-16T06:24:46Z</dcterms:modified>
</cp:coreProperties>
</file>