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Tkachenko7\Входящие\2021\Зміни на травень-червень 2021\проєкт СМР\Доопрацьоване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4" i="1"/>
  <c r="H34" i="1"/>
  <c r="I42" i="1" l="1"/>
  <c r="H42" i="1"/>
  <c r="G34" i="1" l="1"/>
  <c r="E53" i="1"/>
  <c r="I37" i="1"/>
  <c r="F36" i="1"/>
  <c r="G36" i="1"/>
  <c r="E36" i="1"/>
  <c r="F34" i="1"/>
  <c r="E34" i="1"/>
  <c r="I36" i="1" l="1"/>
  <c r="O54" i="1" l="1"/>
  <c r="O52" i="1"/>
  <c r="M52" i="1"/>
  <c r="L52" i="1"/>
  <c r="K52" i="1"/>
  <c r="I43" i="1"/>
  <c r="O43" i="1" s="1"/>
  <c r="K43" i="1"/>
  <c r="O37" i="1"/>
  <c r="M37" i="1"/>
  <c r="L37" i="1"/>
  <c r="K37" i="1"/>
  <c r="L35" i="1"/>
  <c r="L33" i="1"/>
  <c r="K32" i="1"/>
  <c r="K31" i="1"/>
  <c r="K26" i="1"/>
  <c r="K25" i="1"/>
  <c r="M25" i="1"/>
  <c r="L24" i="1"/>
  <c r="M23" i="1"/>
  <c r="L22" i="1"/>
  <c r="L21" i="1"/>
  <c r="M21" i="1"/>
  <c r="K21" i="1"/>
  <c r="K20" i="1"/>
  <c r="H20" i="1"/>
  <c r="G20" i="1"/>
  <c r="K18" i="1"/>
  <c r="M17" i="1"/>
  <c r="L16" i="1"/>
  <c r="K16" i="1"/>
  <c r="L15" i="1"/>
  <c r="M15" i="1"/>
  <c r="K15" i="1"/>
  <c r="L14" i="1"/>
  <c r="M13" i="1"/>
  <c r="L13" i="1"/>
  <c r="H15" i="1" l="1"/>
  <c r="H40" i="1"/>
  <c r="G40" i="1"/>
  <c r="H16" i="1"/>
  <c r="G16" i="1"/>
  <c r="I35" i="1"/>
  <c r="G35" i="1"/>
  <c r="G24" i="1"/>
  <c r="H24" i="1" s="1"/>
  <c r="I24" i="1" s="1"/>
  <c r="I22" i="1"/>
  <c r="G22" i="1"/>
  <c r="H22" i="1" s="1"/>
  <c r="H17" i="1"/>
  <c r="I17" i="1" s="1"/>
  <c r="G17" i="1"/>
  <c r="G19" i="1"/>
  <c r="H19" i="1"/>
  <c r="I19" i="1" s="1"/>
  <c r="I13" i="1"/>
  <c r="G13" i="1"/>
  <c r="H13" i="1"/>
  <c r="H45" i="1"/>
  <c r="I45" i="1" s="1"/>
  <c r="H48" i="1"/>
  <c r="G41" i="1"/>
  <c r="H41" i="1" s="1"/>
  <c r="I41" i="1" s="1"/>
  <c r="G39" i="1"/>
  <c r="H39" i="1" s="1"/>
  <c r="H35" i="1"/>
  <c r="H14" i="1"/>
  <c r="G25" i="1"/>
  <c r="H25" i="1" s="1"/>
  <c r="I25" i="1" s="1"/>
  <c r="G32" i="1" l="1"/>
  <c r="G26" i="1"/>
  <c r="H26" i="1" s="1"/>
  <c r="I26" i="1" s="1"/>
  <c r="H32" i="1"/>
  <c r="I32" i="1" s="1"/>
  <c r="G31" i="1" l="1"/>
  <c r="H31" i="1" s="1"/>
  <c r="I31" i="1" s="1"/>
  <c r="H37" i="1" l="1"/>
  <c r="H54" i="1" s="1"/>
  <c r="G37" i="1"/>
  <c r="G54" i="1" s="1"/>
  <c r="F37" i="1"/>
  <c r="F54" i="1" s="1"/>
  <c r="I54" i="1"/>
  <c r="E37" i="1"/>
  <c r="E54" i="1" s="1"/>
  <c r="G47" i="1"/>
  <c r="H47" i="1" s="1"/>
  <c r="I47" i="1" s="1"/>
  <c r="I15" i="1" l="1"/>
  <c r="G15" i="1"/>
  <c r="F52" i="1"/>
  <c r="E52" i="1"/>
  <c r="G46" i="1"/>
  <c r="F43" i="1"/>
  <c r="E43" i="1"/>
  <c r="G18" i="1"/>
  <c r="I16" i="1" l="1"/>
  <c r="G51" i="1"/>
  <c r="H51" i="1" s="1"/>
  <c r="I51" i="1" s="1"/>
  <c r="G50" i="1"/>
  <c r="H50" i="1" s="1"/>
  <c r="I50" i="1" s="1"/>
  <c r="G49" i="1"/>
  <c r="H49" i="1" s="1"/>
  <c r="I49" i="1" s="1"/>
  <c r="I48" i="1"/>
  <c r="G48" i="1"/>
  <c r="G45" i="1"/>
  <c r="I40" i="1"/>
  <c r="G42" i="1"/>
  <c r="G33" i="1"/>
  <c r="H33" i="1" s="1"/>
  <c r="I33" i="1" s="1"/>
  <c r="G27" i="1"/>
  <c r="G21" i="1"/>
  <c r="H21" i="1" s="1"/>
  <c r="I21" i="1" s="1"/>
  <c r="H18" i="1"/>
  <c r="I18" i="1" s="1"/>
  <c r="G30" i="1"/>
  <c r="H30" i="1" s="1"/>
  <c r="I30" i="1" s="1"/>
  <c r="M30" i="1" s="1"/>
  <c r="G23" i="1"/>
  <c r="H23" i="1" s="1"/>
  <c r="I23" i="1" s="1"/>
  <c r="G29" i="1"/>
  <c r="H29" i="1" s="1"/>
  <c r="I29" i="1" s="1"/>
  <c r="M29" i="1" s="1"/>
  <c r="G28" i="1"/>
  <c r="H28" i="1" s="1"/>
  <c r="I28" i="1" s="1"/>
  <c r="M28" i="1" s="1"/>
  <c r="F53" i="1"/>
  <c r="K36" i="1" l="1"/>
  <c r="I14" i="1"/>
  <c r="H27" i="1"/>
  <c r="G52" i="1"/>
  <c r="H43" i="1"/>
  <c r="L43" i="1" s="1"/>
  <c r="M43" i="1" s="1"/>
  <c r="G43" i="1"/>
  <c r="H46" i="1"/>
  <c r="I20" i="1"/>
  <c r="L36" i="1" l="1"/>
  <c r="I46" i="1"/>
  <c r="I52" i="1" s="1"/>
  <c r="H52" i="1"/>
  <c r="H53" i="1" s="1"/>
  <c r="G53" i="1"/>
  <c r="K54" i="1" s="1"/>
  <c r="I27" i="1"/>
  <c r="M27" i="1" s="1"/>
  <c r="I39" i="1"/>
  <c r="I53" i="1" l="1"/>
  <c r="O53" i="1" s="1"/>
  <c r="O36" i="1" l="1"/>
  <c r="M36" i="1"/>
</calcChain>
</file>

<file path=xl/sharedStrings.xml><?xml version="1.0" encoding="utf-8"?>
<sst xmlns="http://schemas.openxmlformats.org/spreadsheetml/2006/main" count="174" uniqueCount="83">
  <si>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</si>
  <si>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</si>
  <si>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</si>
  <si>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</si>
  <si>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</si>
  <si>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</si>
  <si>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</si>
  <si>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</si>
  <si>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</si>
  <si>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</si>
  <si>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</si>
  <si>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</si>
  <si>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</si>
  <si>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</si>
  <si>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</si>
  <si>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</si>
  <si>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</si>
  <si>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</si>
  <si>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</si>
  <si>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</si>
  <si>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</si>
  <si>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</si>
  <si>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</si>
  <si>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</si>
  <si>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</si>
  <si>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</si>
  <si>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</si>
  <si>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</si>
  <si>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</si>
  <si>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</si>
  <si>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</si>
  <si>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</si>
  <si>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</si>
  <si>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</si>
  <si>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</si>
  <si>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</si>
  <si>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</si>
  <si>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</si>
  <si>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</si>
  <si>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</si>
  <si>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</si>
  <si>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</si>
  <si>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</si>
  <si>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</si>
  <si>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</si>
  <si>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</si>
  <si>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</si>
  <si>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</si>
  <si>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</si>
  <si>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</si>
  <si>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</si>
  <si>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</si>
  <si>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</si>
  <si>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Електрична енергія</t>
  </si>
  <si>
    <t>МВт*год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</si>
  <si>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</si>
  <si>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</si>
  <si>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</si>
  <si>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</si>
  <si>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 xml:space="preserve">Сумський міський голова </t>
  </si>
  <si>
    <t>О.М. Лисенко</t>
  </si>
  <si>
    <t>Виконавець: Липова С.А.</t>
  </si>
  <si>
    <t>ДНЗ №35 "Дюймовочка" с.Піщане, вул.Кооперативна, 2</t>
  </si>
  <si>
    <t>Сумський ДНЗ № 15 "Перлинка", вул. Нахімова, 17</t>
  </si>
  <si>
    <t>Сумський ДНЗ №39 "Теремок", по вул.Металургів, 7/А</t>
  </si>
  <si>
    <t>Сумський міський центр еколого-натуралістичної творчості учнівської молоді по вул. Харківська, 13</t>
  </si>
  <si>
    <t>Сумський ДНЗ №2 "Ясочка" по вул.Інтернаціоналістів, 39</t>
  </si>
  <si>
    <t>Сумський ДНЗ №7 "Попелюшка" по вул.вул. Римського-Корсакова 18а</t>
  </si>
  <si>
    <t>КУ Сумський НВК № 34 СМР по вул. Раскової, 130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</si>
  <si>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</si>
  <si>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</si>
  <si>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</si>
  <si>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</si>
  <si>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</si>
  <si>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</si>
  <si>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</si>
  <si>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</si>
  <si>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</si>
  <si>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</si>
  <si>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</si>
  <si>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</si>
  <si>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</si>
  <si>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 xml:space="preserve">від 14 липня 2021 року № 1242 -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</si>
</sst>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4" fontId="1" fillId="0" borderId="0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7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0"/>
  <sheetViews>
    <sheetView tabSelected="1" view="pageBreakPreview" topLeftCell="A13" zoomScale="30" zoomScaleNormal="100" zoomScaleSheetLayoutView="30" workbookViewId="0">
      <selection activeCell="B18" sqref="B18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8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20"/>
      <c r="D2" s="16"/>
      <c r="E2" s="16"/>
      <c r="F2" s="16"/>
      <c r="G2" s="16"/>
      <c r="H2" s="16"/>
      <c r="I2" s="16"/>
    </row>
    <row r="3" spans="1:13" ht="15" customHeight="1" x14ac:dyDescent="0.25">
      <c r="D3" s="17"/>
      <c r="E3" s="65" t="s">
        <v>21</v>
      </c>
      <c r="F3" s="65"/>
      <c r="G3" s="65"/>
      <c r="H3" s="65"/>
      <c r="I3" s="65"/>
    </row>
    <row r="4" spans="1:13" ht="15" customHeight="1" x14ac:dyDescent="0.25">
      <c r="D4" s="17"/>
      <c r="E4" s="65"/>
      <c r="F4" s="65"/>
      <c r="G4" s="65"/>
      <c r="H4" s="65"/>
      <c r="I4" s="65"/>
    </row>
    <row r="5" spans="1:13" ht="15" customHeight="1" x14ac:dyDescent="0.25">
      <c r="D5" s="17"/>
      <c r="E5" s="65"/>
      <c r="F5" s="65"/>
      <c r="G5" s="65"/>
      <c r="H5" s="65"/>
      <c r="I5" s="65"/>
    </row>
    <row r="6" spans="1:13" ht="259.5" customHeight="1" x14ac:dyDescent="0.25">
      <c r="D6" s="17"/>
      <c r="E6" s="21"/>
      <c r="F6" s="81" t="s">
        <v>81</v>
      </c>
      <c r="G6" s="81"/>
      <c r="H6" s="81"/>
      <c r="I6" s="81"/>
    </row>
    <row r="7" spans="1:13" ht="37.5" customHeight="1" x14ac:dyDescent="0.45">
      <c r="D7" s="18"/>
      <c r="E7" s="15"/>
      <c r="F7" s="83" t="s">
        <v>82</v>
      </c>
      <c r="G7" s="15"/>
      <c r="H7" s="15"/>
      <c r="I7" s="15"/>
    </row>
    <row r="8" spans="1:13" ht="167.25" customHeight="1" x14ac:dyDescent="0.25">
      <c r="A8" s="82" t="s">
        <v>23</v>
      </c>
      <c r="B8" s="82"/>
      <c r="C8" s="82"/>
      <c r="D8" s="82"/>
      <c r="E8" s="82"/>
      <c r="F8" s="82"/>
      <c r="G8" s="82"/>
      <c r="H8" s="82"/>
      <c r="I8" s="82"/>
    </row>
    <row r="9" spans="1:13" ht="45" customHeight="1" x14ac:dyDescent="0.25">
      <c r="A9" s="71" t="s">
        <v>0</v>
      </c>
      <c r="B9" s="72" t="s">
        <v>1</v>
      </c>
      <c r="C9" s="69" t="s">
        <v>24</v>
      </c>
      <c r="D9" s="71" t="s">
        <v>2</v>
      </c>
      <c r="E9" s="72" t="s">
        <v>25</v>
      </c>
      <c r="F9" s="72"/>
      <c r="G9" s="72"/>
      <c r="H9" s="72"/>
      <c r="I9" s="72"/>
    </row>
    <row r="10" spans="1:13" ht="147.75" customHeight="1" x14ac:dyDescent="0.25">
      <c r="A10" s="71"/>
      <c r="B10" s="72"/>
      <c r="C10" s="70"/>
      <c r="D10" s="71"/>
      <c r="E10" s="7" t="s">
        <v>3</v>
      </c>
      <c r="F10" s="2" t="s">
        <v>48</v>
      </c>
      <c r="G10" s="2" t="s">
        <v>49</v>
      </c>
      <c r="H10" s="3" t="s">
        <v>50</v>
      </c>
      <c r="I10" s="3" t="s">
        <v>51</v>
      </c>
      <c r="K10" s="34" t="s">
        <v>49</v>
      </c>
      <c r="L10" s="35" t="s">
        <v>50</v>
      </c>
      <c r="M10" s="35" t="s">
        <v>51</v>
      </c>
    </row>
    <row r="11" spans="1:13" s="19" customFormat="1" ht="29.25" customHeight="1" x14ac:dyDescent="0.25">
      <c r="A11" s="6">
        <v>1</v>
      </c>
      <c r="B11" s="4">
        <v>2</v>
      </c>
      <c r="C11" s="5">
        <v>3</v>
      </c>
      <c r="D11" s="4">
        <v>4</v>
      </c>
      <c r="E11" s="7">
        <v>5</v>
      </c>
      <c r="F11" s="6">
        <v>6</v>
      </c>
      <c r="G11" s="4">
        <v>7</v>
      </c>
      <c r="H11" s="4">
        <v>8</v>
      </c>
      <c r="I11" s="4">
        <v>9</v>
      </c>
    </row>
    <row r="12" spans="1:13" ht="30" x14ac:dyDescent="0.4">
      <c r="A12" s="73" t="s">
        <v>15</v>
      </c>
      <c r="B12" s="74"/>
      <c r="C12" s="74"/>
      <c r="D12" s="74"/>
      <c r="E12" s="74"/>
      <c r="F12" s="74"/>
      <c r="G12" s="74"/>
      <c r="H12" s="74"/>
      <c r="I12" s="75"/>
      <c r="K12" s="38"/>
      <c r="L12" s="38"/>
      <c r="M12" s="38"/>
    </row>
    <row r="13" spans="1:13" s="14" customFormat="1" ht="49.5" customHeight="1" x14ac:dyDescent="0.25">
      <c r="A13" s="9" t="s">
        <v>4</v>
      </c>
      <c r="B13" s="10" t="s">
        <v>28</v>
      </c>
      <c r="C13" s="11" t="s">
        <v>19</v>
      </c>
      <c r="D13" s="9" t="s">
        <v>18</v>
      </c>
      <c r="E13" s="12">
        <v>792.9</v>
      </c>
      <c r="F13" s="13">
        <v>755.4</v>
      </c>
      <c r="G13" s="13">
        <f>F13</f>
        <v>755.4</v>
      </c>
      <c r="H13" s="13">
        <f>G13-(30.4/1.163)</f>
        <v>729.2607050730868</v>
      </c>
      <c r="I13" s="13">
        <f>H13-((130+116)/1.163)</f>
        <v>517.73877901977642</v>
      </c>
      <c r="K13" s="39"/>
      <c r="L13" s="40">
        <f>H13</f>
        <v>729.2607050730868</v>
      </c>
      <c r="M13" s="40">
        <f>I13</f>
        <v>517.73877901977642</v>
      </c>
    </row>
    <row r="14" spans="1:13" s="14" customFormat="1" ht="61.5" x14ac:dyDescent="0.25">
      <c r="A14" s="9" t="s">
        <v>5</v>
      </c>
      <c r="B14" s="10" t="s">
        <v>36</v>
      </c>
      <c r="C14" s="11" t="s">
        <v>19</v>
      </c>
      <c r="D14" s="9" t="s">
        <v>18</v>
      </c>
      <c r="E14" s="12">
        <v>563.1</v>
      </c>
      <c r="F14" s="30">
        <v>539</v>
      </c>
      <c r="G14" s="30">
        <v>539</v>
      </c>
      <c r="H14" s="13">
        <f>G14-((27.9+11.6)/1.163)</f>
        <v>505.03611349957009</v>
      </c>
      <c r="I14" s="13">
        <f>H14</f>
        <v>505.03611349957009</v>
      </c>
      <c r="K14" s="39"/>
      <c r="L14" s="40">
        <f>H14</f>
        <v>505.03611349957009</v>
      </c>
      <c r="M14" s="39"/>
    </row>
    <row r="15" spans="1:13" s="48" customFormat="1" ht="30.75" x14ac:dyDescent="0.25">
      <c r="A15" s="43" t="s">
        <v>6</v>
      </c>
      <c r="B15" s="44" t="s">
        <v>27</v>
      </c>
      <c r="C15" s="45" t="s">
        <v>19</v>
      </c>
      <c r="D15" s="43" t="s">
        <v>18</v>
      </c>
      <c r="E15" s="46">
        <v>1440.4</v>
      </c>
      <c r="F15" s="47">
        <v>1350</v>
      </c>
      <c r="G15" s="47">
        <f>F15-91</f>
        <v>1259</v>
      </c>
      <c r="H15" s="47">
        <f>F15-274-48</f>
        <v>1028</v>
      </c>
      <c r="I15" s="47">
        <f>F15-274-48-63</f>
        <v>965</v>
      </c>
      <c r="K15" s="49">
        <f>G15</f>
        <v>1259</v>
      </c>
      <c r="L15" s="49">
        <f t="shared" ref="L15:M15" si="0">H15</f>
        <v>1028</v>
      </c>
      <c r="M15" s="49">
        <f t="shared" si="0"/>
        <v>965</v>
      </c>
    </row>
    <row r="16" spans="1:13" s="14" customFormat="1" ht="30.75" x14ac:dyDescent="0.25">
      <c r="A16" s="9" t="s">
        <v>7</v>
      </c>
      <c r="B16" s="10" t="s">
        <v>52</v>
      </c>
      <c r="C16" s="11" t="s">
        <v>19</v>
      </c>
      <c r="D16" s="9" t="s">
        <v>18</v>
      </c>
      <c r="E16" s="12">
        <v>663.5</v>
      </c>
      <c r="F16" s="13">
        <v>502.9</v>
      </c>
      <c r="G16" s="13">
        <f>F16-10</f>
        <v>492.9</v>
      </c>
      <c r="H16" s="13">
        <f>G16-84</f>
        <v>408.9</v>
      </c>
      <c r="I16" s="13">
        <f>H16</f>
        <v>408.9</v>
      </c>
      <c r="K16" s="40">
        <f>G16</f>
        <v>492.9</v>
      </c>
      <c r="L16" s="40">
        <f>H16</f>
        <v>408.9</v>
      </c>
      <c r="M16" s="39"/>
    </row>
    <row r="17" spans="1:13" s="14" customFormat="1" ht="30.75" x14ac:dyDescent="0.25">
      <c r="A17" s="9" t="s">
        <v>8</v>
      </c>
      <c r="B17" s="10" t="s">
        <v>29</v>
      </c>
      <c r="C17" s="11" t="s">
        <v>19</v>
      </c>
      <c r="D17" s="9" t="s">
        <v>18</v>
      </c>
      <c r="E17" s="12">
        <v>569.1</v>
      </c>
      <c r="F17" s="13">
        <v>520</v>
      </c>
      <c r="G17" s="13">
        <f>F17</f>
        <v>520</v>
      </c>
      <c r="H17" s="13">
        <f>G17</f>
        <v>520</v>
      </c>
      <c r="I17" s="13">
        <f>H17-((154+16.8)/1.163)</f>
        <v>373.13843508168532</v>
      </c>
      <c r="K17" s="39"/>
      <c r="L17" s="39"/>
      <c r="M17" s="40">
        <f>I17</f>
        <v>373.13843508168532</v>
      </c>
    </row>
    <row r="18" spans="1:13" s="14" customFormat="1" ht="30.75" x14ac:dyDescent="0.25">
      <c r="A18" s="9" t="s">
        <v>9</v>
      </c>
      <c r="B18" s="10" t="s">
        <v>58</v>
      </c>
      <c r="C18" s="11" t="s">
        <v>19</v>
      </c>
      <c r="D18" s="9" t="s">
        <v>18</v>
      </c>
      <c r="E18" s="12">
        <v>961.6</v>
      </c>
      <c r="F18" s="9">
        <v>996.1</v>
      </c>
      <c r="G18" s="13">
        <f>F18-(142.3/1.163)</f>
        <v>873.7440240756664</v>
      </c>
      <c r="H18" s="13">
        <f>G18</f>
        <v>873.7440240756664</v>
      </c>
      <c r="I18" s="13">
        <f>H18</f>
        <v>873.7440240756664</v>
      </c>
      <c r="K18" s="40">
        <f>G18</f>
        <v>873.7440240756664</v>
      </c>
      <c r="L18" s="39"/>
      <c r="M18" s="39"/>
    </row>
    <row r="19" spans="1:13" s="14" customFormat="1" ht="30.75" x14ac:dyDescent="0.25">
      <c r="A19" s="9" t="s">
        <v>10</v>
      </c>
      <c r="B19" s="10" t="s">
        <v>57</v>
      </c>
      <c r="C19" s="11" t="s">
        <v>53</v>
      </c>
      <c r="D19" s="9" t="s">
        <v>54</v>
      </c>
      <c r="E19" s="12">
        <v>50.96</v>
      </c>
      <c r="F19" s="13">
        <v>55.2</v>
      </c>
      <c r="G19" s="13">
        <f>F19</f>
        <v>55.2</v>
      </c>
      <c r="H19" s="13">
        <f>G19-21.8</f>
        <v>33.400000000000006</v>
      </c>
      <c r="I19" s="13">
        <f>H19</f>
        <v>33.400000000000006</v>
      </c>
      <c r="K19" s="39"/>
      <c r="L19" s="39"/>
      <c r="M19" s="39"/>
    </row>
    <row r="20" spans="1:13" s="14" customFormat="1" ht="30.75" x14ac:dyDescent="0.25">
      <c r="A20" s="9" t="s">
        <v>11</v>
      </c>
      <c r="B20" s="10" t="s">
        <v>26</v>
      </c>
      <c r="C20" s="11" t="s">
        <v>19</v>
      </c>
      <c r="D20" s="9" t="s">
        <v>18</v>
      </c>
      <c r="E20" s="12">
        <v>1263.0999999999999</v>
      </c>
      <c r="F20" s="13">
        <v>1000</v>
      </c>
      <c r="G20" s="13">
        <f>F20-(300/1.163)</f>
        <v>742.04643164230447</v>
      </c>
      <c r="H20" s="13">
        <f>G20</f>
        <v>742.04643164230447</v>
      </c>
      <c r="I20" s="13">
        <f>H20</f>
        <v>742.04643164230447</v>
      </c>
      <c r="K20" s="40">
        <f>G20</f>
        <v>742.04643164230447</v>
      </c>
      <c r="L20" s="39"/>
      <c r="M20" s="39"/>
    </row>
    <row r="21" spans="1:13" s="14" customFormat="1" ht="68.25" customHeight="1" x14ac:dyDescent="0.25">
      <c r="A21" s="9" t="s">
        <v>12</v>
      </c>
      <c r="B21" s="22" t="s">
        <v>33</v>
      </c>
      <c r="C21" s="11" t="s">
        <v>19</v>
      </c>
      <c r="D21" s="9" t="s">
        <v>18</v>
      </c>
      <c r="E21" s="12">
        <v>727.9</v>
      </c>
      <c r="F21" s="9">
        <v>677.3</v>
      </c>
      <c r="G21" s="13">
        <f>F21-(69/1.163)</f>
        <v>617.97067927772991</v>
      </c>
      <c r="H21" s="13">
        <f>G21-(55.8/1.163)</f>
        <v>569.99131556319855</v>
      </c>
      <c r="I21" s="13">
        <f>H21-(81/1.163)</f>
        <v>500.34385210662072</v>
      </c>
      <c r="K21" s="40">
        <f>G21</f>
        <v>617.97067927772991</v>
      </c>
      <c r="L21" s="40">
        <f t="shared" ref="L21:M21" si="1">H21</f>
        <v>569.99131556319855</v>
      </c>
      <c r="M21" s="40">
        <f t="shared" si="1"/>
        <v>500.34385210662072</v>
      </c>
    </row>
    <row r="22" spans="1:13" s="14" customFormat="1" ht="68.25" customHeight="1" x14ac:dyDescent="0.25">
      <c r="A22" s="9" t="s">
        <v>13</v>
      </c>
      <c r="B22" s="22" t="s">
        <v>66</v>
      </c>
      <c r="C22" s="11" t="s">
        <v>19</v>
      </c>
      <c r="D22" s="9" t="s">
        <v>18</v>
      </c>
      <c r="E22" s="12">
        <v>316.60000000000002</v>
      </c>
      <c r="F22" s="9">
        <v>262.10000000000002</v>
      </c>
      <c r="G22" s="13">
        <f>F22</f>
        <v>262.10000000000002</v>
      </c>
      <c r="H22" s="13">
        <f>G22-(41.9/1.163)</f>
        <v>226.07248495270852</v>
      </c>
      <c r="I22" s="13">
        <f>H22</f>
        <v>226.07248495270852</v>
      </c>
      <c r="K22" s="39"/>
      <c r="L22" s="40">
        <f>H22</f>
        <v>226.07248495270852</v>
      </c>
      <c r="M22" s="39"/>
    </row>
    <row r="23" spans="1:13" s="14" customFormat="1" ht="80.25" customHeight="1" x14ac:dyDescent="0.25">
      <c r="A23" s="9" t="s">
        <v>14</v>
      </c>
      <c r="B23" s="10" t="s">
        <v>34</v>
      </c>
      <c r="C23" s="11" t="s">
        <v>19</v>
      </c>
      <c r="D23" s="9" t="s">
        <v>18</v>
      </c>
      <c r="E23" s="12">
        <v>376.2</v>
      </c>
      <c r="F23" s="9">
        <v>325</v>
      </c>
      <c r="G23" s="9">
        <f>F23</f>
        <v>325</v>
      </c>
      <c r="H23" s="9">
        <f>G23</f>
        <v>325</v>
      </c>
      <c r="I23" s="13">
        <f>H23-(127/1.163)</f>
        <v>215.79965606190888</v>
      </c>
      <c r="K23" s="39"/>
      <c r="L23" s="39"/>
      <c r="M23" s="40">
        <f>I23</f>
        <v>215.79965606190888</v>
      </c>
    </row>
    <row r="24" spans="1:13" s="14" customFormat="1" ht="80.25" customHeight="1" x14ac:dyDescent="0.25">
      <c r="A24" s="9" t="s">
        <v>69</v>
      </c>
      <c r="B24" s="10" t="s">
        <v>67</v>
      </c>
      <c r="C24" s="11" t="s">
        <v>19</v>
      </c>
      <c r="D24" s="9" t="s">
        <v>18</v>
      </c>
      <c r="E24" s="12">
        <v>229.4</v>
      </c>
      <c r="F24" s="9">
        <v>219.2</v>
      </c>
      <c r="G24" s="9">
        <f>F24</f>
        <v>219.2</v>
      </c>
      <c r="H24" s="13">
        <f>G24-(34.9/1.163)</f>
        <v>189.1914015477214</v>
      </c>
      <c r="I24" s="13">
        <f>H24</f>
        <v>189.1914015477214</v>
      </c>
      <c r="K24" s="39"/>
      <c r="L24" s="40">
        <f>H24</f>
        <v>189.1914015477214</v>
      </c>
      <c r="M24" s="39"/>
    </row>
    <row r="25" spans="1:13" s="14" customFormat="1" ht="65.25" customHeight="1" x14ac:dyDescent="0.25">
      <c r="A25" s="9" t="s">
        <v>70</v>
      </c>
      <c r="B25" s="10" t="s">
        <v>30</v>
      </c>
      <c r="C25" s="11" t="s">
        <v>19</v>
      </c>
      <c r="D25" s="9" t="s">
        <v>18</v>
      </c>
      <c r="E25" s="12">
        <v>256</v>
      </c>
      <c r="F25" s="9">
        <v>240.6</v>
      </c>
      <c r="G25" s="13">
        <f>F25-(26.5/1.163)</f>
        <v>217.81410146173687</v>
      </c>
      <c r="H25" s="13">
        <f>G25</f>
        <v>217.81410146173687</v>
      </c>
      <c r="I25" s="13">
        <f>H25-(40.7/1.163)</f>
        <v>182.81840068787616</v>
      </c>
      <c r="K25" s="40">
        <f>G25</f>
        <v>217.81410146173687</v>
      </c>
      <c r="L25" s="39"/>
      <c r="M25" s="40">
        <f>I25</f>
        <v>182.81840068787616</v>
      </c>
    </row>
    <row r="26" spans="1:13" s="14" customFormat="1" ht="65.25" customHeight="1" x14ac:dyDescent="0.25">
      <c r="A26" s="9" t="s">
        <v>71</v>
      </c>
      <c r="B26" s="10" t="s">
        <v>63</v>
      </c>
      <c r="C26" s="11" t="s">
        <v>19</v>
      </c>
      <c r="D26" s="9" t="s">
        <v>18</v>
      </c>
      <c r="E26" s="12">
        <v>293.10000000000002</v>
      </c>
      <c r="F26" s="9">
        <v>282.2</v>
      </c>
      <c r="G26" s="13">
        <f>F26-(38/1.163)</f>
        <v>249.52588134135854</v>
      </c>
      <c r="H26" s="13">
        <f>G26</f>
        <v>249.52588134135854</v>
      </c>
      <c r="I26" s="13">
        <f>H26</f>
        <v>249.52588134135854</v>
      </c>
      <c r="K26" s="40">
        <f>G26</f>
        <v>249.52588134135854</v>
      </c>
      <c r="L26" s="39"/>
      <c r="M26" s="39"/>
    </row>
    <row r="27" spans="1:13" s="14" customFormat="1" ht="75.75" customHeight="1" x14ac:dyDescent="0.25">
      <c r="A27" s="9" t="s">
        <v>72</v>
      </c>
      <c r="B27" s="10" t="s">
        <v>37</v>
      </c>
      <c r="C27" s="11" t="s">
        <v>19</v>
      </c>
      <c r="D27" s="9" t="s">
        <v>18</v>
      </c>
      <c r="E27" s="12">
        <v>459.5</v>
      </c>
      <c r="F27" s="9">
        <v>461.5</v>
      </c>
      <c r="G27" s="9">
        <f t="shared" ref="G27:I32" si="2">F27</f>
        <v>461.5</v>
      </c>
      <c r="H27" s="9">
        <f t="shared" si="2"/>
        <v>461.5</v>
      </c>
      <c r="I27" s="13">
        <f>H27-(22/1.163)</f>
        <v>442.58340498710231</v>
      </c>
      <c r="K27" s="39"/>
      <c r="L27" s="39"/>
      <c r="M27" s="40">
        <f>I27</f>
        <v>442.58340498710231</v>
      </c>
    </row>
    <row r="28" spans="1:13" s="14" customFormat="1" ht="66" customHeight="1" x14ac:dyDescent="0.25">
      <c r="A28" s="9" t="s">
        <v>73</v>
      </c>
      <c r="B28" s="10" t="s">
        <v>31</v>
      </c>
      <c r="C28" s="11" t="s">
        <v>19</v>
      </c>
      <c r="D28" s="9" t="s">
        <v>18</v>
      </c>
      <c r="E28" s="12">
        <v>100.8</v>
      </c>
      <c r="F28" s="9">
        <v>98.3</v>
      </c>
      <c r="G28" s="9">
        <f t="shared" si="2"/>
        <v>98.3</v>
      </c>
      <c r="H28" s="9">
        <f t="shared" si="2"/>
        <v>98.3</v>
      </c>
      <c r="I28" s="13">
        <f>H28-(38/1.163)</f>
        <v>65.625881341358564</v>
      </c>
      <c r="K28" s="39"/>
      <c r="L28" s="39"/>
      <c r="M28" s="40">
        <f>I28</f>
        <v>65.625881341358564</v>
      </c>
    </row>
    <row r="29" spans="1:13" s="14" customFormat="1" ht="66" customHeight="1" x14ac:dyDescent="0.25">
      <c r="A29" s="9" t="s">
        <v>74</v>
      </c>
      <c r="B29" s="10" t="s">
        <v>32</v>
      </c>
      <c r="C29" s="11" t="s">
        <v>19</v>
      </c>
      <c r="D29" s="9" t="s">
        <v>18</v>
      </c>
      <c r="E29" s="12">
        <v>195.3</v>
      </c>
      <c r="F29" s="13">
        <v>192</v>
      </c>
      <c r="G29" s="13">
        <f t="shared" si="2"/>
        <v>192</v>
      </c>
      <c r="H29" s="13">
        <f t="shared" si="2"/>
        <v>192</v>
      </c>
      <c r="I29" s="13">
        <f>H29-(71/1.163)</f>
        <v>130.95098882201205</v>
      </c>
      <c r="K29" s="39"/>
      <c r="L29" s="39"/>
      <c r="M29" s="40">
        <f>I29</f>
        <v>130.95098882201205</v>
      </c>
    </row>
    <row r="30" spans="1:13" s="14" customFormat="1" ht="66" customHeight="1" x14ac:dyDescent="0.25">
      <c r="A30" s="9" t="s">
        <v>75</v>
      </c>
      <c r="B30" s="10" t="s">
        <v>35</v>
      </c>
      <c r="C30" s="11" t="s">
        <v>19</v>
      </c>
      <c r="D30" s="9" t="s">
        <v>18</v>
      </c>
      <c r="E30" s="12">
        <v>592.5</v>
      </c>
      <c r="F30" s="9">
        <v>563.20000000000005</v>
      </c>
      <c r="G30" s="9">
        <f t="shared" si="2"/>
        <v>563.20000000000005</v>
      </c>
      <c r="H30" s="9">
        <f t="shared" si="2"/>
        <v>563.20000000000005</v>
      </c>
      <c r="I30" s="13">
        <f>H30-(112/1.163)</f>
        <v>466.8973344797937</v>
      </c>
      <c r="K30" s="39"/>
      <c r="L30" s="39"/>
      <c r="M30" s="40">
        <f>I30</f>
        <v>466.8973344797937</v>
      </c>
    </row>
    <row r="31" spans="1:13" s="14" customFormat="1" ht="66" customHeight="1" x14ac:dyDescent="0.25">
      <c r="A31" s="9" t="s">
        <v>76</v>
      </c>
      <c r="B31" s="10" t="s">
        <v>62</v>
      </c>
      <c r="C31" s="11" t="s">
        <v>19</v>
      </c>
      <c r="D31" s="9" t="s">
        <v>18</v>
      </c>
      <c r="E31" s="12">
        <v>177.9</v>
      </c>
      <c r="F31" s="9">
        <v>177.6</v>
      </c>
      <c r="G31" s="30">
        <f>F31-(3/1.163)</f>
        <v>175.02046431642304</v>
      </c>
      <c r="H31" s="30">
        <f t="shared" si="2"/>
        <v>175.02046431642304</v>
      </c>
      <c r="I31" s="30">
        <f t="shared" si="2"/>
        <v>175.02046431642304</v>
      </c>
      <c r="K31" s="41">
        <f>G31</f>
        <v>175.02046431642304</v>
      </c>
      <c r="L31" s="39"/>
      <c r="M31" s="39"/>
    </row>
    <row r="32" spans="1:13" s="14" customFormat="1" ht="66" customHeight="1" x14ac:dyDescent="0.25">
      <c r="A32" s="9" t="s">
        <v>77</v>
      </c>
      <c r="B32" s="10" t="s">
        <v>64</v>
      </c>
      <c r="C32" s="11" t="s">
        <v>19</v>
      </c>
      <c r="D32" s="9" t="s">
        <v>18</v>
      </c>
      <c r="E32" s="12">
        <v>384.9</v>
      </c>
      <c r="F32" s="9">
        <v>373</v>
      </c>
      <c r="G32" s="30">
        <f>F32-(44/1.163)</f>
        <v>335.16680997420463</v>
      </c>
      <c r="H32" s="30">
        <f t="shared" si="2"/>
        <v>335.16680997420463</v>
      </c>
      <c r="I32" s="30">
        <f>H32</f>
        <v>335.16680997420463</v>
      </c>
      <c r="K32" s="41">
        <f>G32</f>
        <v>335.16680997420463</v>
      </c>
      <c r="L32" s="39"/>
      <c r="M32" s="39"/>
    </row>
    <row r="33" spans="1:15" s="14" customFormat="1" ht="66.75" customHeight="1" x14ac:dyDescent="0.25">
      <c r="A33" s="9" t="s">
        <v>78</v>
      </c>
      <c r="B33" s="10" t="s">
        <v>38</v>
      </c>
      <c r="C33" s="11" t="s">
        <v>19</v>
      </c>
      <c r="D33" s="9" t="s">
        <v>18</v>
      </c>
      <c r="E33" s="12">
        <v>308.89999999999998</v>
      </c>
      <c r="F33" s="9">
        <v>213.1</v>
      </c>
      <c r="G33" s="9">
        <f>F33</f>
        <v>213.1</v>
      </c>
      <c r="H33" s="13">
        <f>G33-(30.2/1.163)</f>
        <v>187.13267411865863</v>
      </c>
      <c r="I33" s="13">
        <f>H33</f>
        <v>187.13267411865863</v>
      </c>
      <c r="K33" s="39"/>
      <c r="L33" s="40">
        <f>H33</f>
        <v>187.13267411865863</v>
      </c>
      <c r="M33" s="39"/>
    </row>
    <row r="34" spans="1:15" s="14" customFormat="1" ht="65.25" customHeight="1" x14ac:dyDescent="0.25">
      <c r="A34" s="9" t="s">
        <v>79</v>
      </c>
      <c r="B34" s="10" t="s">
        <v>68</v>
      </c>
      <c r="C34" s="11" t="s">
        <v>19</v>
      </c>
      <c r="D34" s="9" t="s">
        <v>18</v>
      </c>
      <c r="E34" s="12">
        <f>709/1.163</f>
        <v>609.63026655202066</v>
      </c>
      <c r="F34" s="13">
        <f>(72.3*9.39)/1.163</f>
        <v>583.7463456577816</v>
      </c>
      <c r="G34" s="13">
        <f>F34</f>
        <v>583.7463456577816</v>
      </c>
      <c r="H34" s="13">
        <f>G34-(36.1/1.163)</f>
        <v>552.70593293207219</v>
      </c>
      <c r="I34" s="13">
        <f>H34</f>
        <v>552.70593293207219</v>
      </c>
    </row>
    <row r="35" spans="1:15" s="14" customFormat="1" ht="66.75" customHeight="1" x14ac:dyDescent="0.25">
      <c r="A35" s="9" t="s">
        <v>80</v>
      </c>
      <c r="B35" s="36" t="s">
        <v>65</v>
      </c>
      <c r="C35" s="11" t="s">
        <v>19</v>
      </c>
      <c r="D35" s="9" t="s">
        <v>18</v>
      </c>
      <c r="E35" s="12">
        <v>203.3</v>
      </c>
      <c r="F35" s="37">
        <v>141.30000000000001</v>
      </c>
      <c r="G35" s="37">
        <f>F35</f>
        <v>141.30000000000001</v>
      </c>
      <c r="H35" s="12">
        <f>G35-(3/1.163)</f>
        <v>138.72046431642306</v>
      </c>
      <c r="I35" s="12">
        <f>H35</f>
        <v>138.72046431642306</v>
      </c>
      <c r="K35" s="39"/>
      <c r="L35" s="40">
        <f>H35</f>
        <v>138.72046431642306</v>
      </c>
      <c r="M35" s="39"/>
    </row>
    <row r="36" spans="1:15" s="48" customFormat="1" ht="46.5" customHeight="1" x14ac:dyDescent="0.25">
      <c r="A36" s="61" t="s">
        <v>20</v>
      </c>
      <c r="B36" s="62"/>
      <c r="C36" s="50" t="s">
        <v>19</v>
      </c>
      <c r="D36" s="51" t="s">
        <v>18</v>
      </c>
      <c r="E36" s="52">
        <f>E13+E14+E15+E16+E17+E18+E20+E21+E23+E25+E27+E28+E29+E30+E35+E33+E31+E26+E32+E22+E24+E34</f>
        <v>11485.63026655202</v>
      </c>
      <c r="F36" s="52">
        <f t="shared" ref="F36:G36" si="3">F13+F14+F15+F16+F17+F18+F20+F21+F23+F25+F27+F28+F29+F30+F35+F33+F31+F26+F32+F22+F24+F34</f>
        <v>10473.546345657785</v>
      </c>
      <c r="G36" s="52">
        <f t="shared" si="3"/>
        <v>9837.0347377472062</v>
      </c>
      <c r="H36" s="52">
        <f>H13+H14+H15+H16+H17+H18+H20+H21+H23+H25+H27+H28+H29+H30+H35+H33+H31+H26+H32+H22+H24+H34</f>
        <v>9288.3288048151335</v>
      </c>
      <c r="I36" s="52">
        <f>I13+I14+I15+I16+I17+I18+I20+I21+I23+I25+I27+I28+I29+I30+I35+I33+I31+I26+I32+I22+I24+I34</f>
        <v>8444.1594153052447</v>
      </c>
      <c r="K36" s="53">
        <f>G36-F36</f>
        <v>-636.51160791057919</v>
      </c>
      <c r="L36" s="53">
        <f>H36-F36-K36</f>
        <v>-548.70593293207276</v>
      </c>
      <c r="M36" s="53">
        <f>I36-F36-K36-L36</f>
        <v>-844.16938950988879</v>
      </c>
      <c r="O36" s="53">
        <f>I36-F36</f>
        <v>-2029.3869303525407</v>
      </c>
    </row>
    <row r="37" spans="1:15" s="48" customFormat="1" ht="46.5" customHeight="1" x14ac:dyDescent="0.25">
      <c r="A37" s="63"/>
      <c r="B37" s="64"/>
      <c r="C37" s="50" t="s">
        <v>53</v>
      </c>
      <c r="D37" s="51" t="s">
        <v>54</v>
      </c>
      <c r="E37" s="54">
        <f>E19</f>
        <v>50.96</v>
      </c>
      <c r="F37" s="54">
        <f>F19</f>
        <v>55.2</v>
      </c>
      <c r="G37" s="54">
        <f>G19</f>
        <v>55.2</v>
      </c>
      <c r="H37" s="54">
        <f>H19</f>
        <v>33.400000000000006</v>
      </c>
      <c r="I37" s="54">
        <f>I19</f>
        <v>33.400000000000006</v>
      </c>
      <c r="K37" s="53">
        <f>G37-F37</f>
        <v>0</v>
      </c>
      <c r="L37" s="53">
        <f>H37-F37-K37</f>
        <v>-21.799999999999997</v>
      </c>
      <c r="M37" s="53">
        <f>I37-F37-K37-L37</f>
        <v>0</v>
      </c>
      <c r="O37" s="53">
        <f>I37-F37</f>
        <v>-21.799999999999997</v>
      </c>
    </row>
    <row r="38" spans="1:15" s="48" customFormat="1" ht="30" x14ac:dyDescent="0.4">
      <c r="A38" s="76" t="s">
        <v>16</v>
      </c>
      <c r="B38" s="77"/>
      <c r="C38" s="77"/>
      <c r="D38" s="77"/>
      <c r="E38" s="77"/>
      <c r="F38" s="77"/>
      <c r="G38" s="77"/>
      <c r="H38" s="77"/>
      <c r="I38" s="78"/>
      <c r="K38" s="55"/>
      <c r="L38" s="55"/>
      <c r="M38" s="55"/>
    </row>
    <row r="39" spans="1:15" s="48" customFormat="1" ht="30.75" x14ac:dyDescent="0.25">
      <c r="A39" s="79" t="s">
        <v>4</v>
      </c>
      <c r="B39" s="44" t="s">
        <v>39</v>
      </c>
      <c r="C39" s="45" t="s">
        <v>19</v>
      </c>
      <c r="D39" s="43" t="s">
        <v>18</v>
      </c>
      <c r="E39" s="46">
        <v>501.6</v>
      </c>
      <c r="F39" s="43">
        <v>389</v>
      </c>
      <c r="G39" s="47">
        <f>F39-(28/1.163)</f>
        <v>364.92433361994841</v>
      </c>
      <c r="H39" s="47">
        <f>G39-(112.3/1.163)</f>
        <v>268.36371453138435</v>
      </c>
      <c r="I39" s="47">
        <f>H39</f>
        <v>268.36371453138435</v>
      </c>
      <c r="K39" s="55"/>
      <c r="L39" s="55"/>
      <c r="M39" s="55"/>
    </row>
    <row r="40" spans="1:15" s="48" customFormat="1" ht="30.75" x14ac:dyDescent="0.25">
      <c r="A40" s="80"/>
      <c r="B40" s="44" t="s">
        <v>40</v>
      </c>
      <c r="C40" s="45" t="s">
        <v>19</v>
      </c>
      <c r="D40" s="43" t="s">
        <v>18</v>
      </c>
      <c r="E40" s="46">
        <v>1533.6</v>
      </c>
      <c r="F40" s="43">
        <v>1615</v>
      </c>
      <c r="G40" s="47">
        <f>F40-((598.2*0.15)/1.163)</f>
        <v>1537.8460877042132</v>
      </c>
      <c r="H40" s="47">
        <f>G40-((598.2*0.85)/1.163)</f>
        <v>1100.640584694755</v>
      </c>
      <c r="I40" s="47">
        <f>H40</f>
        <v>1100.640584694755</v>
      </c>
      <c r="K40" s="55"/>
      <c r="L40" s="55"/>
      <c r="M40" s="55"/>
    </row>
    <row r="41" spans="1:15" s="48" customFormat="1" ht="61.5" x14ac:dyDescent="0.25">
      <c r="A41" s="43" t="s">
        <v>5</v>
      </c>
      <c r="B41" s="44" t="s">
        <v>41</v>
      </c>
      <c r="C41" s="45" t="s">
        <v>19</v>
      </c>
      <c r="D41" s="43" t="s">
        <v>18</v>
      </c>
      <c r="E41" s="46">
        <v>1452.61</v>
      </c>
      <c r="F41" s="43">
        <v>1406</v>
      </c>
      <c r="G41" s="47">
        <f>F41</f>
        <v>1406</v>
      </c>
      <c r="H41" s="56">
        <f>G41</f>
        <v>1406</v>
      </c>
      <c r="I41" s="47">
        <f>H41-(261.5/1.163)</f>
        <v>1181.1504729148753</v>
      </c>
      <c r="K41" s="55"/>
      <c r="L41" s="55"/>
      <c r="M41" s="55"/>
    </row>
    <row r="42" spans="1:15" s="48" customFormat="1" ht="61.5" x14ac:dyDescent="0.25">
      <c r="A42" s="43" t="s">
        <v>6</v>
      </c>
      <c r="B42" s="44" t="s">
        <v>42</v>
      </c>
      <c r="C42" s="45" t="s">
        <v>19</v>
      </c>
      <c r="D42" s="43" t="s">
        <v>18</v>
      </c>
      <c r="E42" s="46">
        <v>1338.1</v>
      </c>
      <c r="F42" s="43">
        <v>1458</v>
      </c>
      <c r="G42" s="43">
        <f>F42</f>
        <v>1458</v>
      </c>
      <c r="H42" s="47">
        <f>F42-(82.6/1.163)</f>
        <v>1386.9767841788478</v>
      </c>
      <c r="I42" s="47">
        <f>F42-(102.9/1.163)</f>
        <v>1369.5219260533104</v>
      </c>
      <c r="K42" s="55"/>
      <c r="L42" s="55"/>
      <c r="M42" s="55"/>
    </row>
    <row r="43" spans="1:15" s="48" customFormat="1" ht="49.5" customHeight="1" x14ac:dyDescent="0.25">
      <c r="A43" s="66" t="s">
        <v>20</v>
      </c>
      <c r="B43" s="68"/>
      <c r="C43" s="50" t="s">
        <v>19</v>
      </c>
      <c r="D43" s="51" t="s">
        <v>18</v>
      </c>
      <c r="E43" s="52">
        <f>SUM(E39:E42)</f>
        <v>4825.91</v>
      </c>
      <c r="F43" s="51">
        <f>SUM(F39:F42)</f>
        <v>4868</v>
      </c>
      <c r="G43" s="54">
        <f>SUM(G39:G42)</f>
        <v>4766.7704213241614</v>
      </c>
      <c r="H43" s="54">
        <f>SUM(H39:H42)</f>
        <v>4161.9810834049877</v>
      </c>
      <c r="I43" s="54">
        <f>SUM(I39:I42)</f>
        <v>3919.6766981943251</v>
      </c>
      <c r="J43" s="57"/>
      <c r="K43" s="53">
        <f>G43-F43</f>
        <v>-101.22957867583864</v>
      </c>
      <c r="L43" s="53">
        <f>H43-K43-F43</f>
        <v>-604.7893379191737</v>
      </c>
      <c r="M43" s="53">
        <f>I43-F43-K43-L43</f>
        <v>-242.30438521066253</v>
      </c>
      <c r="O43" s="53">
        <f>I43-F43</f>
        <v>-948.32330180567487</v>
      </c>
    </row>
    <row r="44" spans="1:15" s="48" customFormat="1" ht="39.75" customHeight="1" x14ac:dyDescent="0.25">
      <c r="A44" s="66" t="s">
        <v>17</v>
      </c>
      <c r="B44" s="67"/>
      <c r="C44" s="67"/>
      <c r="D44" s="67"/>
      <c r="E44" s="67"/>
      <c r="F44" s="67"/>
      <c r="G44" s="67"/>
      <c r="H44" s="67"/>
      <c r="I44" s="68"/>
      <c r="K44" s="55"/>
      <c r="L44" s="55"/>
      <c r="M44" s="55"/>
    </row>
    <row r="45" spans="1:15" s="14" customFormat="1" ht="52.5" customHeight="1" x14ac:dyDescent="0.25">
      <c r="A45" s="9" t="s">
        <v>4</v>
      </c>
      <c r="B45" s="22" t="s">
        <v>43</v>
      </c>
      <c r="C45" s="11" t="s">
        <v>19</v>
      </c>
      <c r="D45" s="9" t="s">
        <v>18</v>
      </c>
      <c r="E45" s="12">
        <v>117.944</v>
      </c>
      <c r="F45" s="9">
        <v>91</v>
      </c>
      <c r="G45" s="13">
        <f>F45</f>
        <v>91</v>
      </c>
      <c r="H45" s="13">
        <f>F45-(37.5/1.163)</f>
        <v>58.755803955288052</v>
      </c>
      <c r="I45" s="13">
        <f>H45-(13/1.163)</f>
        <v>47.577815993121241</v>
      </c>
      <c r="K45" s="39"/>
      <c r="L45" s="39"/>
      <c r="M45" s="39"/>
    </row>
    <row r="46" spans="1:15" s="14" customFormat="1" ht="52.5" customHeight="1" x14ac:dyDescent="0.25">
      <c r="A46" s="9" t="s">
        <v>5</v>
      </c>
      <c r="B46" s="10" t="s">
        <v>56</v>
      </c>
      <c r="C46" s="11" t="s">
        <v>19</v>
      </c>
      <c r="D46" s="9" t="s">
        <v>18</v>
      </c>
      <c r="E46" s="12">
        <v>86.2</v>
      </c>
      <c r="F46" s="9">
        <v>71</v>
      </c>
      <c r="G46" s="13">
        <f>F46-(13/1.163)</f>
        <v>59.82201203783319</v>
      </c>
      <c r="H46" s="13">
        <f>G46</f>
        <v>59.82201203783319</v>
      </c>
      <c r="I46" s="13">
        <f>H46</f>
        <v>59.82201203783319</v>
      </c>
      <c r="K46" s="39"/>
      <c r="L46" s="39"/>
      <c r="M46" s="39"/>
    </row>
    <row r="47" spans="1:15" s="14" customFormat="1" ht="52.5" customHeight="1" x14ac:dyDescent="0.25">
      <c r="A47" s="9" t="s">
        <v>6</v>
      </c>
      <c r="B47" s="10" t="s">
        <v>55</v>
      </c>
      <c r="C47" s="11" t="s">
        <v>19</v>
      </c>
      <c r="D47" s="9" t="s">
        <v>18</v>
      </c>
      <c r="E47" s="12">
        <v>103.47499999999999</v>
      </c>
      <c r="F47" s="9">
        <v>104</v>
      </c>
      <c r="G47" s="13">
        <f>F47-(13/1.163)</f>
        <v>92.82201203783319</v>
      </c>
      <c r="H47" s="13">
        <f>G47</f>
        <v>92.82201203783319</v>
      </c>
      <c r="I47" s="13">
        <f>H47</f>
        <v>92.82201203783319</v>
      </c>
      <c r="K47" s="39"/>
      <c r="L47" s="39"/>
      <c r="M47" s="39"/>
    </row>
    <row r="48" spans="1:15" s="14" customFormat="1" ht="66" customHeight="1" x14ac:dyDescent="0.25">
      <c r="A48" s="9" t="s">
        <v>7</v>
      </c>
      <c r="B48" s="10" t="s">
        <v>44</v>
      </c>
      <c r="C48" s="11" t="s">
        <v>19</v>
      </c>
      <c r="D48" s="9" t="s">
        <v>18</v>
      </c>
      <c r="E48" s="12">
        <v>106.999</v>
      </c>
      <c r="F48" s="9">
        <v>116</v>
      </c>
      <c r="G48" s="13">
        <f>F48</f>
        <v>116</v>
      </c>
      <c r="H48" s="13">
        <f>F48-(7/1.163)</f>
        <v>109.9810834049871</v>
      </c>
      <c r="I48" s="13">
        <f>H48</f>
        <v>109.9810834049871</v>
      </c>
      <c r="K48" s="39"/>
      <c r="L48" s="39"/>
      <c r="M48" s="39"/>
    </row>
    <row r="49" spans="1:15" s="14" customFormat="1" ht="63.75" customHeight="1" x14ac:dyDescent="0.25">
      <c r="A49" s="9" t="s">
        <v>8</v>
      </c>
      <c r="B49" s="10" t="s">
        <v>45</v>
      </c>
      <c r="C49" s="11" t="s">
        <v>19</v>
      </c>
      <c r="D49" s="9" t="s">
        <v>18</v>
      </c>
      <c r="E49" s="12">
        <v>24.878</v>
      </c>
      <c r="F49" s="9">
        <v>24</v>
      </c>
      <c r="G49" s="13">
        <f>F49</f>
        <v>24</v>
      </c>
      <c r="H49" s="13">
        <f>G49</f>
        <v>24</v>
      </c>
      <c r="I49" s="13">
        <f>H49-(3/1.163)</f>
        <v>21.420464316423043</v>
      </c>
      <c r="K49" s="39"/>
      <c r="L49" s="39"/>
      <c r="M49" s="39"/>
    </row>
    <row r="50" spans="1:15" s="14" customFormat="1" ht="60.75" customHeight="1" x14ac:dyDescent="0.25">
      <c r="A50" s="9" t="s">
        <v>9</v>
      </c>
      <c r="B50" s="10" t="s">
        <v>46</v>
      </c>
      <c r="C50" s="11" t="s">
        <v>19</v>
      </c>
      <c r="D50" s="9" t="s">
        <v>18</v>
      </c>
      <c r="E50" s="12">
        <v>19.003</v>
      </c>
      <c r="F50" s="9">
        <v>18.100000000000001</v>
      </c>
      <c r="G50" s="13">
        <f>F50</f>
        <v>18.100000000000001</v>
      </c>
      <c r="H50" s="13">
        <f>G50</f>
        <v>18.100000000000001</v>
      </c>
      <c r="I50" s="13">
        <f>H50-(4.8/1.163)</f>
        <v>13.972742906276871</v>
      </c>
      <c r="K50" s="39"/>
      <c r="L50" s="39"/>
      <c r="M50" s="39"/>
    </row>
    <row r="51" spans="1:15" s="14" customFormat="1" ht="59.25" customHeight="1" x14ac:dyDescent="0.25">
      <c r="A51" s="9" t="s">
        <v>10</v>
      </c>
      <c r="B51" s="10" t="s">
        <v>47</v>
      </c>
      <c r="C51" s="11" t="s">
        <v>19</v>
      </c>
      <c r="D51" s="9" t="s">
        <v>18</v>
      </c>
      <c r="E51" s="12">
        <v>9.0500000000000007</v>
      </c>
      <c r="F51" s="13">
        <v>9.6780000000000008</v>
      </c>
      <c r="G51" s="13">
        <f>F51</f>
        <v>9.6780000000000008</v>
      </c>
      <c r="H51" s="13">
        <f>G51</f>
        <v>9.6780000000000008</v>
      </c>
      <c r="I51" s="13">
        <f>H51-(2/1.163)</f>
        <v>7.95830954428203</v>
      </c>
      <c r="K51" s="39"/>
      <c r="L51" s="39"/>
      <c r="M51" s="39"/>
    </row>
    <row r="52" spans="1:15" s="14" customFormat="1" ht="47.25" customHeight="1" x14ac:dyDescent="0.25">
      <c r="A52" s="60" t="s">
        <v>20</v>
      </c>
      <c r="B52" s="60"/>
      <c r="C52" s="23" t="s">
        <v>19</v>
      </c>
      <c r="D52" s="24" t="s">
        <v>18</v>
      </c>
      <c r="E52" s="25">
        <f>SUM(E45:E51)</f>
        <v>467.54900000000004</v>
      </c>
      <c r="F52" s="26">
        <f>SUM(F45:F51)</f>
        <v>433.77800000000002</v>
      </c>
      <c r="G52" s="26">
        <f>SUM(G45:G51)</f>
        <v>411.4220240756664</v>
      </c>
      <c r="H52" s="26">
        <f>SUM(H45:H51)</f>
        <v>373.15891143594155</v>
      </c>
      <c r="I52" s="26">
        <f>SUM(I45:I51)</f>
        <v>353.55444024075666</v>
      </c>
      <c r="K52" s="42">
        <f>G52-F52</f>
        <v>-22.35597592433362</v>
      </c>
      <c r="L52" s="42">
        <f>H52-F52-K52</f>
        <v>-38.263112639724852</v>
      </c>
      <c r="M52" s="42">
        <f>I52-F52-L52-K52</f>
        <v>-19.604471195184885</v>
      </c>
      <c r="N52" s="42"/>
      <c r="O52" s="42">
        <f>I52-F52</f>
        <v>-80.223559759243358</v>
      </c>
    </row>
    <row r="53" spans="1:15" s="14" customFormat="1" ht="47.25" customHeight="1" x14ac:dyDescent="0.25">
      <c r="A53" s="60" t="s">
        <v>22</v>
      </c>
      <c r="B53" s="60"/>
      <c r="C53" s="27" t="s">
        <v>19</v>
      </c>
      <c r="D53" s="24" t="s">
        <v>18</v>
      </c>
      <c r="E53" s="25">
        <f>E36+E43+E52</f>
        <v>16779.089266552019</v>
      </c>
      <c r="F53" s="26">
        <f>F36+F43+F52</f>
        <v>15775.324345657786</v>
      </c>
      <c r="G53" s="26">
        <f>G36+G43+G52</f>
        <v>15015.227183147033</v>
      </c>
      <c r="H53" s="26">
        <f>H36+H43+H52</f>
        <v>13823.468799656062</v>
      </c>
      <c r="I53" s="26">
        <f>I36+I43+I52</f>
        <v>12717.390553740326</v>
      </c>
      <c r="J53" s="28"/>
      <c r="K53" s="39"/>
      <c r="L53" s="39"/>
      <c r="M53" s="39"/>
      <c r="O53" s="42">
        <f>I53-F53</f>
        <v>-3057.9337919174595</v>
      </c>
    </row>
    <row r="54" spans="1:15" s="14" customFormat="1" ht="30" x14ac:dyDescent="0.25">
      <c r="A54" s="60"/>
      <c r="B54" s="60"/>
      <c r="C54" s="23" t="s">
        <v>53</v>
      </c>
      <c r="D54" s="24" t="s">
        <v>54</v>
      </c>
      <c r="E54" s="26">
        <f>E37</f>
        <v>50.96</v>
      </c>
      <c r="F54" s="26">
        <f t="shared" ref="F54:I54" si="4">F37</f>
        <v>55.2</v>
      </c>
      <c r="G54" s="26">
        <f t="shared" si="4"/>
        <v>55.2</v>
      </c>
      <c r="H54" s="26">
        <f t="shared" si="4"/>
        <v>33.400000000000006</v>
      </c>
      <c r="I54" s="26">
        <f t="shared" si="4"/>
        <v>33.400000000000006</v>
      </c>
      <c r="J54" s="28"/>
      <c r="K54" s="40">
        <f>F53-G53</f>
        <v>760.09716251075224</v>
      </c>
      <c r="L54" s="39"/>
      <c r="M54" s="39"/>
      <c r="O54" s="42">
        <f>I54-F54</f>
        <v>-21.799999999999997</v>
      </c>
    </row>
    <row r="55" spans="1:15" s="14" customFormat="1" ht="27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39"/>
      <c r="L55" s="39"/>
      <c r="M55" s="39"/>
    </row>
    <row r="56" spans="1:15" s="14" customFormat="1" ht="27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39"/>
      <c r="L56" s="39"/>
      <c r="M56" s="39"/>
    </row>
    <row r="57" spans="1:15" s="14" customFormat="1" ht="143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9"/>
      <c r="L57" s="39"/>
      <c r="M57" s="39"/>
    </row>
    <row r="58" spans="1:15" s="33" customFormat="1" ht="39" x14ac:dyDescent="0.6">
      <c r="A58" s="31" t="s">
        <v>59</v>
      </c>
      <c r="B58" s="31"/>
      <c r="C58" s="32"/>
      <c r="D58" s="32"/>
      <c r="E58" s="32"/>
      <c r="F58" s="32"/>
      <c r="G58" s="32"/>
      <c r="H58" s="58" t="s">
        <v>60</v>
      </c>
      <c r="I58" s="58"/>
      <c r="J58" s="32"/>
      <c r="K58" s="38"/>
      <c r="L58" s="38"/>
      <c r="M58" s="38"/>
    </row>
    <row r="59" spans="1:15" ht="27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38"/>
      <c r="L59" s="38"/>
      <c r="M59" s="38"/>
    </row>
    <row r="60" spans="1:15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38"/>
      <c r="L60" s="38"/>
      <c r="M60" s="38"/>
    </row>
    <row r="61" spans="1:15" ht="30.75" x14ac:dyDescent="0.45">
      <c r="A61" s="59" t="s">
        <v>61</v>
      </c>
      <c r="B61" s="59"/>
      <c r="C61" s="1"/>
      <c r="D61" s="1"/>
      <c r="E61" s="1"/>
      <c r="F61" s="1"/>
      <c r="G61" s="1"/>
      <c r="H61" s="1"/>
      <c r="I61" s="1"/>
      <c r="J61" s="1"/>
      <c r="K61" s="38"/>
      <c r="L61" s="38"/>
      <c r="M61" s="38"/>
    </row>
    <row r="62" spans="1:15" ht="30.75" x14ac:dyDescent="0.25">
      <c r="B62" s="29"/>
      <c r="C62" s="1"/>
      <c r="D62" s="1"/>
      <c r="E62" s="1"/>
      <c r="F62" s="1"/>
      <c r="G62" s="1"/>
      <c r="H62" s="1"/>
      <c r="I62" s="1"/>
      <c r="J62" s="1"/>
      <c r="K62" s="38"/>
      <c r="L62" s="38"/>
      <c r="M62" s="38"/>
    </row>
    <row r="63" spans="1:15" ht="27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38"/>
      <c r="L63" s="38"/>
      <c r="M63" s="38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</sheetData>
  <mergeCells count="18">
    <mergeCell ref="E3:I5"/>
    <mergeCell ref="A44:I44"/>
    <mergeCell ref="C9:C10"/>
    <mergeCell ref="A43:B43"/>
    <mergeCell ref="A9:A10"/>
    <mergeCell ref="B9:B10"/>
    <mergeCell ref="D9:D10"/>
    <mergeCell ref="A12:I12"/>
    <mergeCell ref="A38:I38"/>
    <mergeCell ref="A39:A40"/>
    <mergeCell ref="E9:I9"/>
    <mergeCell ref="F6:I6"/>
    <mergeCell ref="A8:I8"/>
    <mergeCell ref="H58:I58"/>
    <mergeCell ref="A61:B61"/>
    <mergeCell ref="A52:B52"/>
    <mergeCell ref="A36:B37"/>
    <mergeCell ref="A53:B54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2021-07-19T05:05:01Z</cp:lastPrinted>
  <dcterms:created xsi:type="dcterms:W3CDTF">2019-11-20T09:43:51Z</dcterms:created>
  <dcterms:modified xsi:type="dcterms:W3CDTF">2021-07-19T05:05:41Z</dcterms:modified>
</cp:coreProperties>
</file>