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додаток 1 2019" sheetId="1" r:id="rId1"/>
    <sheet name="додаток 1 2020" sheetId="2" r:id="rId2"/>
    <sheet name="додаток 1 2021  " sheetId="3" r:id="rId3"/>
    <sheet name="зведений 2019-2021" sheetId="4" r:id="rId4"/>
  </sheets>
  <definedNames>
    <definedName name="_GoBack" localSheetId="0">'додаток 1 2019'!$P$95</definedName>
  </definedNames>
  <calcPr fullCalcOnLoad="1"/>
</workbook>
</file>

<file path=xl/sharedStrings.xml><?xml version="1.0" encoding="utf-8"?>
<sst xmlns="http://schemas.openxmlformats.org/spreadsheetml/2006/main" count="752" uniqueCount="189">
  <si>
    <t>Назва міської програми</t>
  </si>
  <si>
    <t xml:space="preserve">Плановий обсяг фінансування </t>
  </si>
  <si>
    <t xml:space="preserve">Фактичний обсяг фінансування  </t>
  </si>
  <si>
    <t>Стан виконання (показники ефективності ,%)</t>
  </si>
  <si>
    <t>Усього</t>
  </si>
  <si>
    <t>у тому числі</t>
  </si>
  <si>
    <t>міський бюджет</t>
  </si>
  <si>
    <t xml:space="preserve">обласний бюджет </t>
  </si>
  <si>
    <t>загальний фонд</t>
  </si>
  <si>
    <t>спеціальний фонд</t>
  </si>
  <si>
    <t>Місцевий бюджет</t>
  </si>
  <si>
    <t>Державний бюджет</t>
  </si>
  <si>
    <t>Всього на виконання підпрограми 1</t>
  </si>
  <si>
    <t>Всього на виконання підпрограми 2</t>
  </si>
  <si>
    <t>Завдання 1. Соціальний захист учасників навчально - виховного процесу</t>
  </si>
  <si>
    <t>Всього на виконання підпрограми 3</t>
  </si>
  <si>
    <t>1.2. Реалізація міського проекту «Мистецтво і діти»</t>
  </si>
  <si>
    <t>Всього на виконання підпрограми 4</t>
  </si>
  <si>
    <t>Всього на виконання підпрограми 5</t>
  </si>
  <si>
    <t>Всього на виконання підпрограми 6</t>
  </si>
  <si>
    <t>Всього на виконання підпрограми 7</t>
  </si>
  <si>
    <t>Всього на виконання підпрограми 8</t>
  </si>
  <si>
    <t>Всього на виконання підпрограми 9</t>
  </si>
  <si>
    <t>Всього на виконання підпрограми 10</t>
  </si>
  <si>
    <r>
      <t xml:space="preserve">Компенсаційні виплати на пільговий проїзд електротранспортом окремим категоріям громадян </t>
    </r>
    <r>
      <rPr>
        <sz val="12"/>
        <color indexed="8"/>
        <rFont val="Times New Roman"/>
        <family val="1"/>
      </rPr>
      <t>(підпрограма 11)</t>
    </r>
  </si>
  <si>
    <t>Завдання 1. Проведення розрахунків за пільговий проїзд у міському електротранспорті та на автобусних маршрутах загального користування дітей 1-11 класів, які навчаються в закладах загальної середньої освіти м. Суми</t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</si>
  <si>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Виплата компенсацій за пільговий проїзд у міському електротранспорті дітей 1-11 класів (50%)</t>
    </r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</si>
  <si>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Виплата компенсацій за пільговий проїзд на автобусних маршрутах загального користування дітей 1-11 класів (50%)</t>
    </r>
  </si>
  <si>
    <t>Всього на виконання підпрограми 11</t>
  </si>
  <si>
    <t xml:space="preserve">Завдання 1. Розвиток та модернізація матеріально-технічної бази закладів освіти </t>
  </si>
  <si>
    <t>1.2. Капітальний ремонт будівель</t>
  </si>
  <si>
    <t>Всього на виконання підпрограми 12</t>
  </si>
  <si>
    <t xml:space="preserve">Додаток 1 </t>
  </si>
  <si>
    <t>від ___________ 2019 № ___- МР</t>
  </si>
  <si>
    <t>Інформація</t>
  </si>
  <si>
    <t>1.</t>
  </si>
  <si>
    <t>Управління освіти і науки Сумської міської ради</t>
  </si>
  <si>
    <t>КВКВ</t>
  </si>
  <si>
    <t>найменування головного розпорядника коштів програми</t>
  </si>
  <si>
    <t xml:space="preserve">2. </t>
  </si>
  <si>
    <t>найменування відповідального виконавця програми</t>
  </si>
  <si>
    <t>3.</t>
  </si>
  <si>
    <t xml:space="preserve">Комплексна міська  програма «Освіта м. Суми на 2016-2018 роки», затверджена рішенням  </t>
  </si>
  <si>
    <t>Сумської міської ради від 24 грудня 2015 року № 168-МР (зі змінами)</t>
  </si>
  <si>
    <t>найменування програми, дата і номер рішення міської ради про її затвердження</t>
  </si>
  <si>
    <t>КПКВК</t>
  </si>
  <si>
    <t>Виконавець: Данильченко А.М.</t>
  </si>
  <si>
    <t>________________ __________.2019 р.</t>
  </si>
  <si>
    <t>Сумський міський голова</t>
  </si>
  <si>
    <t>О.М.Лисенко</t>
  </si>
  <si>
    <t xml:space="preserve">до рішення Сумської міської ради "Про хід виконання комплексної міської програми "Освіта м. Суми на 2016 - 2018 роки " за 2016-2018 роки </t>
  </si>
  <si>
    <t>Додаток 2</t>
  </si>
  <si>
    <t>2019 рік (тис. грн)</t>
  </si>
  <si>
    <t>Дошкільна освіта ( підпрограма 1)</t>
  </si>
  <si>
    <t>Завдання 1. Розвиток дошкільної освіти</t>
  </si>
  <si>
    <t xml:space="preserve">1.1. Забезпечення якісного виховання дітей у закладах дошкільної освіти </t>
  </si>
  <si>
    <t xml:space="preserve">1.2. Забезпечення харчуванням вихованців  у закладах дошкільної освіти     </t>
  </si>
  <si>
    <t>1.3. Підвищення рівня комфортних умов для вихованців закладів дошкільної освіти</t>
  </si>
  <si>
    <t>1.4. Реалізація заходів з протипожежної безпеки</t>
  </si>
  <si>
    <t>1.5. Придбання обладнання довгострокового користування</t>
  </si>
  <si>
    <t>1.6. Капітальний ремонт будівель, приміщень, інженерних мереж, території</t>
  </si>
  <si>
    <t>1.7. Оснащення закладів дошкільної освіти пожежною сигналізацією</t>
  </si>
  <si>
    <t>Завдання 2. Виконання міської програми «Місто Суми - територія добра та милосердя» на 2019-2021 роки</t>
  </si>
  <si>
    <t>Завдання 3. Виконання міської програми «Соціальна підтримка учасників антитерористичної операції та членів їх сімей» на 2017-2019 роки"</t>
  </si>
  <si>
    <t>3.1.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</t>
  </si>
  <si>
    <r>
      <t>Завдання 4. Охоплення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дітей дошкільною освітою</t>
    </r>
  </si>
  <si>
    <t xml:space="preserve">4.1. Проведення системонї роз’яснювальної роботи серед батьків, діти яких досягли 5-ти річного віку, щодо значення дошкільної освіти у підготовці дітей до школи </t>
  </si>
  <si>
    <t>4.2. Забезпечення 100% охоплення дітей п’ятирічного віку різними формами дошкільної освіти</t>
  </si>
  <si>
    <t xml:space="preserve">4.3. Функціонування груп короткотривалого перебування «Разом з мамою», консультативних пунктів при ЗДО та НВК </t>
  </si>
  <si>
    <t>4.4. Сприяння широкому висвітленню роботи по забезпеченню населення достатньою та якісною дошкільною освітою в засобах масової інформації, соціальних мережах, власних Інтернет-сайтах.</t>
  </si>
  <si>
    <t>2.1. Соціальна підтримка вихованців закладів дошкільної освіти, які потребують особливої соціальної уваги</t>
  </si>
  <si>
    <r>
      <t xml:space="preserve">Загальна середня освіта  у закладах загальної середньої освіти </t>
    </r>
    <r>
      <rPr>
        <sz val="12"/>
        <color indexed="8"/>
        <rFont val="Times New Roman"/>
        <family val="1"/>
      </rPr>
      <t>(підпрограма 2)</t>
    </r>
  </si>
  <si>
    <t>Завдання 1. Розвиток загальної середньої освіти</t>
  </si>
  <si>
    <t xml:space="preserve">1.1. Забезпечення рівного доступу до якісної освіти учнів закладів загальної середньої освіти </t>
  </si>
  <si>
    <r>
      <t xml:space="preserve">1.2. </t>
    </r>
    <r>
      <rPr>
        <sz val="10"/>
        <color indexed="8"/>
        <rFont val="Times New Roman"/>
        <family val="1"/>
      </rPr>
      <t>Надання можливості отримання загальної середньої освіти дітям з особливими освітніми потребами, які навчаються у спеціальних та інклюзивних класах</t>
    </r>
  </si>
  <si>
    <r>
      <t xml:space="preserve">1.3. </t>
    </r>
    <r>
      <rPr>
        <sz val="10"/>
        <color indexed="8"/>
        <rFont val="Times New Roman"/>
        <family val="1"/>
      </rPr>
      <t>Організація якісного харчування учнів закладів загальної середньої освіти, дошкільних та шкільних підрозділів НВК</t>
    </r>
  </si>
  <si>
    <t>1.4. Підвищення рівня комфортних умов для учнів закладів загальної середньої освіти та НВК</t>
  </si>
  <si>
    <t>1.5. Реалізація заходів з протипожежної безпеки</t>
  </si>
  <si>
    <t>1.6. Придбання обладнання довгострокового користування</t>
  </si>
  <si>
    <t>1.7. Капітальний ремонт будівель та приміщень</t>
  </si>
  <si>
    <t>1.8. Оснащення закладів загальної середньої освіти  пожежною сигналізацією</t>
  </si>
  <si>
    <t>2.1.Соціальна підтримка учнів закладів загальної середньої освіти, які потребують особливої соціальної уваги</t>
  </si>
  <si>
    <t>Завдання 3. Виконання міської програми «Соціальна підтримка учасників антитерористичної операції та членів їх сімей» на 2017-2019 роки»</t>
  </si>
  <si>
    <r>
      <t xml:space="preserve">4.1. </t>
    </r>
    <r>
      <rPr>
        <sz val="10"/>
        <color indexed="8"/>
        <rFont val="Times New Roman"/>
        <family val="1"/>
      </rPr>
      <t>Встановлення сучасних систем відеоспостереження в закладах освіти міста</t>
    </r>
  </si>
  <si>
    <r>
      <t>3.1.</t>
    </r>
    <r>
      <rPr>
        <b/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Соціальна підтримка учнів та вихованців закладів освіти, батьки яких є учасниками антитерористичної операції, добровольцями – учасниками антитерористичної операції або загиблими (померлими) учасниками антитерористичної операції.</t>
    </r>
  </si>
  <si>
    <r>
      <t xml:space="preserve">Завдання 4. Виконання </t>
    </r>
    <r>
      <rPr>
        <b/>
        <sz val="10"/>
        <rFont val="Times New Roman"/>
        <family val="1"/>
      </rPr>
      <t>міської програми «Автоматизація муніципальних телекомунікаційних систем на 2017-2019 роки в м. Суми»</t>
    </r>
  </si>
  <si>
    <t xml:space="preserve">Завдання 5. Обов’язкове здобуття громадянами повної загальної середньої освіти, урізноманіт-нення моделей організації освіти </t>
  </si>
  <si>
    <t>5.1. Проведення просвітницької роботи серед учнів та батьків, надання методичної допомоги вчителям -предметникам щодо якісної підготовки до ЗНО</t>
  </si>
  <si>
    <t>5.2. Функціонування класів з поглибленим вивченням предметів та курсів за вибором</t>
  </si>
  <si>
    <t>5.3.Забезпечення охоплення навчанням дітей та підлітків шкільного віку</t>
  </si>
  <si>
    <t>5.4. Організація індивідуальних занять, консультацій, факультативів, гуртків за інтересами</t>
  </si>
  <si>
    <r>
      <t xml:space="preserve">Загальна середня освіта у вечірній (змінній) школі  </t>
    </r>
    <r>
      <rPr>
        <sz val="11"/>
        <color indexed="8"/>
        <rFont val="Times New Roman"/>
        <family val="1"/>
      </rPr>
      <t>(підпрограма 3)</t>
    </r>
  </si>
  <si>
    <t xml:space="preserve">1.1. Забезпечення належного навчання учнів вечірньої (змінної) школи </t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</si>
  <si>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для учнів вечірньої (змінної) школи</t>
    </r>
  </si>
  <si>
    <r>
      <t xml:space="preserve">Спеціальна освіта </t>
    </r>
    <r>
      <rPr>
        <sz val="12"/>
        <color indexed="8"/>
        <rFont val="Times New Roman"/>
        <family val="1"/>
      </rPr>
      <t>(підпрограма 4)</t>
    </r>
  </si>
  <si>
    <t xml:space="preserve">1.1. Забезпечення належного навчання учнів спеціальної загальноосвітньої школи </t>
  </si>
  <si>
    <r>
      <t xml:space="preserve">1.2. </t>
    </r>
    <r>
      <rPr>
        <sz val="10"/>
        <color indexed="8"/>
        <rFont val="Times New Roman"/>
        <family val="1"/>
      </rPr>
      <t xml:space="preserve">Організація якісного харчування учнів </t>
    </r>
    <r>
      <rPr>
        <sz val="9.5"/>
        <color indexed="8"/>
        <rFont val="Times New Roman"/>
        <family val="1"/>
      </rPr>
      <t>спеціальної загальноосвітньої школи</t>
    </r>
  </si>
  <si>
    <r>
      <t xml:space="preserve">1.3. </t>
    </r>
    <r>
      <rPr>
        <sz val="10"/>
        <color indexed="8"/>
        <rFont val="Times New Roman"/>
        <family val="1"/>
      </rPr>
      <t>Підвищення рівня комфортних умов для учнів спеціальної школи</t>
    </r>
  </si>
  <si>
    <t>1.6. Капітальний ремонт будівель та приміщень</t>
  </si>
  <si>
    <t>1.7. Оснащення пожежною сигналізацією</t>
  </si>
  <si>
    <t>Завдання 1. Розвиток загальної середньої освіти для дітей з особливими освітніми потребами</t>
  </si>
  <si>
    <r>
      <t xml:space="preserve">Позашкільна освіта </t>
    </r>
    <r>
      <rPr>
        <sz val="12"/>
        <color indexed="8"/>
        <rFont val="Times New Roman"/>
        <family val="1"/>
      </rPr>
      <t>(підпрограма 5)</t>
    </r>
  </si>
  <si>
    <t>Завдання 1. Розвиток позашкільної освіти</t>
  </si>
  <si>
    <t xml:space="preserve">1.1. Забезпечення належного навчання вихованців закладів позашкільної освіти </t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</si>
  <si>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для вихованців закладів позашкільної освіти</t>
    </r>
  </si>
  <si>
    <t>1.3. Реалізація заходів з протипожежної безпеки</t>
  </si>
  <si>
    <t>1.4. Придбання обладнання довгострокового користування</t>
  </si>
  <si>
    <t xml:space="preserve">1.5. Капітальний ремонт будівель </t>
  </si>
  <si>
    <t>1.6. Оснащення закладів позашкільної освіти пожежною сигналізацією</t>
  </si>
  <si>
    <r>
      <t xml:space="preserve">Централізований бухгалтерський та фінансовий облік у сфері «Освіта» </t>
    </r>
    <r>
      <rPr>
        <sz val="12"/>
        <color indexed="8"/>
        <rFont val="Times New Roman"/>
        <family val="1"/>
      </rPr>
      <t>(підпрограма 6)</t>
    </r>
  </si>
  <si>
    <t>Завдання 1. Стабільне фінансування закладів освіти</t>
  </si>
  <si>
    <t>1.1. Забезпечення ведення бухгалтерського обліку закладів та установ освіти, складання та надання кошторисної, звітної, фінансової документації, фінансування установ згідно з затвердженими кошторисами</t>
  </si>
  <si>
    <r>
      <t xml:space="preserve">Централізоване господарське обслуговування закладів освіти </t>
    </r>
    <r>
      <rPr>
        <sz val="12"/>
        <color indexed="8"/>
        <rFont val="Times New Roman"/>
        <family val="1"/>
      </rPr>
      <t>(підпрограма 7)</t>
    </r>
  </si>
  <si>
    <t>Завдання 1. Стабільне функціонування закладів освіти</t>
  </si>
  <si>
    <t>1.1. Забезпечення раціонального використання енергоресурсів, створення безпечних та комфортних умов перебування здобувачів освіти у приміщеннях закладів</t>
  </si>
  <si>
    <r>
      <t xml:space="preserve">Методичне забезпечення закладів освіти </t>
    </r>
    <r>
      <rPr>
        <sz val="12"/>
        <color indexed="8"/>
        <rFont val="Times New Roman"/>
        <family val="1"/>
      </rPr>
      <t>(підпрограма 8)</t>
    </r>
  </si>
  <si>
    <t>1.1. Забезпечення належної методичної роботи у закладах освіти, забезпечення роботи Інформаційно – методичного центру</t>
  </si>
  <si>
    <r>
      <t xml:space="preserve">Інші програми та заходи у сфері освіти   </t>
    </r>
    <r>
      <rPr>
        <sz val="12"/>
        <color indexed="8"/>
        <rFont val="Times New Roman"/>
        <family val="1"/>
      </rPr>
      <t>(підпрограма 9)</t>
    </r>
  </si>
  <si>
    <t xml:space="preserve">Завдання 1. Забезпечення можливостей використання творчого потенціалу дітей, створення умов для розвитку і підтримки талантів, захист дітей </t>
  </si>
  <si>
    <t>1.1. Надання адресної підтримки обдарованій молоді шляхом призначення та виплати  стипендій</t>
  </si>
  <si>
    <r>
      <t xml:space="preserve">Забезпечення діяльності інших закладів у сфері освіти  </t>
    </r>
    <r>
      <rPr>
        <sz val="12"/>
        <color indexed="8"/>
        <rFont val="Times New Roman"/>
        <family val="1"/>
      </rPr>
      <t>(підпрограма 10)</t>
    </r>
  </si>
  <si>
    <t>Завдання 1. Підвищення рівня комфортних умов для здобувачів освіти в МНВК</t>
  </si>
  <si>
    <t>1.1. Забезпечення належних умов навчання учнів у МНВК</t>
  </si>
  <si>
    <r>
      <t xml:space="preserve">1.2. </t>
    </r>
    <r>
      <rPr>
        <sz val="10"/>
        <color indexed="8"/>
        <rFont val="Times New Roman"/>
        <family val="1"/>
      </rPr>
      <t>Підвищення рівня комфортних умов учнів у МНВК</t>
    </r>
  </si>
  <si>
    <t>1.3. Реалізація заходів з протипожежної безпеки у МНВК</t>
  </si>
  <si>
    <t>1.4. Придбання обладнання довгострокового користування для МНВК</t>
  </si>
  <si>
    <t>1.5. Капітальний ремонт будівель та приміщень МНВК</t>
  </si>
  <si>
    <t>1.6. Оснащення приміщення МНВК пожежною сигналізацією</t>
  </si>
  <si>
    <t>Завдання 2. Розвиток логопедичних пунктів</t>
  </si>
  <si>
    <t>2.1. Забезпечення належних умов надання лопопедичних послуг</t>
  </si>
  <si>
    <t>Завдання 1. Розвиток професійно – технічної освіти</t>
  </si>
  <si>
    <r>
      <t>Професійно – технічна освіта (</t>
    </r>
    <r>
      <rPr>
        <sz val="12"/>
        <color indexed="8"/>
        <rFont val="Times New Roman"/>
        <family val="1"/>
      </rPr>
      <t>підпрограма 12)</t>
    </r>
  </si>
  <si>
    <r>
      <t>Виконання інвестиційних проектів в рамках здійснення заходів щодо соціально – економічного розвитку окремих територій</t>
    </r>
    <r>
      <rPr>
        <sz val="12"/>
        <color indexed="8"/>
        <rFont val="Times New Roman"/>
        <family val="1"/>
      </rPr>
      <t xml:space="preserve"> (підпрограма 13)</t>
    </r>
  </si>
  <si>
    <t xml:space="preserve">1.1. Забезпечення належного виховання дітей у закладах професійно – технічної освіти </t>
  </si>
  <si>
    <t xml:space="preserve">1.2. Забезпечення харчуванням учнів у закладах професійно - технічної освіти     </t>
  </si>
  <si>
    <t>1.3 Підвищення рівня комфортних умов для учнів закладів професійно – технічної  освіти</t>
  </si>
  <si>
    <t>1.4. Стипендіальне забезпечення</t>
  </si>
  <si>
    <r>
      <t>Забезпечення діяльності інклюзивно - ресурсних центрів</t>
    </r>
    <r>
      <rPr>
        <sz val="12"/>
        <color indexed="8"/>
        <rFont val="Times New Roman"/>
        <family val="1"/>
      </rPr>
      <t xml:space="preserve"> (підпрограма 14)</t>
    </r>
  </si>
  <si>
    <t>Завдання 1. Розвиток інклюзивно – ресурсного центру</t>
  </si>
  <si>
    <t>1.1. Забезпечення належних умов надання послуг здобувачам освіти з особливими освітніми потребами</t>
  </si>
  <si>
    <t>1.2. Підвищення рівня комфортних умов в ІРЦ</t>
  </si>
  <si>
    <t>1.3. Придбання обладнання довгострокового користування для ІРЦ</t>
  </si>
  <si>
    <t>Всього на виконання підпрограми 13</t>
  </si>
  <si>
    <t>Всього на виконання підпрограми 14</t>
  </si>
  <si>
    <t>1.1. Придбання обладнання довгострокового користування</t>
  </si>
  <si>
    <t>Завдання 1. Розвиток та модернізація матеріально-технічної бази закладів освіти</t>
  </si>
  <si>
    <t>Всього на виконання підпрограми 15</t>
  </si>
  <si>
    <t>1.1.Будівництво освітніх закладів та об’єктів освітнього напрямку</t>
  </si>
  <si>
    <t xml:space="preserve">1.2. Реконструкція будівель, споруд та інших об’єктів закладів освіти </t>
  </si>
  <si>
    <r>
      <t>Будівництво освітніх установ та закладів (</t>
    </r>
    <r>
      <rPr>
        <sz val="12"/>
        <color indexed="8"/>
        <rFont val="Times New Roman"/>
        <family val="1"/>
      </rPr>
      <t>підпрограма 15</t>
    </r>
    <r>
      <rPr>
        <b/>
        <sz val="12"/>
        <color indexed="8"/>
        <rFont val="Times New Roman"/>
        <family val="1"/>
      </rPr>
      <t>)</t>
    </r>
  </si>
  <si>
    <t>Всього на виконання комплексної міської програми «Освіта м. Суми на 2019-2021 роки» за підсумками 2019 року</t>
  </si>
  <si>
    <t>1.6. Капітальний ремонт будівель</t>
  </si>
  <si>
    <t>Реалізація заходів, спрямованих на підвищення якості освіти (підпрограма 16)</t>
  </si>
  <si>
    <t>Розвиток та модернізація матеріально-технічної бази закладів освіти</t>
  </si>
  <si>
    <t>1.1. Придбання шкільного автобуса, у тому числі обладнаних місцями для дітей з особливими освітніми потребами</t>
  </si>
  <si>
    <t>Всього на виконання підпрограми 16</t>
  </si>
  <si>
    <t>2020 рік (тис. грн)</t>
  </si>
  <si>
    <t>бюджет ОТГ</t>
  </si>
  <si>
    <t>________________ __________.2020 р.</t>
  </si>
  <si>
    <t xml:space="preserve">до рішення Сумської міської ради "Про хід виконання комплексної міської програми "Освіта м. Суми на 2019 - 2021 роки " за підсумками 2019 року </t>
  </si>
  <si>
    <t>від ___________ 2020 № ___- МР</t>
  </si>
  <si>
    <t>про хід виконання комплексної міської програми «Освіта м. Суми на 2019-2020 роки», затвердженої рішенням Сумської міської ради від 19 грудня 2018 року № 4326-МР (зі змінами), за підсумками 2019 року</t>
  </si>
  <si>
    <t xml:space="preserve">Комплексна міська  програма «Освіта м. Суми на 2019-2020 роки», затверджена рішенням  </t>
  </si>
  <si>
    <t>Сумської міської ради від 19 грудня 2018 року № 4326-МР (зі змінами)</t>
  </si>
  <si>
    <t>1.3.  Капітальний ремонт будівель, приміщень, інженерних мереж, території закладів освіти</t>
  </si>
  <si>
    <t>1.4. Оснащення приміщень закладів освіти системою автоматичної пожежної сигналізації, оповіщення людей про пожежу та передавання тривожних сповіщень; системою протипоженого захисту у складі блискавкозахисту будівель закладів освіти</t>
  </si>
  <si>
    <t xml:space="preserve">1.2. Капітальний ремонт будівель, приміщень, інженерних мереж, території закладів освіти </t>
  </si>
  <si>
    <t>1.3. Оснащення приміщень закладів освіти  системою автоматичної пожежної сигналізації, оповіщення людей про пожежу та передавання тривожних сповіщень;</t>
  </si>
  <si>
    <t>1.7. Оплата послуг з підготовки кадрів на умовах регіонального замовлення у закладах професійної (професійно-технічної) освіти  учнів, місце реєстрації яких є Сумська міська об’єднана територіальна громада</t>
  </si>
  <si>
    <t>Спроможна школа для краших результатів (підпрограма 17)</t>
  </si>
  <si>
    <t xml:space="preserve">1.1. Капітальний ремонт будівель, приміщень, інженерних мереж, території закладів освіти </t>
  </si>
  <si>
    <t>Всього на виконання підпрограми 17</t>
  </si>
  <si>
    <t>Завдання 3. Професійний розвиток педагогічних працівників</t>
  </si>
  <si>
    <t xml:space="preserve">3.1.Забезпечення належної роботи Центру професійного розвитку педагогічних працівників </t>
  </si>
  <si>
    <t>про хід виконання комплексної міської програми «Освіта м. Суми на 2019-2020 роки», затвердженої рішенням Сумської міської ради від 19 грудня 2018 року № 4326-МР (зі змінами), за підсумками 2020 року</t>
  </si>
  <si>
    <t>про хід виконання комплексної міської програми «Освіта м. Суми на 2019-2020 роки», затвердженої рішенням Сумської міської ради від 19 грудня 2018 року № 4326-МР (зі змінами), за підсумками 2021 року</t>
  </si>
  <si>
    <t xml:space="preserve">1.5. Капітальний ремонт внутрішніх приміщень </t>
  </si>
  <si>
    <t>1.6. Капітальний ремонт харчоблоків</t>
  </si>
  <si>
    <t xml:space="preserve">1.7. Капітальний ремонт покрівлі </t>
  </si>
  <si>
    <t>1.8. Капітальний ремонт асфальтового покриття, улаштування тротуатної плитки</t>
  </si>
  <si>
    <t>1.9. Капітальний ремонт обладнання пристроїв захисту від прямих попадань блискавки і вторинних її проявів</t>
  </si>
  <si>
    <t>1.10. Оснащення закладів загальної середньої освіти  пожежною сигналізацією ЗДО №№ 7, 22, 25, ЗОШ № 12,  ЗЗСО № 21, Сумська гімназія № 1, ЦЕНТУМ</t>
  </si>
  <si>
    <t>2021 рік (тис. грн)</t>
  </si>
  <si>
    <t xml:space="preserve">до рішення Сумської міської ради "Про хід виконання комплексної  програми Сумської міської об'єднаної територіальної громади "Освіта на 2019 - 2021 роки ", затвердженої рішенням Сумської міської ради від 19 грудня 2018 року № 4326-МР (зі змінами),  за підсумками 2020 року </t>
  </si>
  <si>
    <t xml:space="preserve">про хід виконання комплексної  програми Сумської міської об'єднаної територіальної громади "Освіта на 2019 - 2021 роки ",  затвердженої рішенням Сумської міської ради від 19 грудня 2018 року № 4326-МР (зі змінами), за підсумками 2020 року </t>
  </si>
  <si>
    <t>затверджена рішенням Сумської міської ради від 19 грудня 2018 року № 4326-МР (зі змінами)</t>
  </si>
  <si>
    <t>Комплексна програма  Сумської міської об'єднаної територіальної громади "Освіта на 2019 - 2021 роки ",</t>
  </si>
  <si>
    <t>від 12 тавня 2021 № 884 - МР</t>
  </si>
  <si>
    <t>________________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</si>
</sst>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NewRomanPS-BoldMT"/>
      <family val="0"/>
    </font>
    <font>
      <b/>
      <sz val="9.5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TimesNewRomanPS-BoldMT"/>
      <family val="0"/>
    </font>
    <font>
      <b/>
      <sz val="9.5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11"/>
      <color theme="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wrapText="1"/>
    </xf>
    <xf numFmtId="184" fontId="62" fillId="0" borderId="10" xfId="0" applyNumberFormat="1" applyFont="1" applyBorder="1" applyAlignment="1">
      <alignment horizontal="center" vertical="center"/>
    </xf>
    <xf numFmtId="184" fontId="62" fillId="33" borderId="10" xfId="0" applyNumberFormat="1" applyFont="1" applyFill="1" applyBorder="1" applyAlignment="1">
      <alignment horizontal="center" vertical="center"/>
    </xf>
    <xf numFmtId="184" fontId="62" fillId="33" borderId="10" xfId="0" applyNumberFormat="1" applyFont="1" applyFill="1" applyBorder="1" applyAlignment="1">
      <alignment/>
    </xf>
    <xf numFmtId="184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 wrapText="1"/>
    </xf>
    <xf numFmtId="0" fontId="62" fillId="33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/>
    </xf>
    <xf numFmtId="0" fontId="65" fillId="33" borderId="10" xfId="0" applyFont="1" applyFill="1" applyBorder="1" applyAlignment="1">
      <alignment vertical="center" wrapText="1"/>
    </xf>
    <xf numFmtId="0" fontId="65" fillId="33" borderId="10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/>
    </xf>
    <xf numFmtId="0" fontId="66" fillId="33" borderId="10" xfId="0" applyFont="1" applyFill="1" applyBorder="1" applyAlignment="1">
      <alignment vertical="center" wrapText="1"/>
    </xf>
    <xf numFmtId="0" fontId="67" fillId="33" borderId="10" xfId="0" applyFont="1" applyFill="1" applyBorder="1" applyAlignment="1">
      <alignment wrapText="1"/>
    </xf>
    <xf numFmtId="0" fontId="63" fillId="0" borderId="10" xfId="0" applyFont="1" applyBorder="1" applyAlignment="1">
      <alignment horizontal="left" vertical="center" wrapText="1"/>
    </xf>
    <xf numFmtId="0" fontId="68" fillId="34" borderId="10" xfId="0" applyFont="1" applyFill="1" applyBorder="1" applyAlignment="1">
      <alignment wrapText="1"/>
    </xf>
    <xf numFmtId="0" fontId="61" fillId="35" borderId="10" xfId="0" applyFont="1" applyFill="1" applyBorder="1" applyAlignment="1">
      <alignment/>
    </xf>
    <xf numFmtId="0" fontId="61" fillId="35" borderId="10" xfId="0" applyFont="1" applyFill="1" applyBorder="1" applyAlignment="1">
      <alignment horizontal="center" vertical="center"/>
    </xf>
    <xf numFmtId="184" fontId="61" fillId="35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9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2" fontId="61" fillId="35" borderId="10" xfId="0" applyNumberFormat="1" applyFont="1" applyFill="1" applyBorder="1" applyAlignment="1">
      <alignment horizontal="center" vertical="center"/>
    </xf>
    <xf numFmtId="184" fontId="61" fillId="34" borderId="10" xfId="0" applyNumberFormat="1" applyFont="1" applyFill="1" applyBorder="1" applyAlignment="1">
      <alignment horizontal="center" vertical="center"/>
    </xf>
    <xf numFmtId="2" fontId="61" fillId="34" borderId="10" xfId="0" applyNumberFormat="1" applyFont="1" applyFill="1" applyBorder="1" applyAlignment="1">
      <alignment horizontal="center" vertical="center"/>
    </xf>
    <xf numFmtId="184" fontId="62" fillId="36" borderId="10" xfId="0" applyNumberFormat="1" applyFont="1" applyFill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4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3" fillId="36" borderId="10" xfId="0" applyFont="1" applyFill="1" applyBorder="1" applyAlignment="1">
      <alignment wrapText="1"/>
    </xf>
    <xf numFmtId="0" fontId="63" fillId="0" borderId="10" xfId="0" applyFont="1" applyBorder="1" applyAlignment="1">
      <alignment vertical="center"/>
    </xf>
    <xf numFmtId="0" fontId="70" fillId="0" borderId="0" xfId="0" applyFont="1" applyAlignment="1">
      <alignment/>
    </xf>
    <xf numFmtId="0" fontId="70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2" fillId="0" borderId="0" xfId="0" applyFont="1" applyAlignment="1">
      <alignment/>
    </xf>
    <xf numFmtId="0" fontId="43" fillId="0" borderId="0" xfId="0" applyFont="1" applyAlignment="1">
      <alignment/>
    </xf>
    <xf numFmtId="0" fontId="63" fillId="0" borderId="10" xfId="0" applyFont="1" applyBorder="1" applyAlignment="1">
      <alignment horizontal="justify" vertical="center" wrapText="1"/>
    </xf>
    <xf numFmtId="0" fontId="64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3" fillId="33" borderId="10" xfId="0" applyFont="1" applyFill="1" applyBorder="1" applyAlignment="1">
      <alignment wrapText="1"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5" fillId="33" borderId="0" xfId="0" applyFont="1" applyFill="1" applyAlignment="1">
      <alignment wrapText="1"/>
    </xf>
    <xf numFmtId="0" fontId="63" fillId="33" borderId="10" xfId="0" applyFont="1" applyFill="1" applyBorder="1" applyAlignment="1">
      <alignment horizontal="left" wrapText="1"/>
    </xf>
    <xf numFmtId="0" fontId="62" fillId="0" borderId="10" xfId="0" applyFont="1" applyBorder="1" applyAlignment="1">
      <alignment wrapText="1"/>
    </xf>
    <xf numFmtId="0" fontId="63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vertical="center" wrapText="1"/>
    </xf>
    <xf numFmtId="0" fontId="68" fillId="33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left" wrapText="1"/>
    </xf>
    <xf numFmtId="184" fontId="38" fillId="0" borderId="10" xfId="0" applyNumberFormat="1" applyFont="1" applyBorder="1" applyAlignment="1">
      <alignment/>
    </xf>
    <xf numFmtId="2" fontId="61" fillId="36" borderId="10" xfId="0" applyNumberFormat="1" applyFont="1" applyFill="1" applyBorder="1" applyAlignment="1">
      <alignment horizontal="center" vertical="center"/>
    </xf>
    <xf numFmtId="184" fontId="61" fillId="33" borderId="10" xfId="0" applyNumberFormat="1" applyFont="1" applyFill="1" applyBorder="1" applyAlignment="1">
      <alignment horizontal="center" vertical="center"/>
    </xf>
    <xf numFmtId="2" fontId="61" fillId="33" borderId="10" xfId="0" applyNumberFormat="1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wrapText="1"/>
    </xf>
    <xf numFmtId="0" fontId="64" fillId="36" borderId="10" xfId="0" applyFont="1" applyFill="1" applyBorder="1" applyAlignment="1">
      <alignment wrapText="1"/>
    </xf>
    <xf numFmtId="0" fontId="64" fillId="36" borderId="10" xfId="0" applyFont="1" applyFill="1" applyBorder="1" applyAlignment="1">
      <alignment/>
    </xf>
    <xf numFmtId="0" fontId="63" fillId="36" borderId="10" xfId="0" applyFont="1" applyFill="1" applyBorder="1" applyAlignment="1">
      <alignment/>
    </xf>
    <xf numFmtId="184" fontId="6" fillId="0" borderId="0" xfId="0" applyNumberFormat="1" applyFont="1" applyAlignment="1">
      <alignment/>
    </xf>
    <xf numFmtId="0" fontId="6" fillId="0" borderId="0" xfId="0" applyFont="1" applyAlignment="1">
      <alignment/>
    </xf>
    <xf numFmtId="184" fontId="62" fillId="0" borderId="0" xfId="0" applyNumberFormat="1" applyFont="1" applyAlignment="1">
      <alignment/>
    </xf>
    <xf numFmtId="184" fontId="61" fillId="36" borderId="10" xfId="0" applyNumberFormat="1" applyFont="1" applyFill="1" applyBorder="1" applyAlignment="1">
      <alignment horizontal="center" vertical="center"/>
    </xf>
    <xf numFmtId="184" fontId="61" fillId="33" borderId="11" xfId="0" applyNumberFormat="1" applyFont="1" applyFill="1" applyBorder="1" applyAlignment="1">
      <alignment horizontal="center" vertical="center"/>
    </xf>
    <xf numFmtId="2" fontId="61" fillId="33" borderId="11" xfId="0" applyNumberFormat="1" applyFont="1" applyFill="1" applyBorder="1" applyAlignment="1">
      <alignment horizontal="center" vertical="center"/>
    </xf>
    <xf numFmtId="0" fontId="64" fillId="0" borderId="10" xfId="0" applyFont="1" applyBorder="1" applyAlignment="1">
      <alignment vertical="center" wrapText="1"/>
    </xf>
    <xf numFmtId="184" fontId="74" fillId="36" borderId="10" xfId="0" applyNumberFormat="1" applyFont="1" applyFill="1" applyBorder="1" applyAlignment="1">
      <alignment horizontal="center" vertical="center"/>
    </xf>
    <xf numFmtId="2" fontId="74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2" fontId="63" fillId="0" borderId="10" xfId="0" applyNumberFormat="1" applyFont="1" applyBorder="1" applyAlignment="1">
      <alignment horizontal="center" vertical="center" wrapText="1"/>
    </xf>
    <xf numFmtId="184" fontId="6" fillId="0" borderId="10" xfId="0" applyNumberFormat="1" applyFont="1" applyBorder="1" applyAlignment="1">
      <alignment horizontal="center" vertical="center"/>
    </xf>
    <xf numFmtId="184" fontId="12" fillId="36" borderId="10" xfId="0" applyNumberFormat="1" applyFont="1" applyFill="1" applyBorder="1" applyAlignment="1">
      <alignment horizontal="center" vertical="center"/>
    </xf>
    <xf numFmtId="184" fontId="72" fillId="0" borderId="0" xfId="0" applyNumberFormat="1" applyFont="1" applyAlignment="1">
      <alignment/>
    </xf>
    <xf numFmtId="0" fontId="6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/>
    </xf>
    <xf numFmtId="184" fontId="75" fillId="0" borderId="10" xfId="0" applyNumberFormat="1" applyFont="1" applyFill="1" applyBorder="1" applyAlignment="1">
      <alignment horizontal="center" vertical="center"/>
    </xf>
    <xf numFmtId="184" fontId="75" fillId="36" borderId="10" xfId="0" applyNumberFormat="1" applyFont="1" applyFill="1" applyBorder="1" applyAlignment="1">
      <alignment horizontal="center" vertical="center"/>
    </xf>
    <xf numFmtId="0" fontId="63" fillId="0" borderId="12" xfId="0" applyFont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184" fontId="62" fillId="0" borderId="11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9" fillId="0" borderId="0" xfId="0" applyFont="1" applyAlignment="1">
      <alignment wrapText="1"/>
    </xf>
    <xf numFmtId="0" fontId="38" fillId="0" borderId="0" xfId="0" applyFont="1" applyAlignment="1">
      <alignment/>
    </xf>
    <xf numFmtId="0" fontId="13" fillId="0" borderId="0" xfId="0" applyFont="1" applyAlignment="1">
      <alignment vertical="center"/>
    </xf>
    <xf numFmtId="0" fontId="68" fillId="36" borderId="13" xfId="0" applyFont="1" applyFill="1" applyBorder="1" applyAlignment="1">
      <alignment horizontal="center"/>
    </xf>
    <xf numFmtId="0" fontId="68" fillId="36" borderId="14" xfId="0" applyFont="1" applyFill="1" applyBorder="1" applyAlignment="1">
      <alignment horizontal="center"/>
    </xf>
    <xf numFmtId="0" fontId="68" fillId="36" borderId="12" xfId="0" applyFont="1" applyFill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1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61" fillId="36" borderId="13" xfId="0" applyFont="1" applyFill="1" applyBorder="1" applyAlignment="1">
      <alignment horizontal="center"/>
    </xf>
    <xf numFmtId="0" fontId="61" fillId="36" borderId="14" xfId="0" applyFont="1" applyFill="1" applyBorder="1" applyAlignment="1">
      <alignment horizontal="center"/>
    </xf>
    <xf numFmtId="0" fontId="61" fillId="36" borderId="12" xfId="0" applyFont="1" applyFill="1" applyBorder="1" applyAlignment="1">
      <alignment horizontal="center"/>
    </xf>
    <xf numFmtId="0" fontId="77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69" fillId="0" borderId="0" xfId="0" applyFont="1" applyAlignment="1">
      <alignment horizontal="left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0" fillId="0" borderId="0" xfId="0" applyFon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zoomScale="73" zoomScaleNormal="73" zoomScalePageLayoutView="0" workbookViewId="0" topLeftCell="A154">
      <selection activeCell="A6" sqref="A6:P6"/>
    </sheetView>
  </sheetViews>
  <sheetFormatPr defaultColWidth="9.140625" defaultRowHeight="15"/>
  <cols>
    <col min="1" max="1" width="47.00390625" style="0" customWidth="1"/>
    <col min="2" max="2" width="11.8515625" style="0" customWidth="1"/>
    <col min="3" max="3" width="9.7109375" style="0" customWidth="1"/>
    <col min="7" max="7" width="10.421875" style="0" customWidth="1"/>
    <col min="9" max="9" width="10.140625" style="0" customWidth="1"/>
    <col min="10" max="10" width="11.140625" style="0" customWidth="1"/>
    <col min="14" max="15" width="11.140625" style="0" customWidth="1"/>
    <col min="16" max="16" width="25.28125" style="0" customWidth="1"/>
    <col min="17" max="17" width="15.8515625" style="0" customWidth="1"/>
  </cols>
  <sheetData>
    <row r="1" spans="14:16" ht="15.75">
      <c r="N1" s="124" t="s">
        <v>51</v>
      </c>
      <c r="O1" s="124"/>
      <c r="P1" s="124"/>
    </row>
    <row r="2" spans="14:16" ht="60" customHeight="1">
      <c r="N2" s="125" t="s">
        <v>159</v>
      </c>
      <c r="O2" s="125"/>
      <c r="P2" s="125"/>
    </row>
    <row r="3" spans="14:16" ht="15.75">
      <c r="N3" s="29" t="s">
        <v>160</v>
      </c>
      <c r="O3" s="29"/>
      <c r="P3" s="29"/>
    </row>
    <row r="4" spans="14:16" ht="15.75">
      <c r="N4" s="29"/>
      <c r="O4" s="29"/>
      <c r="P4" s="29"/>
    </row>
    <row r="5" spans="1:16" ht="18.75">
      <c r="A5" s="126" t="s">
        <v>34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ht="37.5" customHeight="1">
      <c r="A6" s="127" t="s">
        <v>161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18.7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1:16" ht="18.75">
      <c r="A8" s="30" t="s">
        <v>35</v>
      </c>
      <c r="B8" s="30">
        <v>10</v>
      </c>
      <c r="C8" s="30"/>
      <c r="D8" s="122" t="s">
        <v>36</v>
      </c>
      <c r="E8" s="122"/>
      <c r="F8" s="122"/>
      <c r="G8" s="122"/>
      <c r="H8" s="122"/>
      <c r="I8" s="122"/>
      <c r="J8" s="122"/>
      <c r="K8" s="30"/>
      <c r="L8" s="30"/>
      <c r="M8" s="30"/>
      <c r="N8" s="30"/>
      <c r="O8" s="30"/>
      <c r="P8" s="30"/>
    </row>
    <row r="9" spans="1:16" ht="18.75">
      <c r="A9" s="30"/>
      <c r="B9" s="30" t="s">
        <v>37</v>
      </c>
      <c r="C9" s="30"/>
      <c r="D9" s="128" t="s">
        <v>38</v>
      </c>
      <c r="E9" s="128"/>
      <c r="F9" s="128"/>
      <c r="G9" s="128"/>
      <c r="H9" s="128"/>
      <c r="I9" s="128"/>
      <c r="J9" s="128"/>
      <c r="K9" s="30"/>
      <c r="L9" s="30"/>
      <c r="M9" s="30"/>
      <c r="N9" s="30"/>
      <c r="O9" s="30"/>
      <c r="P9" s="30"/>
    </row>
    <row r="10" spans="1:16" ht="18.75">
      <c r="A10" s="30" t="s">
        <v>39</v>
      </c>
      <c r="B10" s="30"/>
      <c r="C10" s="30"/>
      <c r="D10" s="122" t="s">
        <v>36</v>
      </c>
      <c r="E10" s="122"/>
      <c r="F10" s="122"/>
      <c r="G10" s="122"/>
      <c r="H10" s="122"/>
      <c r="I10" s="122"/>
      <c r="J10" s="122"/>
      <c r="K10" s="30"/>
      <c r="L10" s="30"/>
      <c r="M10" s="30"/>
      <c r="N10" s="30"/>
      <c r="O10" s="30"/>
      <c r="P10" s="30"/>
    </row>
    <row r="11" spans="4:10" ht="15">
      <c r="D11" s="114" t="s">
        <v>40</v>
      </c>
      <c r="E11" s="114"/>
      <c r="F11" s="114"/>
      <c r="G11" s="114"/>
      <c r="H11" s="114"/>
      <c r="I11" s="114"/>
      <c r="J11" s="114"/>
    </row>
    <row r="12" spans="1:13" ht="18.75">
      <c r="A12" s="32" t="s">
        <v>41</v>
      </c>
      <c r="B12" s="34">
        <v>611010</v>
      </c>
      <c r="D12" s="113" t="s">
        <v>162</v>
      </c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ht="15.75">
      <c r="A13" s="28"/>
      <c r="B13" s="34">
        <v>611020</v>
      </c>
      <c r="D13" s="123" t="s">
        <v>163</v>
      </c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13" ht="15">
      <c r="A14" s="28"/>
      <c r="B14" s="34">
        <v>611030</v>
      </c>
      <c r="D14" s="114" t="s">
        <v>44</v>
      </c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2" ht="15">
      <c r="A15" s="28"/>
      <c r="B15" s="34">
        <v>611070</v>
      </c>
    </row>
    <row r="16" spans="1:2" ht="15">
      <c r="A16" s="28"/>
      <c r="B16" s="34">
        <v>611090</v>
      </c>
    </row>
    <row r="17" spans="1:2" ht="15">
      <c r="A17" s="28"/>
      <c r="B17" s="34">
        <v>611150</v>
      </c>
    </row>
    <row r="18" spans="1:2" ht="15">
      <c r="A18" s="28"/>
      <c r="B18" s="34">
        <v>611161</v>
      </c>
    </row>
    <row r="19" spans="1:2" ht="15">
      <c r="A19" s="28"/>
      <c r="B19" s="34">
        <v>611162</v>
      </c>
    </row>
    <row r="20" spans="1:2" ht="15">
      <c r="A20" s="28"/>
      <c r="B20" s="34">
        <v>611110</v>
      </c>
    </row>
    <row r="21" spans="1:2" ht="15">
      <c r="A21" s="28"/>
      <c r="B21" s="34">
        <v>611170</v>
      </c>
    </row>
    <row r="22" spans="1:2" ht="15">
      <c r="A22" s="28"/>
      <c r="B22" s="35">
        <v>617363</v>
      </c>
    </row>
    <row r="23" ht="15">
      <c r="B23" s="33" t="s">
        <v>45</v>
      </c>
    </row>
    <row r="25" spans="1:16" ht="22.5" customHeight="1">
      <c r="A25" s="112" t="s">
        <v>0</v>
      </c>
      <c r="B25" s="112" t="s">
        <v>1</v>
      </c>
      <c r="C25" s="112"/>
      <c r="D25" s="112"/>
      <c r="E25" s="112"/>
      <c r="F25" s="112"/>
      <c r="G25" s="112"/>
      <c r="H25" s="112"/>
      <c r="I25" s="112" t="s">
        <v>2</v>
      </c>
      <c r="J25" s="112"/>
      <c r="K25" s="112"/>
      <c r="L25" s="112"/>
      <c r="M25" s="112"/>
      <c r="N25" s="112"/>
      <c r="O25" s="112"/>
      <c r="P25" s="112" t="s">
        <v>3</v>
      </c>
    </row>
    <row r="26" spans="1:16" ht="24.75" customHeight="1">
      <c r="A26" s="112"/>
      <c r="B26" s="112" t="s">
        <v>52</v>
      </c>
      <c r="C26" s="112"/>
      <c r="D26" s="112"/>
      <c r="E26" s="112"/>
      <c r="F26" s="112"/>
      <c r="G26" s="112"/>
      <c r="H26" s="112"/>
      <c r="I26" s="112" t="s">
        <v>52</v>
      </c>
      <c r="J26" s="112"/>
      <c r="K26" s="112"/>
      <c r="L26" s="112"/>
      <c r="M26" s="112"/>
      <c r="N26" s="112"/>
      <c r="O26" s="112"/>
      <c r="P26" s="112"/>
    </row>
    <row r="27" spans="1:16" ht="15.75" customHeight="1">
      <c r="A27" s="112"/>
      <c r="B27" s="115" t="s">
        <v>4</v>
      </c>
      <c r="C27" s="112" t="s">
        <v>5</v>
      </c>
      <c r="D27" s="112"/>
      <c r="E27" s="112"/>
      <c r="F27" s="112"/>
      <c r="G27" s="112"/>
      <c r="H27" s="112"/>
      <c r="I27" s="112" t="s">
        <v>4</v>
      </c>
      <c r="J27" s="112" t="s">
        <v>5</v>
      </c>
      <c r="K27" s="112"/>
      <c r="L27" s="112"/>
      <c r="M27" s="112"/>
      <c r="N27" s="112"/>
      <c r="O27" s="112"/>
      <c r="P27" s="112"/>
    </row>
    <row r="28" spans="1:16" ht="22.5" customHeight="1">
      <c r="A28" s="112"/>
      <c r="B28" s="115"/>
      <c r="C28" s="112" t="s">
        <v>10</v>
      </c>
      <c r="D28" s="112"/>
      <c r="E28" s="112"/>
      <c r="F28" s="112"/>
      <c r="G28" s="112" t="s">
        <v>11</v>
      </c>
      <c r="H28" s="112"/>
      <c r="I28" s="112"/>
      <c r="J28" s="112" t="s">
        <v>10</v>
      </c>
      <c r="K28" s="112"/>
      <c r="L28" s="112"/>
      <c r="M28" s="112"/>
      <c r="N28" s="112" t="s">
        <v>11</v>
      </c>
      <c r="O28" s="112"/>
      <c r="P28" s="112"/>
    </row>
    <row r="29" spans="1:16" ht="15">
      <c r="A29" s="112"/>
      <c r="B29" s="115"/>
      <c r="C29" s="112" t="s">
        <v>6</v>
      </c>
      <c r="D29" s="112"/>
      <c r="E29" s="112" t="s">
        <v>7</v>
      </c>
      <c r="F29" s="112"/>
      <c r="G29" s="112"/>
      <c r="H29" s="112"/>
      <c r="I29" s="112"/>
      <c r="J29" s="112" t="s">
        <v>6</v>
      </c>
      <c r="K29" s="112"/>
      <c r="L29" s="112" t="s">
        <v>7</v>
      </c>
      <c r="M29" s="112"/>
      <c r="N29" s="112"/>
      <c r="O29" s="112"/>
      <c r="P29" s="112"/>
    </row>
    <row r="30" spans="1:16" ht="45.75" customHeight="1">
      <c r="A30" s="112"/>
      <c r="B30" s="115"/>
      <c r="C30" s="1" t="s">
        <v>8</v>
      </c>
      <c r="D30" s="1" t="s">
        <v>9</v>
      </c>
      <c r="E30" s="1" t="s">
        <v>8</v>
      </c>
      <c r="F30" s="1" t="s">
        <v>9</v>
      </c>
      <c r="G30" s="1" t="s">
        <v>8</v>
      </c>
      <c r="H30" s="1" t="s">
        <v>9</v>
      </c>
      <c r="I30" s="112"/>
      <c r="J30" s="1" t="s">
        <v>8</v>
      </c>
      <c r="K30" s="1" t="s">
        <v>9</v>
      </c>
      <c r="L30" s="1" t="s">
        <v>8</v>
      </c>
      <c r="M30" s="1" t="s">
        <v>9</v>
      </c>
      <c r="N30" s="1" t="s">
        <v>8</v>
      </c>
      <c r="O30" s="1" t="s">
        <v>9</v>
      </c>
      <c r="P30" s="112"/>
    </row>
    <row r="31" spans="1:16" ht="15">
      <c r="A31" s="2">
        <v>1</v>
      </c>
      <c r="B31" s="2">
        <v>2</v>
      </c>
      <c r="C31" s="2">
        <v>3</v>
      </c>
      <c r="D31" s="2">
        <v>4</v>
      </c>
      <c r="E31" s="2">
        <v>5</v>
      </c>
      <c r="F31" s="2">
        <v>6</v>
      </c>
      <c r="G31" s="2">
        <v>7</v>
      </c>
      <c r="H31" s="2">
        <v>8</v>
      </c>
      <c r="I31" s="2">
        <v>9</v>
      </c>
      <c r="J31" s="2">
        <v>10</v>
      </c>
      <c r="K31" s="2">
        <v>11</v>
      </c>
      <c r="L31" s="2">
        <v>12</v>
      </c>
      <c r="M31" s="2">
        <v>13</v>
      </c>
      <c r="N31" s="2">
        <v>14</v>
      </c>
      <c r="O31" s="2">
        <v>15</v>
      </c>
      <c r="P31" s="2">
        <v>16</v>
      </c>
    </row>
    <row r="32" spans="1:16" ht="15">
      <c r="A32" s="117" t="s">
        <v>53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</row>
    <row r="33" spans="1:16" ht="17.25" customHeight="1">
      <c r="A33" s="15" t="s">
        <v>54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7"/>
    </row>
    <row r="34" spans="1:16" ht="30.75" customHeight="1">
      <c r="A34" s="6" t="s">
        <v>55</v>
      </c>
      <c r="B34" s="10">
        <f aca="true" t="shared" si="0" ref="B34:B50">C34+D34+E34+F34+G34+H34</f>
        <v>165033</v>
      </c>
      <c r="C34" s="10">
        <f>177905-12905</f>
        <v>165000</v>
      </c>
      <c r="D34" s="10"/>
      <c r="E34" s="10"/>
      <c r="F34" s="10"/>
      <c r="G34" s="10">
        <v>33</v>
      </c>
      <c r="H34" s="10"/>
      <c r="I34" s="10">
        <f>J34+K34+L34+M34+N34+O34</f>
        <v>164323</v>
      </c>
      <c r="J34" s="10">
        <v>164296</v>
      </c>
      <c r="K34" s="10"/>
      <c r="L34" s="10"/>
      <c r="M34" s="10"/>
      <c r="N34" s="10">
        <v>27</v>
      </c>
      <c r="O34" s="10"/>
      <c r="P34" s="88">
        <f>I34/B34*100</f>
        <v>99.56978301309435</v>
      </c>
    </row>
    <row r="35" spans="1:16" ht="30.75" customHeight="1">
      <c r="A35" s="6" t="s">
        <v>56</v>
      </c>
      <c r="B35" s="10">
        <f t="shared" si="0"/>
        <v>31175</v>
      </c>
      <c r="C35" s="10">
        <v>14926</v>
      </c>
      <c r="D35" s="10">
        <v>16249</v>
      </c>
      <c r="E35" s="10"/>
      <c r="F35" s="10"/>
      <c r="G35" s="10"/>
      <c r="H35" s="10"/>
      <c r="I35" s="10">
        <f>J35+K35+L35+M35+N35+O35</f>
        <v>27115.4</v>
      </c>
      <c r="J35" s="89">
        <v>13848.8</v>
      </c>
      <c r="K35" s="89">
        <v>13266.6</v>
      </c>
      <c r="L35" s="10"/>
      <c r="M35" s="10"/>
      <c r="N35" s="10"/>
      <c r="O35" s="10"/>
      <c r="P35" s="88">
        <f aca="true" t="shared" si="1" ref="P35:P40">I35/B35*100</f>
        <v>86.97802726543705</v>
      </c>
    </row>
    <row r="36" spans="1:16" ht="30.75" customHeight="1">
      <c r="A36" s="6" t="s">
        <v>57</v>
      </c>
      <c r="B36" s="10">
        <f t="shared" si="0"/>
        <v>33173</v>
      </c>
      <c r="C36" s="10">
        <f>34123-1000</f>
        <v>33123</v>
      </c>
      <c r="D36" s="10"/>
      <c r="E36" s="10">
        <f>156-106</f>
        <v>50</v>
      </c>
      <c r="F36" s="10"/>
      <c r="G36" s="10"/>
      <c r="H36" s="10"/>
      <c r="I36" s="10">
        <f>J36+K36+L36+M36+N36+O36</f>
        <v>30104.800000000003</v>
      </c>
      <c r="J36" s="10">
        <f>30594.4-J37-61.3</f>
        <v>30059.100000000002</v>
      </c>
      <c r="K36" s="10"/>
      <c r="L36" s="10">
        <v>45.7</v>
      </c>
      <c r="M36" s="10"/>
      <c r="N36" s="10"/>
      <c r="O36" s="10"/>
      <c r="P36" s="88">
        <f t="shared" si="1"/>
        <v>90.7509118861725</v>
      </c>
    </row>
    <row r="37" spans="1:16" ht="24.75" customHeight="1">
      <c r="A37" s="5" t="s">
        <v>58</v>
      </c>
      <c r="B37" s="10">
        <f t="shared" si="0"/>
        <v>474</v>
      </c>
      <c r="C37" s="10">
        <v>474</v>
      </c>
      <c r="D37" s="10"/>
      <c r="E37" s="10"/>
      <c r="F37" s="10"/>
      <c r="G37" s="10"/>
      <c r="H37" s="10"/>
      <c r="I37" s="10">
        <f>J37+K37+L37+M37+N37+O37</f>
        <v>474</v>
      </c>
      <c r="J37" s="10">
        <v>474</v>
      </c>
      <c r="K37" s="10"/>
      <c r="L37" s="10"/>
      <c r="M37" s="10"/>
      <c r="N37" s="10"/>
      <c r="O37" s="10"/>
      <c r="P37" s="88">
        <f t="shared" si="1"/>
        <v>100</v>
      </c>
    </row>
    <row r="38" spans="1:16" ht="30.75" customHeight="1">
      <c r="A38" s="6" t="s">
        <v>59</v>
      </c>
      <c r="B38" s="10">
        <f t="shared" si="0"/>
        <v>1254</v>
      </c>
      <c r="C38" s="10"/>
      <c r="D38" s="10">
        <f>1500-400</f>
        <v>1100</v>
      </c>
      <c r="E38" s="10"/>
      <c r="F38" s="10">
        <f>45+81+10</f>
        <v>136</v>
      </c>
      <c r="G38" s="10"/>
      <c r="H38" s="10">
        <v>18</v>
      </c>
      <c r="I38" s="10">
        <f>J38+K38+L38+M38+N38+O38</f>
        <v>1197.5</v>
      </c>
      <c r="J38" s="10"/>
      <c r="K38" s="10">
        <f>1044</f>
        <v>1044</v>
      </c>
      <c r="L38" s="10"/>
      <c r="M38" s="10">
        <v>136</v>
      </c>
      <c r="N38" s="10"/>
      <c r="O38" s="10">
        <v>17.5</v>
      </c>
      <c r="P38" s="88">
        <f t="shared" si="1"/>
        <v>95.49441786283892</v>
      </c>
    </row>
    <row r="39" spans="1:16" ht="30.75" customHeight="1">
      <c r="A39" s="6" t="s">
        <v>60</v>
      </c>
      <c r="B39" s="10">
        <f aca="true" t="shared" si="2" ref="B39:B44">C39+D39+E39+F39+G39+H39</f>
        <v>4700</v>
      </c>
      <c r="C39" s="10"/>
      <c r="D39" s="10">
        <f>5500-800</f>
        <v>4700</v>
      </c>
      <c r="E39" s="10"/>
      <c r="F39" s="10"/>
      <c r="G39" s="10"/>
      <c r="H39" s="10"/>
      <c r="I39" s="10">
        <f aca="true" t="shared" si="3" ref="I39:I44">J39+K39+L39+M39+N39+O39</f>
        <v>4452.1</v>
      </c>
      <c r="J39" s="10"/>
      <c r="K39" s="10">
        <v>4452.1</v>
      </c>
      <c r="L39" s="10"/>
      <c r="M39" s="10"/>
      <c r="N39" s="10"/>
      <c r="O39" s="10"/>
      <c r="P39" s="88">
        <f t="shared" si="1"/>
        <v>94.72553191489362</v>
      </c>
    </row>
    <row r="40" spans="1:16" ht="30.75" customHeight="1">
      <c r="A40" s="6" t="s">
        <v>61</v>
      </c>
      <c r="B40" s="10">
        <f t="shared" si="2"/>
        <v>600</v>
      </c>
      <c r="C40" s="10"/>
      <c r="D40" s="10">
        <v>600</v>
      </c>
      <c r="E40" s="10"/>
      <c r="F40" s="10"/>
      <c r="G40" s="10"/>
      <c r="H40" s="10"/>
      <c r="I40" s="10">
        <f t="shared" si="3"/>
        <v>600</v>
      </c>
      <c r="J40" s="10"/>
      <c r="K40" s="10">
        <v>600</v>
      </c>
      <c r="L40" s="10"/>
      <c r="M40" s="10"/>
      <c r="N40" s="10"/>
      <c r="O40" s="10"/>
      <c r="P40" s="88">
        <f t="shared" si="1"/>
        <v>100</v>
      </c>
    </row>
    <row r="41" spans="1:16" ht="39.75" customHeight="1">
      <c r="A41" s="15" t="s">
        <v>62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58"/>
    </row>
    <row r="42" spans="1:16" ht="40.5" customHeight="1">
      <c r="A42" s="6" t="s">
        <v>70</v>
      </c>
      <c r="B42" s="10">
        <f t="shared" si="2"/>
        <v>0</v>
      </c>
      <c r="C42" s="10">
        <v>0</v>
      </c>
      <c r="D42" s="10"/>
      <c r="E42" s="10"/>
      <c r="F42" s="10"/>
      <c r="G42" s="10"/>
      <c r="H42" s="10"/>
      <c r="I42" s="10">
        <f t="shared" si="3"/>
        <v>0</v>
      </c>
      <c r="J42" s="10"/>
      <c r="K42" s="10"/>
      <c r="L42" s="10"/>
      <c r="M42" s="10"/>
      <c r="N42" s="10"/>
      <c r="O42" s="10"/>
      <c r="P42" s="6"/>
    </row>
    <row r="43" spans="1:16" ht="49.5" customHeight="1">
      <c r="A43" s="18" t="s">
        <v>63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58"/>
    </row>
    <row r="44" spans="1:16" ht="66" customHeight="1">
      <c r="A44" s="57" t="s">
        <v>64</v>
      </c>
      <c r="B44" s="10">
        <f t="shared" si="2"/>
        <v>0</v>
      </c>
      <c r="C44" s="10">
        <v>0</v>
      </c>
      <c r="D44" s="10"/>
      <c r="E44" s="10"/>
      <c r="F44" s="10"/>
      <c r="G44" s="10"/>
      <c r="H44" s="10"/>
      <c r="I44" s="10">
        <f t="shared" si="3"/>
        <v>0</v>
      </c>
      <c r="J44" s="10"/>
      <c r="K44" s="10"/>
      <c r="L44" s="10"/>
      <c r="M44" s="10"/>
      <c r="N44" s="10"/>
      <c r="O44" s="10"/>
      <c r="P44" s="6"/>
    </row>
    <row r="45" spans="1:16" ht="24.75" customHeight="1">
      <c r="A45" s="20" t="s">
        <v>65</v>
      </c>
      <c r="B45" s="11">
        <f>C45+D45+E45+F45+G45+H45</f>
        <v>0</v>
      </c>
      <c r="C45" s="11"/>
      <c r="D45" s="11"/>
      <c r="E45" s="11"/>
      <c r="F45" s="11"/>
      <c r="G45" s="11"/>
      <c r="H45" s="11"/>
      <c r="I45" s="11">
        <f>J45+K45+L45+M45+N45+O45</f>
        <v>0</v>
      </c>
      <c r="J45" s="11"/>
      <c r="K45" s="11"/>
      <c r="L45" s="11"/>
      <c r="M45" s="11"/>
      <c r="N45" s="11"/>
      <c r="O45" s="11"/>
      <c r="P45" s="58"/>
    </row>
    <row r="46" spans="1:16" ht="55.5" customHeight="1">
      <c r="A46" s="6" t="s">
        <v>66</v>
      </c>
      <c r="B46" s="10">
        <f>C46+D46+E46+F46+G46+H46</f>
        <v>0</v>
      </c>
      <c r="C46" s="10"/>
      <c r="D46" s="10"/>
      <c r="E46" s="10"/>
      <c r="F46" s="10"/>
      <c r="G46" s="10"/>
      <c r="H46" s="10"/>
      <c r="I46" s="10">
        <f>J46+K46+L46+M46+N46+O46</f>
        <v>0</v>
      </c>
      <c r="J46" s="10"/>
      <c r="K46" s="10"/>
      <c r="L46" s="10"/>
      <c r="M46" s="10"/>
      <c r="N46" s="10"/>
      <c r="O46" s="10"/>
      <c r="P46" s="6"/>
    </row>
    <row r="47" spans="1:16" ht="31.5" customHeight="1">
      <c r="A47" s="6" t="s">
        <v>67</v>
      </c>
      <c r="B47" s="10">
        <f>C47+D47+E47+F47+G47+H47</f>
        <v>0</v>
      </c>
      <c r="C47" s="10"/>
      <c r="D47" s="10"/>
      <c r="E47" s="10"/>
      <c r="F47" s="10"/>
      <c r="G47" s="10"/>
      <c r="H47" s="10"/>
      <c r="I47" s="10">
        <f>J47+K47+L47+M47+N47+O47</f>
        <v>0</v>
      </c>
      <c r="J47" s="10"/>
      <c r="K47" s="10"/>
      <c r="L47" s="10"/>
      <c r="M47" s="10"/>
      <c r="N47" s="10"/>
      <c r="O47" s="10"/>
      <c r="P47" s="6"/>
    </row>
    <row r="48" spans="1:16" ht="45" customHeight="1">
      <c r="A48" s="6" t="s">
        <v>68</v>
      </c>
      <c r="B48" s="10">
        <f t="shared" si="0"/>
        <v>0</v>
      </c>
      <c r="C48" s="10"/>
      <c r="D48" s="10"/>
      <c r="E48" s="10"/>
      <c r="F48" s="10"/>
      <c r="G48" s="10"/>
      <c r="H48" s="10"/>
      <c r="I48" s="10">
        <f>J48+K48+L48+M48+N48+O48</f>
        <v>0</v>
      </c>
      <c r="J48" s="10"/>
      <c r="K48" s="10"/>
      <c r="L48" s="10"/>
      <c r="M48" s="10"/>
      <c r="N48" s="10"/>
      <c r="O48" s="10"/>
      <c r="P48" s="55"/>
    </row>
    <row r="49" spans="1:16" ht="59.25" customHeight="1">
      <c r="A49" s="6" t="s">
        <v>69</v>
      </c>
      <c r="B49" s="10">
        <f t="shared" si="0"/>
        <v>0</v>
      </c>
      <c r="C49" s="10"/>
      <c r="D49" s="10"/>
      <c r="E49" s="10"/>
      <c r="F49" s="10"/>
      <c r="G49" s="10"/>
      <c r="H49" s="10"/>
      <c r="I49" s="10">
        <f>J49+K49+L49+M49+N49+O49</f>
        <v>0</v>
      </c>
      <c r="J49" s="10"/>
      <c r="K49" s="10"/>
      <c r="L49" s="10"/>
      <c r="M49" s="10"/>
      <c r="N49" s="10"/>
      <c r="O49" s="10"/>
      <c r="P49" s="6"/>
    </row>
    <row r="50" spans="1:18" ht="15">
      <c r="A50" s="25" t="s">
        <v>12</v>
      </c>
      <c r="B50" s="27">
        <f t="shared" si="0"/>
        <v>236409</v>
      </c>
      <c r="C50" s="27">
        <f>SUM(C33:C49)</f>
        <v>213523</v>
      </c>
      <c r="D50" s="27">
        <f aca="true" t="shared" si="4" ref="D50:O50">SUM(D33:D49)</f>
        <v>22649</v>
      </c>
      <c r="E50" s="27">
        <f t="shared" si="4"/>
        <v>50</v>
      </c>
      <c r="F50" s="27">
        <f t="shared" si="4"/>
        <v>136</v>
      </c>
      <c r="G50" s="27">
        <f t="shared" si="4"/>
        <v>33</v>
      </c>
      <c r="H50" s="27">
        <f t="shared" si="4"/>
        <v>18</v>
      </c>
      <c r="I50" s="27">
        <f t="shared" si="4"/>
        <v>228266.80000000002</v>
      </c>
      <c r="J50" s="27">
        <f t="shared" si="4"/>
        <v>208677.9</v>
      </c>
      <c r="K50" s="27">
        <f t="shared" si="4"/>
        <v>19362.7</v>
      </c>
      <c r="L50" s="27">
        <f t="shared" si="4"/>
        <v>45.7</v>
      </c>
      <c r="M50" s="27">
        <f t="shared" si="4"/>
        <v>136</v>
      </c>
      <c r="N50" s="27">
        <f t="shared" si="4"/>
        <v>27</v>
      </c>
      <c r="O50" s="27">
        <f t="shared" si="4"/>
        <v>17.5</v>
      </c>
      <c r="P50" s="36">
        <f>I50/B50*100</f>
        <v>96.5558840822473</v>
      </c>
      <c r="Q50" s="87"/>
      <c r="R50" s="87"/>
    </row>
    <row r="51" spans="1:16" ht="15.75">
      <c r="A51" s="116" t="s">
        <v>71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</row>
    <row r="52" spans="1:16" ht="21" customHeight="1">
      <c r="A52" s="15" t="s">
        <v>72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30.75" customHeight="1">
      <c r="A53" s="73" t="s">
        <v>73</v>
      </c>
      <c r="B53" s="43">
        <f aca="true" t="shared" si="5" ref="B53:B66">C53+D53+E53+F53+G53+H53</f>
        <v>393937.2</v>
      </c>
      <c r="C53" s="43">
        <f>95500+100-1500</f>
        <v>94100</v>
      </c>
      <c r="D53" s="97">
        <f>1146+131</f>
        <v>1277</v>
      </c>
      <c r="E53" s="92">
        <v>1500</v>
      </c>
      <c r="F53" s="92"/>
      <c r="G53" s="43">
        <f>293000+1204.4+2855.8</f>
        <v>297060.2</v>
      </c>
      <c r="H53" s="92"/>
      <c r="I53" s="89">
        <f aca="true" t="shared" si="6" ref="I53:I58">J53+K53+L53+M53+N53+O53</f>
        <v>393210.60000000003</v>
      </c>
      <c r="J53" s="89">
        <v>93972.5</v>
      </c>
      <c r="K53" s="93">
        <v>1276.5</v>
      </c>
      <c r="L53" s="89">
        <v>1500</v>
      </c>
      <c r="M53" s="93"/>
      <c r="N53" s="93">
        <f>292594.9+1010.9+2855.8</f>
        <v>296461.60000000003</v>
      </c>
      <c r="O53" s="93"/>
      <c r="P53" s="94">
        <f aca="true" t="shared" si="7" ref="P53:P60">I53/B53*100</f>
        <v>99.81555435739504</v>
      </c>
    </row>
    <row r="54" spans="1:17" ht="41.25" customHeight="1">
      <c r="A54" s="73" t="s">
        <v>74</v>
      </c>
      <c r="B54" s="43">
        <f>C54+D54+E54+F54+G54+H54</f>
        <v>648</v>
      </c>
      <c r="C54" s="43"/>
      <c r="D54" s="92"/>
      <c r="E54" s="92"/>
      <c r="F54" s="92"/>
      <c r="G54" s="43">
        <f>1064-134.8-152.6-216.6+88</f>
        <v>648</v>
      </c>
      <c r="H54" s="92"/>
      <c r="I54" s="89">
        <f t="shared" si="6"/>
        <v>635.9</v>
      </c>
      <c r="J54" s="89"/>
      <c r="K54" s="93"/>
      <c r="L54" s="93"/>
      <c r="M54" s="93"/>
      <c r="N54" s="93">
        <v>635.9</v>
      </c>
      <c r="O54" s="93"/>
      <c r="P54" s="94">
        <f t="shared" si="7"/>
        <v>98.13271604938272</v>
      </c>
      <c r="Q54" s="87"/>
    </row>
    <row r="55" spans="1:16" ht="44.25" customHeight="1">
      <c r="A55" s="73" t="s">
        <v>75</v>
      </c>
      <c r="B55" s="43">
        <f>C55+D55+E55+F55+G55+H55</f>
        <v>35952.3</v>
      </c>
      <c r="C55" s="43">
        <f>17376.9+753.1</f>
        <v>18130</v>
      </c>
      <c r="D55" s="92">
        <v>17822.3</v>
      </c>
      <c r="E55" s="92"/>
      <c r="F55" s="92"/>
      <c r="G55" s="92"/>
      <c r="H55" s="92"/>
      <c r="I55" s="89">
        <f t="shared" si="6"/>
        <v>35539.5</v>
      </c>
      <c r="J55" s="89">
        <f>20807.1-81.4-3075.7+149.4</f>
        <v>17799.399999999998</v>
      </c>
      <c r="K55" s="93">
        <v>17740.1</v>
      </c>
      <c r="L55" s="93"/>
      <c r="M55" s="93"/>
      <c r="N55" s="93"/>
      <c r="O55" s="93"/>
      <c r="P55" s="94">
        <f t="shared" si="7"/>
        <v>98.85181198421242</v>
      </c>
    </row>
    <row r="56" spans="1:16" ht="27.75" customHeight="1">
      <c r="A56" s="48" t="s">
        <v>76</v>
      </c>
      <c r="B56" s="43">
        <f>C56+D56+E56+F56+G56+H56</f>
        <v>60980</v>
      </c>
      <c r="C56" s="43">
        <f>55839.3</f>
        <v>55839.3</v>
      </c>
      <c r="D56" s="92">
        <f>48.2</f>
        <v>48.2</v>
      </c>
      <c r="E56" s="92">
        <f>100+75</f>
        <v>175</v>
      </c>
      <c r="F56" s="92"/>
      <c r="G56" s="43">
        <f>216+4219+152.7+329.8</f>
        <v>4917.5</v>
      </c>
      <c r="H56" s="92"/>
      <c r="I56" s="89">
        <f t="shared" si="6"/>
        <v>54474.7</v>
      </c>
      <c r="J56" s="89">
        <v>49363.1</v>
      </c>
      <c r="K56" s="93">
        <v>48.2</v>
      </c>
      <c r="L56" s="93">
        <v>147.1</v>
      </c>
      <c r="M56" s="93"/>
      <c r="N56" s="95">
        <f>217.5+4217.3+481.5</f>
        <v>4916.3</v>
      </c>
      <c r="O56" s="93"/>
      <c r="P56" s="94">
        <f t="shared" si="7"/>
        <v>89.33207609052147</v>
      </c>
    </row>
    <row r="57" spans="1:17" ht="20.25" customHeight="1">
      <c r="A57" s="74" t="s">
        <v>77</v>
      </c>
      <c r="B57" s="43">
        <f>C57+D57+E57+F57+G57+H57</f>
        <v>848</v>
      </c>
      <c r="C57" s="43">
        <v>848</v>
      </c>
      <c r="D57" s="92"/>
      <c r="E57" s="92"/>
      <c r="F57" s="92"/>
      <c r="G57" s="92"/>
      <c r="H57" s="92"/>
      <c r="I57" s="89">
        <f t="shared" si="6"/>
        <v>848</v>
      </c>
      <c r="J57" s="89">
        <v>848</v>
      </c>
      <c r="K57" s="93"/>
      <c r="L57" s="93"/>
      <c r="M57" s="93"/>
      <c r="N57" s="93"/>
      <c r="O57" s="93"/>
      <c r="P57" s="94">
        <f t="shared" si="7"/>
        <v>100</v>
      </c>
      <c r="Q57" s="87"/>
    </row>
    <row r="58" spans="1:16" ht="30.75" customHeight="1">
      <c r="A58" s="73" t="s">
        <v>78</v>
      </c>
      <c r="B58" s="43">
        <f>C58+D58+E58+F58+G58+H58</f>
        <v>5832.8</v>
      </c>
      <c r="C58" s="43"/>
      <c r="D58" s="43">
        <f>2800+1310+253+237+6</f>
        <v>4606</v>
      </c>
      <c r="E58" s="43"/>
      <c r="F58" s="43">
        <f>30+33+50</f>
        <v>113</v>
      </c>
      <c r="G58" s="43"/>
      <c r="H58" s="43">
        <f>739+374.8</f>
        <v>1113.8</v>
      </c>
      <c r="I58" s="89">
        <f t="shared" si="6"/>
        <v>5804.8</v>
      </c>
      <c r="J58" s="89"/>
      <c r="K58" s="93">
        <v>4590.7</v>
      </c>
      <c r="L58" s="93"/>
      <c r="M58" s="89">
        <v>113</v>
      </c>
      <c r="N58" s="93"/>
      <c r="O58" s="93">
        <f>365.7+735.7-0.3</f>
        <v>1101.1000000000001</v>
      </c>
      <c r="P58" s="94">
        <f t="shared" si="7"/>
        <v>99.51995611027294</v>
      </c>
    </row>
    <row r="59" spans="1:16" ht="21.75" customHeight="1">
      <c r="A59" s="75" t="s">
        <v>79</v>
      </c>
      <c r="B59" s="43">
        <f t="shared" si="5"/>
        <v>9677.8</v>
      </c>
      <c r="C59" s="43"/>
      <c r="D59" s="43">
        <f>8300+1705.8-85-237-6</f>
        <v>9677.8</v>
      </c>
      <c r="E59" s="43"/>
      <c r="F59" s="43"/>
      <c r="G59" s="43"/>
      <c r="H59" s="43"/>
      <c r="I59" s="89">
        <f aca="true" t="shared" si="8" ref="I59:I66">J59+K59+L59+M59+N59+O59</f>
        <v>7699.5</v>
      </c>
      <c r="J59" s="93"/>
      <c r="K59" s="93">
        <f>8684.5-K60</f>
        <v>7699.5</v>
      </c>
      <c r="L59" s="93"/>
      <c r="M59" s="93"/>
      <c r="N59" s="93"/>
      <c r="O59" s="93"/>
      <c r="P59" s="94">
        <f t="shared" si="7"/>
        <v>79.55837070408565</v>
      </c>
    </row>
    <row r="60" spans="1:16" ht="30.75" customHeight="1">
      <c r="A60" s="48" t="s">
        <v>80</v>
      </c>
      <c r="B60" s="43">
        <f t="shared" si="5"/>
        <v>985</v>
      </c>
      <c r="C60" s="43"/>
      <c r="D60" s="43">
        <f>3000-2100+85</f>
        <v>985</v>
      </c>
      <c r="E60" s="92"/>
      <c r="F60" s="92"/>
      <c r="G60" s="92"/>
      <c r="H60" s="92"/>
      <c r="I60" s="89">
        <f t="shared" si="8"/>
        <v>985</v>
      </c>
      <c r="J60" s="93"/>
      <c r="K60" s="89">
        <v>985</v>
      </c>
      <c r="L60" s="93"/>
      <c r="M60" s="93"/>
      <c r="N60" s="93"/>
      <c r="O60" s="93"/>
      <c r="P60" s="94">
        <f t="shared" si="7"/>
        <v>100</v>
      </c>
    </row>
    <row r="61" spans="1:16" ht="42" customHeight="1">
      <c r="A61" s="15" t="s">
        <v>62</v>
      </c>
      <c r="B61" s="12"/>
      <c r="C61" s="12"/>
      <c r="D61" s="17"/>
      <c r="E61" s="17"/>
      <c r="F61" s="17"/>
      <c r="G61" s="17"/>
      <c r="H61" s="17"/>
      <c r="I61" s="12"/>
      <c r="J61" s="17"/>
      <c r="K61" s="17"/>
      <c r="L61" s="17"/>
      <c r="M61" s="17"/>
      <c r="N61" s="17"/>
      <c r="O61" s="17"/>
      <c r="P61" s="17"/>
    </row>
    <row r="62" spans="1:16" ht="42.75" customHeight="1">
      <c r="A62" s="6" t="s">
        <v>81</v>
      </c>
      <c r="B62" s="10">
        <f t="shared" si="5"/>
        <v>0</v>
      </c>
      <c r="C62" s="10">
        <v>0</v>
      </c>
      <c r="D62" s="8"/>
      <c r="E62" s="8"/>
      <c r="F62" s="8"/>
      <c r="G62" s="8"/>
      <c r="H62" s="8"/>
      <c r="I62" s="10">
        <f t="shared" si="8"/>
        <v>0</v>
      </c>
      <c r="J62" s="8"/>
      <c r="K62" s="8"/>
      <c r="L62" s="8"/>
      <c r="M62" s="8"/>
      <c r="N62" s="8"/>
      <c r="O62" s="8"/>
      <c r="P62" s="60"/>
    </row>
    <row r="63" spans="1:16" ht="51" customHeight="1">
      <c r="A63" s="15" t="s">
        <v>82</v>
      </c>
      <c r="B63" s="11">
        <f t="shared" si="5"/>
        <v>0</v>
      </c>
      <c r="C63" s="12"/>
      <c r="D63" s="17"/>
      <c r="E63" s="17"/>
      <c r="F63" s="17"/>
      <c r="G63" s="17"/>
      <c r="H63" s="17"/>
      <c r="I63" s="11">
        <f t="shared" si="8"/>
        <v>0</v>
      </c>
      <c r="J63" s="17"/>
      <c r="K63" s="17"/>
      <c r="L63" s="17"/>
      <c r="M63" s="17"/>
      <c r="N63" s="17"/>
      <c r="O63" s="17"/>
      <c r="P63" s="62"/>
    </row>
    <row r="64" spans="1:16" ht="68.25" customHeight="1">
      <c r="A64" s="6" t="s">
        <v>84</v>
      </c>
      <c r="B64" s="10">
        <f t="shared" si="5"/>
        <v>0</v>
      </c>
      <c r="C64" s="10">
        <v>0</v>
      </c>
      <c r="D64" s="8"/>
      <c r="E64" s="8"/>
      <c r="F64" s="8"/>
      <c r="G64" s="8"/>
      <c r="H64" s="8"/>
      <c r="I64" s="10">
        <f t="shared" si="8"/>
        <v>0</v>
      </c>
      <c r="J64" s="8"/>
      <c r="K64" s="8"/>
      <c r="L64" s="8"/>
      <c r="M64" s="8"/>
      <c r="N64" s="8"/>
      <c r="O64" s="8"/>
      <c r="P64" s="60"/>
    </row>
    <row r="65" spans="1:16" ht="50.25" customHeight="1">
      <c r="A65" s="61" t="s">
        <v>85</v>
      </c>
      <c r="B65" s="11"/>
      <c r="C65" s="12"/>
      <c r="D65" s="17"/>
      <c r="E65" s="17"/>
      <c r="F65" s="17"/>
      <c r="G65" s="17"/>
      <c r="H65" s="17"/>
      <c r="I65" s="11"/>
      <c r="J65" s="17"/>
      <c r="K65" s="17"/>
      <c r="L65" s="17"/>
      <c r="M65" s="17"/>
      <c r="N65" s="17"/>
      <c r="O65" s="17"/>
      <c r="P65" s="58"/>
    </row>
    <row r="66" spans="1:16" ht="28.5">
      <c r="A66" s="63" t="s">
        <v>83</v>
      </c>
      <c r="B66" s="10">
        <f t="shared" si="5"/>
        <v>0</v>
      </c>
      <c r="C66" s="10">
        <v>0</v>
      </c>
      <c r="D66" s="10"/>
      <c r="E66" s="10"/>
      <c r="F66" s="10"/>
      <c r="G66" s="10"/>
      <c r="H66" s="10"/>
      <c r="I66" s="10">
        <f t="shared" si="8"/>
        <v>0</v>
      </c>
      <c r="J66" s="10"/>
      <c r="K66" s="10"/>
      <c r="L66" s="10"/>
      <c r="M66" s="10"/>
      <c r="N66" s="10"/>
      <c r="O66" s="10"/>
      <c r="P66" s="60"/>
    </row>
    <row r="67" spans="1:16" ht="38.25">
      <c r="A67" s="65" t="s">
        <v>86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64"/>
    </row>
    <row r="68" spans="1:16" ht="38.25">
      <c r="A68" s="7" t="s">
        <v>87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60"/>
    </row>
    <row r="69" spans="1:16" ht="26.25">
      <c r="A69" s="6" t="s">
        <v>88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60"/>
    </row>
    <row r="70" spans="1:16" ht="31.5" customHeight="1">
      <c r="A70" s="6" t="s">
        <v>89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60"/>
    </row>
    <row r="71" spans="1:16" ht="26.25">
      <c r="A71" s="6" t="s">
        <v>90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60"/>
    </row>
    <row r="72" spans="1:16" ht="20.25" customHeight="1">
      <c r="A72" s="25" t="s">
        <v>13</v>
      </c>
      <c r="B72" s="27">
        <f>C72+D72+E72+F72+G72+H72</f>
        <v>508861.1</v>
      </c>
      <c r="C72" s="27">
        <f aca="true" t="shared" si="9" ref="C72:O72">SUM(C53:C66)</f>
        <v>168917.3</v>
      </c>
      <c r="D72" s="26">
        <f t="shared" si="9"/>
        <v>34416.3</v>
      </c>
      <c r="E72" s="27">
        <f t="shared" si="9"/>
        <v>1675</v>
      </c>
      <c r="F72" s="27">
        <f t="shared" si="9"/>
        <v>113</v>
      </c>
      <c r="G72" s="27">
        <f t="shared" si="9"/>
        <v>302625.7</v>
      </c>
      <c r="H72" s="26">
        <f t="shared" si="9"/>
        <v>1113.8</v>
      </c>
      <c r="I72" s="26">
        <f t="shared" si="9"/>
        <v>499198.00000000006</v>
      </c>
      <c r="J72" s="26">
        <f t="shared" si="9"/>
        <v>161983</v>
      </c>
      <c r="K72" s="26">
        <f t="shared" si="9"/>
        <v>32340</v>
      </c>
      <c r="L72" s="26">
        <f t="shared" si="9"/>
        <v>1647.1</v>
      </c>
      <c r="M72" s="26">
        <f t="shared" si="9"/>
        <v>113</v>
      </c>
      <c r="N72" s="26">
        <f t="shared" si="9"/>
        <v>302013.80000000005</v>
      </c>
      <c r="O72" s="26">
        <f t="shared" si="9"/>
        <v>1101.1000000000001</v>
      </c>
      <c r="P72" s="36">
        <f>I72/B72*100</f>
        <v>98.10103385776591</v>
      </c>
    </row>
    <row r="73" spans="1:16" ht="15">
      <c r="A73" s="117" t="s">
        <v>91</v>
      </c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</row>
    <row r="74" spans="1:16" ht="25.5">
      <c r="A74" s="21" t="s">
        <v>14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ht="26.25">
      <c r="A75" s="9" t="s">
        <v>92</v>
      </c>
      <c r="B75" s="43">
        <f>C75+D75+E75+F75+G75+H75</f>
        <v>1039.7</v>
      </c>
      <c r="C75" s="43">
        <v>91.8</v>
      </c>
      <c r="D75" s="43"/>
      <c r="E75" s="43"/>
      <c r="F75" s="43"/>
      <c r="G75" s="43">
        <v>947.9</v>
      </c>
      <c r="H75" s="43"/>
      <c r="I75" s="43">
        <f>J75+K75+L75+M75+N75+O75</f>
        <v>1009.4</v>
      </c>
      <c r="J75" s="43">
        <v>63.9</v>
      </c>
      <c r="K75" s="43"/>
      <c r="L75" s="43"/>
      <c r="M75" s="43"/>
      <c r="N75" s="43">
        <v>945.5</v>
      </c>
      <c r="O75" s="43"/>
      <c r="P75" s="94">
        <f>I75/B75*100</f>
        <v>97.08569779744155</v>
      </c>
    </row>
    <row r="76" spans="1:16" ht="30.75" customHeight="1">
      <c r="A76" s="9" t="s">
        <v>93</v>
      </c>
      <c r="B76" s="43">
        <f>C76+D76+E76+F76+G76+H76</f>
        <v>1.4</v>
      </c>
      <c r="C76" s="43">
        <v>1.4</v>
      </c>
      <c r="D76" s="43"/>
      <c r="E76" s="43"/>
      <c r="F76" s="43"/>
      <c r="G76" s="43"/>
      <c r="H76" s="43"/>
      <c r="I76" s="43">
        <f>J76+K76+L76+M76+N76+O76</f>
        <v>1.3</v>
      </c>
      <c r="J76" s="43">
        <v>1.3</v>
      </c>
      <c r="K76" s="43"/>
      <c r="L76" s="43"/>
      <c r="M76" s="43"/>
      <c r="N76" s="43"/>
      <c r="O76" s="43"/>
      <c r="P76" s="94">
        <f>I76/B76*100</f>
        <v>92.85714285714288</v>
      </c>
    </row>
    <row r="77" spans="1:16" ht="15">
      <c r="A77" s="25" t="s">
        <v>15</v>
      </c>
      <c r="B77" s="27">
        <f>SUM(B75:B76)</f>
        <v>1041.1000000000001</v>
      </c>
      <c r="C77" s="27">
        <f aca="true" t="shared" si="10" ref="C77:O77">SUM(C75:C76)</f>
        <v>93.2</v>
      </c>
      <c r="D77" s="27">
        <f t="shared" si="10"/>
        <v>0</v>
      </c>
      <c r="E77" s="27">
        <f t="shared" si="10"/>
        <v>0</v>
      </c>
      <c r="F77" s="27">
        <f t="shared" si="10"/>
        <v>0</v>
      </c>
      <c r="G77" s="27">
        <f t="shared" si="10"/>
        <v>947.9</v>
      </c>
      <c r="H77" s="27">
        <f t="shared" si="10"/>
        <v>0</v>
      </c>
      <c r="I77" s="27">
        <f t="shared" si="10"/>
        <v>1010.6999999999999</v>
      </c>
      <c r="J77" s="27">
        <f t="shared" si="10"/>
        <v>65.2</v>
      </c>
      <c r="K77" s="27">
        <f t="shared" si="10"/>
        <v>0</v>
      </c>
      <c r="L77" s="27">
        <f t="shared" si="10"/>
        <v>0</v>
      </c>
      <c r="M77" s="27">
        <f t="shared" si="10"/>
        <v>0</v>
      </c>
      <c r="N77" s="27">
        <f t="shared" si="10"/>
        <v>945.5</v>
      </c>
      <c r="O77" s="27">
        <f t="shared" si="10"/>
        <v>0</v>
      </c>
      <c r="P77" s="36">
        <f>I77/B77*100</f>
        <v>97.08001152627027</v>
      </c>
    </row>
    <row r="78" spans="1:16" ht="15.75">
      <c r="A78" s="116" t="s">
        <v>94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</row>
    <row r="79" spans="1:16" ht="26.25">
      <c r="A79" s="67" t="s">
        <v>100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</row>
    <row r="80" spans="1:16" ht="27.75" customHeight="1">
      <c r="A80" s="9" t="s">
        <v>95</v>
      </c>
      <c r="B80" s="10">
        <f aca="true" t="shared" si="11" ref="B80:B86">C80+D80+E80+F80+G80+H80</f>
        <v>7625.4</v>
      </c>
      <c r="C80" s="10">
        <v>1565</v>
      </c>
      <c r="D80" s="10"/>
      <c r="E80" s="10"/>
      <c r="F80" s="10"/>
      <c r="G80" s="10">
        <f>5156.7+903.7</f>
        <v>6060.4</v>
      </c>
      <c r="H80" s="10"/>
      <c r="I80" s="10">
        <f aca="true" t="shared" si="12" ref="I80:I86">J80+K80+L80+M80+N80+O80</f>
        <v>7606.5</v>
      </c>
      <c r="J80" s="10">
        <v>1564.6</v>
      </c>
      <c r="K80" s="10"/>
      <c r="L80" s="10"/>
      <c r="M80" s="10"/>
      <c r="N80" s="10">
        <v>6041.9</v>
      </c>
      <c r="O80" s="10"/>
      <c r="P80" s="88">
        <f aca="true" t="shared" si="13" ref="P80:P86">I80/B80*100</f>
        <v>99.7521441498151</v>
      </c>
    </row>
    <row r="81" spans="1:16" ht="26.25">
      <c r="A81" s="9" t="s">
        <v>96</v>
      </c>
      <c r="B81" s="10">
        <f t="shared" si="11"/>
        <v>303</v>
      </c>
      <c r="C81" s="10">
        <f>332.6-29.6</f>
        <v>303</v>
      </c>
      <c r="D81" s="10"/>
      <c r="E81" s="10"/>
      <c r="F81" s="10"/>
      <c r="G81" s="10"/>
      <c r="H81" s="10"/>
      <c r="I81" s="10">
        <f t="shared" si="12"/>
        <v>280</v>
      </c>
      <c r="J81" s="10">
        <v>280</v>
      </c>
      <c r="K81" s="10"/>
      <c r="L81" s="10"/>
      <c r="M81" s="10"/>
      <c r="N81" s="10"/>
      <c r="O81" s="10"/>
      <c r="P81" s="88">
        <f t="shared" si="13"/>
        <v>92.4092409240924</v>
      </c>
    </row>
    <row r="82" spans="1:16" ht="26.25">
      <c r="A82" s="9" t="s">
        <v>97</v>
      </c>
      <c r="B82" s="10">
        <f t="shared" si="11"/>
        <v>1093.9</v>
      </c>
      <c r="C82" s="10">
        <f>1149-100</f>
        <v>1049</v>
      </c>
      <c r="D82" s="10"/>
      <c r="E82" s="10"/>
      <c r="F82" s="10"/>
      <c r="G82" s="10">
        <f>7.5+32.3+5.1</f>
        <v>44.9</v>
      </c>
      <c r="H82" s="10"/>
      <c r="I82" s="10">
        <f t="shared" si="12"/>
        <v>958.3000000000001</v>
      </c>
      <c r="J82" s="10">
        <f>901+12.7-0.1</f>
        <v>913.6</v>
      </c>
      <c r="K82" s="10"/>
      <c r="L82" s="10"/>
      <c r="M82" s="10"/>
      <c r="N82" s="10">
        <v>44.7</v>
      </c>
      <c r="O82" s="10"/>
      <c r="P82" s="88">
        <f t="shared" si="13"/>
        <v>87.60398573909863</v>
      </c>
    </row>
    <row r="83" spans="1:16" ht="15">
      <c r="A83" s="59" t="s">
        <v>58</v>
      </c>
      <c r="B83" s="10">
        <f t="shared" si="11"/>
        <v>4.6</v>
      </c>
      <c r="C83" s="10">
        <v>4.6</v>
      </c>
      <c r="D83" s="10"/>
      <c r="E83" s="10"/>
      <c r="F83" s="10"/>
      <c r="G83" s="10"/>
      <c r="H83" s="10"/>
      <c r="I83" s="10">
        <f t="shared" si="12"/>
        <v>4.6</v>
      </c>
      <c r="J83" s="10">
        <v>4.6</v>
      </c>
      <c r="K83" s="10"/>
      <c r="L83" s="10"/>
      <c r="M83" s="10"/>
      <c r="N83" s="10"/>
      <c r="O83" s="10"/>
      <c r="P83" s="88">
        <f t="shared" si="13"/>
        <v>100</v>
      </c>
    </row>
    <row r="84" spans="1:16" ht="26.25">
      <c r="A84" s="73" t="s">
        <v>59</v>
      </c>
      <c r="B84" s="39">
        <f t="shared" si="11"/>
        <v>161.3</v>
      </c>
      <c r="C84" s="39"/>
      <c r="D84" s="39">
        <f>75+33.4+26.5</f>
        <v>134.9</v>
      </c>
      <c r="E84" s="10"/>
      <c r="F84" s="10">
        <v>15</v>
      </c>
      <c r="G84" s="10"/>
      <c r="H84" s="10">
        <v>11.4</v>
      </c>
      <c r="I84" s="10">
        <f t="shared" si="12"/>
        <v>161</v>
      </c>
      <c r="J84" s="10"/>
      <c r="K84" s="10">
        <v>134.8</v>
      </c>
      <c r="L84" s="10"/>
      <c r="M84" s="10">
        <v>15</v>
      </c>
      <c r="N84" s="10"/>
      <c r="O84" s="10">
        <v>11.2</v>
      </c>
      <c r="P84" s="88">
        <f t="shared" si="13"/>
        <v>99.81401115933043</v>
      </c>
    </row>
    <row r="85" spans="1:16" ht="15">
      <c r="A85" s="75" t="s">
        <v>98</v>
      </c>
      <c r="B85" s="39">
        <f t="shared" si="11"/>
        <v>75</v>
      </c>
      <c r="C85" s="39"/>
      <c r="D85" s="39">
        <f>200-125</f>
        <v>75</v>
      </c>
      <c r="E85" s="10"/>
      <c r="F85" s="10"/>
      <c r="G85" s="10"/>
      <c r="H85" s="10"/>
      <c r="I85" s="10">
        <f t="shared" si="12"/>
        <v>73.4</v>
      </c>
      <c r="J85" s="10"/>
      <c r="K85" s="10">
        <v>73.4</v>
      </c>
      <c r="L85" s="10"/>
      <c r="M85" s="10">
        <v>0</v>
      </c>
      <c r="N85" s="10"/>
      <c r="O85" s="10"/>
      <c r="P85" s="88">
        <f t="shared" si="13"/>
        <v>97.86666666666667</v>
      </c>
    </row>
    <row r="86" spans="1:16" ht="15">
      <c r="A86" s="5" t="s">
        <v>99</v>
      </c>
      <c r="B86" s="10">
        <f t="shared" si="11"/>
        <v>300</v>
      </c>
      <c r="C86" s="10"/>
      <c r="D86" s="10">
        <v>300</v>
      </c>
      <c r="E86" s="10"/>
      <c r="F86" s="10"/>
      <c r="G86" s="10"/>
      <c r="H86" s="10"/>
      <c r="I86" s="10">
        <f t="shared" si="12"/>
        <v>0</v>
      </c>
      <c r="J86" s="10"/>
      <c r="K86" s="10"/>
      <c r="L86" s="10"/>
      <c r="M86" s="10"/>
      <c r="N86" s="10"/>
      <c r="O86" s="10"/>
      <c r="P86" s="88">
        <f t="shared" si="13"/>
        <v>0</v>
      </c>
    </row>
    <row r="87" spans="1:16" ht="15">
      <c r="A87" s="25" t="s">
        <v>17</v>
      </c>
      <c r="B87" s="27">
        <f>SUM(B80:B86)</f>
        <v>9563.199999999999</v>
      </c>
      <c r="C87" s="27">
        <f aca="true" t="shared" si="14" ref="C87:O87">SUM(C80:C86)</f>
        <v>2921.6</v>
      </c>
      <c r="D87" s="27">
        <f t="shared" si="14"/>
        <v>509.9</v>
      </c>
      <c r="E87" s="27">
        <f t="shared" si="14"/>
        <v>0</v>
      </c>
      <c r="F87" s="27">
        <f t="shared" si="14"/>
        <v>15</v>
      </c>
      <c r="G87" s="27">
        <f t="shared" si="14"/>
        <v>6105.299999999999</v>
      </c>
      <c r="H87" s="27">
        <f t="shared" si="14"/>
        <v>11.4</v>
      </c>
      <c r="I87" s="27">
        <f t="shared" si="14"/>
        <v>9083.8</v>
      </c>
      <c r="J87" s="27">
        <f t="shared" si="14"/>
        <v>2762.7999999999997</v>
      </c>
      <c r="K87" s="27">
        <f t="shared" si="14"/>
        <v>208.20000000000002</v>
      </c>
      <c r="L87" s="27">
        <f t="shared" si="14"/>
        <v>0</v>
      </c>
      <c r="M87" s="27">
        <f t="shared" si="14"/>
        <v>15</v>
      </c>
      <c r="N87" s="27">
        <f t="shared" si="14"/>
        <v>6086.599999999999</v>
      </c>
      <c r="O87" s="27">
        <f t="shared" si="14"/>
        <v>11.2</v>
      </c>
      <c r="P87" s="36">
        <f>I87/B87*100</f>
        <v>94.98703362891084</v>
      </c>
    </row>
    <row r="88" spans="1:16" ht="15.75">
      <c r="A88" s="116" t="s">
        <v>101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</row>
    <row r="89" spans="1:16" ht="15">
      <c r="A89" s="15" t="s">
        <v>102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26.25">
      <c r="A90" s="9" t="s">
        <v>103</v>
      </c>
      <c r="B90" s="39">
        <f aca="true" t="shared" si="15" ref="B90:B95">C90+D90+E90+F90+G90+H90</f>
        <v>21400</v>
      </c>
      <c r="C90" s="40">
        <f>22834.2-1434.2</f>
        <v>21400</v>
      </c>
      <c r="D90" s="39"/>
      <c r="E90" s="39"/>
      <c r="F90" s="39"/>
      <c r="G90" s="39"/>
      <c r="H90" s="39"/>
      <c r="I90" s="39">
        <f aca="true" t="shared" si="16" ref="I90:I95">J90+K90+L90+M90+N90+O90</f>
        <v>21355.4</v>
      </c>
      <c r="J90" s="39">
        <v>21355.4</v>
      </c>
      <c r="K90" s="39"/>
      <c r="L90" s="39"/>
      <c r="M90" s="39"/>
      <c r="N90" s="39"/>
      <c r="O90" s="39"/>
      <c r="P90" s="88">
        <f aca="true" t="shared" si="17" ref="P90:P95">I90/B90*100</f>
        <v>99.79158878504674</v>
      </c>
    </row>
    <row r="91" spans="1:16" ht="26.25">
      <c r="A91" s="9" t="s">
        <v>104</v>
      </c>
      <c r="B91" s="39">
        <f t="shared" si="15"/>
        <v>3667</v>
      </c>
      <c r="C91" s="40">
        <f>3965.3-365.3+67</f>
        <v>3667</v>
      </c>
      <c r="D91" s="39"/>
      <c r="E91" s="39"/>
      <c r="F91" s="39"/>
      <c r="G91" s="39"/>
      <c r="H91" s="39"/>
      <c r="I91" s="39">
        <f t="shared" si="16"/>
        <v>3228.2</v>
      </c>
      <c r="J91" s="39">
        <v>3228.2</v>
      </c>
      <c r="K91" s="39"/>
      <c r="L91" s="39"/>
      <c r="M91" s="39"/>
      <c r="N91" s="39"/>
      <c r="O91" s="39"/>
      <c r="P91" s="88">
        <f t="shared" si="17"/>
        <v>88.03381510771747</v>
      </c>
    </row>
    <row r="92" spans="1:16" ht="15">
      <c r="A92" s="59" t="s">
        <v>105</v>
      </c>
      <c r="B92" s="39">
        <f t="shared" si="15"/>
        <v>93</v>
      </c>
      <c r="C92" s="39">
        <v>93</v>
      </c>
      <c r="D92" s="39"/>
      <c r="E92" s="39"/>
      <c r="F92" s="39"/>
      <c r="G92" s="39"/>
      <c r="H92" s="39"/>
      <c r="I92" s="39">
        <f t="shared" si="16"/>
        <v>93</v>
      </c>
      <c r="J92" s="39">
        <v>93</v>
      </c>
      <c r="K92" s="39"/>
      <c r="L92" s="39"/>
      <c r="M92" s="39"/>
      <c r="N92" s="39"/>
      <c r="O92" s="39"/>
      <c r="P92" s="88">
        <f t="shared" si="17"/>
        <v>100</v>
      </c>
    </row>
    <row r="93" spans="1:16" ht="26.25">
      <c r="A93" s="9" t="s">
        <v>106</v>
      </c>
      <c r="B93" s="39">
        <f t="shared" si="15"/>
        <v>212</v>
      </c>
      <c r="C93" s="40"/>
      <c r="D93" s="39">
        <v>212</v>
      </c>
      <c r="E93" s="39"/>
      <c r="F93" s="39"/>
      <c r="G93" s="39"/>
      <c r="H93" s="39"/>
      <c r="I93" s="39">
        <f t="shared" si="16"/>
        <v>0</v>
      </c>
      <c r="J93" s="39"/>
      <c r="K93" s="39">
        <v>0</v>
      </c>
      <c r="L93" s="39"/>
      <c r="M93" s="39"/>
      <c r="N93" s="39"/>
      <c r="O93" s="39"/>
      <c r="P93" s="88">
        <f t="shared" si="17"/>
        <v>0</v>
      </c>
    </row>
    <row r="94" spans="1:16" ht="15">
      <c r="A94" s="5" t="s">
        <v>107</v>
      </c>
      <c r="B94" s="39">
        <f t="shared" si="15"/>
        <v>400</v>
      </c>
      <c r="C94" s="39"/>
      <c r="D94" s="39">
        <v>400</v>
      </c>
      <c r="E94" s="39"/>
      <c r="F94" s="39"/>
      <c r="G94" s="39"/>
      <c r="H94" s="39"/>
      <c r="I94" s="39">
        <f t="shared" si="16"/>
        <v>295.2</v>
      </c>
      <c r="J94" s="39"/>
      <c r="K94" s="39">
        <v>295.2</v>
      </c>
      <c r="L94" s="39"/>
      <c r="M94" s="39"/>
      <c r="N94" s="39"/>
      <c r="O94" s="39"/>
      <c r="P94" s="88">
        <f t="shared" si="17"/>
        <v>73.8</v>
      </c>
    </row>
    <row r="95" spans="1:16" ht="26.25">
      <c r="A95" s="6" t="s">
        <v>108</v>
      </c>
      <c r="B95" s="39">
        <f t="shared" si="15"/>
        <v>400</v>
      </c>
      <c r="C95" s="40"/>
      <c r="D95" s="39">
        <v>400</v>
      </c>
      <c r="E95" s="39"/>
      <c r="F95" s="39"/>
      <c r="G95" s="39"/>
      <c r="H95" s="39"/>
      <c r="I95" s="39">
        <f t="shared" si="16"/>
        <v>0</v>
      </c>
      <c r="J95" s="39"/>
      <c r="K95" s="39"/>
      <c r="L95" s="39"/>
      <c r="M95" s="39"/>
      <c r="N95" s="39"/>
      <c r="O95" s="39"/>
      <c r="P95" s="88">
        <f t="shared" si="17"/>
        <v>0</v>
      </c>
    </row>
    <row r="96" spans="1:16" ht="15">
      <c r="A96" s="25" t="s">
        <v>18</v>
      </c>
      <c r="B96" s="27">
        <f aca="true" t="shared" si="18" ref="B96:O96">SUM(B90:B95)</f>
        <v>26172</v>
      </c>
      <c r="C96" s="27">
        <f t="shared" si="18"/>
        <v>25160</v>
      </c>
      <c r="D96" s="27">
        <f t="shared" si="18"/>
        <v>1012</v>
      </c>
      <c r="E96" s="27">
        <f t="shared" si="18"/>
        <v>0</v>
      </c>
      <c r="F96" s="27">
        <f t="shared" si="18"/>
        <v>0</v>
      </c>
      <c r="G96" s="27">
        <f t="shared" si="18"/>
        <v>0</v>
      </c>
      <c r="H96" s="27">
        <f t="shared" si="18"/>
        <v>0</v>
      </c>
      <c r="I96" s="27">
        <f t="shared" si="18"/>
        <v>24971.800000000003</v>
      </c>
      <c r="J96" s="27">
        <f t="shared" si="18"/>
        <v>24676.600000000002</v>
      </c>
      <c r="K96" s="27">
        <f t="shared" si="18"/>
        <v>295.2</v>
      </c>
      <c r="L96" s="27">
        <f t="shared" si="18"/>
        <v>0</v>
      </c>
      <c r="M96" s="27">
        <f t="shared" si="18"/>
        <v>0</v>
      </c>
      <c r="N96" s="27">
        <f t="shared" si="18"/>
        <v>0</v>
      </c>
      <c r="O96" s="27">
        <f t="shared" si="18"/>
        <v>0</v>
      </c>
      <c r="P96" s="36">
        <f>I96/B96*100</f>
        <v>95.41418309643895</v>
      </c>
    </row>
    <row r="97" spans="1:16" ht="15.75">
      <c r="A97" s="116" t="s">
        <v>109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</row>
    <row r="98" spans="1:16" ht="30" customHeight="1">
      <c r="A98" s="15" t="s">
        <v>110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64.5">
      <c r="A99" s="6" t="s">
        <v>111</v>
      </c>
      <c r="B99" s="43">
        <f>C99+D99+E99+F99+G99+H99</f>
        <v>3219.8</v>
      </c>
      <c r="C99" s="43">
        <v>3199.8</v>
      </c>
      <c r="D99" s="43">
        <v>20</v>
      </c>
      <c r="E99" s="43"/>
      <c r="F99" s="43"/>
      <c r="G99" s="43"/>
      <c r="H99" s="43"/>
      <c r="I99" s="43">
        <f>J99+K99+L99+M99+N99+O99</f>
        <v>3095.1</v>
      </c>
      <c r="J99" s="43">
        <v>3085.2</v>
      </c>
      <c r="K99" s="43">
        <v>9.9</v>
      </c>
      <c r="L99" s="43"/>
      <c r="M99" s="43"/>
      <c r="N99" s="43"/>
      <c r="O99" s="43"/>
      <c r="P99" s="88">
        <f>I99/B99*100</f>
        <v>96.1270886390459</v>
      </c>
    </row>
    <row r="100" spans="1:16" ht="15">
      <c r="A100" s="25" t="s">
        <v>19</v>
      </c>
      <c r="B100" s="27">
        <f aca="true" t="shared" si="19" ref="B100:O100">SUM(B99:B99)</f>
        <v>3219.8</v>
      </c>
      <c r="C100" s="27">
        <f t="shared" si="19"/>
        <v>3199.8</v>
      </c>
      <c r="D100" s="27">
        <f t="shared" si="19"/>
        <v>20</v>
      </c>
      <c r="E100" s="27">
        <f t="shared" si="19"/>
        <v>0</v>
      </c>
      <c r="F100" s="27">
        <f t="shared" si="19"/>
        <v>0</v>
      </c>
      <c r="G100" s="27">
        <f t="shared" si="19"/>
        <v>0</v>
      </c>
      <c r="H100" s="27">
        <f t="shared" si="19"/>
        <v>0</v>
      </c>
      <c r="I100" s="27">
        <f t="shared" si="19"/>
        <v>3095.1</v>
      </c>
      <c r="J100" s="27">
        <f t="shared" si="19"/>
        <v>3085.2</v>
      </c>
      <c r="K100" s="27">
        <f t="shared" si="19"/>
        <v>9.9</v>
      </c>
      <c r="L100" s="27">
        <f t="shared" si="19"/>
        <v>0</v>
      </c>
      <c r="M100" s="27">
        <f t="shared" si="19"/>
        <v>0</v>
      </c>
      <c r="N100" s="27">
        <f t="shared" si="19"/>
        <v>0</v>
      </c>
      <c r="O100" s="27">
        <f t="shared" si="19"/>
        <v>0</v>
      </c>
      <c r="P100" s="36">
        <f>I100/B100*100</f>
        <v>96.1270886390459</v>
      </c>
    </row>
    <row r="101" spans="1:16" ht="15.75">
      <c r="A101" s="116" t="s">
        <v>112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6" ht="26.25">
      <c r="A102" s="15" t="s">
        <v>113</v>
      </c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ht="51.75">
      <c r="A103" s="6" t="s">
        <v>114</v>
      </c>
      <c r="B103" s="13">
        <f>C103+D103+E103+F103+G103+H103</f>
        <v>543.1</v>
      </c>
      <c r="C103" s="14">
        <v>495.1</v>
      </c>
      <c r="D103" s="13">
        <v>48</v>
      </c>
      <c r="E103" s="13"/>
      <c r="F103" s="13"/>
      <c r="G103" s="13"/>
      <c r="H103" s="13"/>
      <c r="I103" s="13">
        <f>J103+K103+L103+M103+N103+O103</f>
        <v>427.6</v>
      </c>
      <c r="J103" s="13">
        <v>398</v>
      </c>
      <c r="K103" s="13">
        <v>29.6</v>
      </c>
      <c r="L103" s="13"/>
      <c r="M103" s="13"/>
      <c r="N103" s="13"/>
      <c r="O103" s="13"/>
      <c r="P103" s="88">
        <f>I103/B103*100</f>
        <v>78.733198306021</v>
      </c>
    </row>
    <row r="104" spans="1:16" ht="15">
      <c r="A104" s="25" t="s">
        <v>20</v>
      </c>
      <c r="B104" s="27">
        <f aca="true" t="shared" si="20" ref="B104:O104">SUM(B103:B103)</f>
        <v>543.1</v>
      </c>
      <c r="C104" s="27">
        <f t="shared" si="20"/>
        <v>495.1</v>
      </c>
      <c r="D104" s="27">
        <f t="shared" si="20"/>
        <v>48</v>
      </c>
      <c r="E104" s="27">
        <f t="shared" si="20"/>
        <v>0</v>
      </c>
      <c r="F104" s="27">
        <f t="shared" si="20"/>
        <v>0</v>
      </c>
      <c r="G104" s="27">
        <f t="shared" si="20"/>
        <v>0</v>
      </c>
      <c r="H104" s="27">
        <f t="shared" si="20"/>
        <v>0</v>
      </c>
      <c r="I104" s="27">
        <f t="shared" si="20"/>
        <v>427.6</v>
      </c>
      <c r="J104" s="27">
        <f t="shared" si="20"/>
        <v>398</v>
      </c>
      <c r="K104" s="27">
        <f t="shared" si="20"/>
        <v>29.6</v>
      </c>
      <c r="L104" s="27">
        <f t="shared" si="20"/>
        <v>0</v>
      </c>
      <c r="M104" s="27">
        <f t="shared" si="20"/>
        <v>0</v>
      </c>
      <c r="N104" s="27">
        <f t="shared" si="20"/>
        <v>0</v>
      </c>
      <c r="O104" s="27">
        <f t="shared" si="20"/>
        <v>0</v>
      </c>
      <c r="P104" s="36">
        <f>I104/B104*100</f>
        <v>78.733198306021</v>
      </c>
    </row>
    <row r="105" spans="1:16" ht="15.75">
      <c r="A105" s="116" t="s">
        <v>115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</row>
    <row r="106" spans="1:16" ht="25.5">
      <c r="A106" s="19" t="s">
        <v>113</v>
      </c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ht="39">
      <c r="A107" s="57" t="s">
        <v>116</v>
      </c>
      <c r="B107" s="43">
        <f>C107+D107+E107+F107+G107+H107</f>
        <v>2856.5</v>
      </c>
      <c r="C107" s="43">
        <f>3094-244</f>
        <v>2850</v>
      </c>
      <c r="D107" s="43">
        <v>6.5</v>
      </c>
      <c r="E107" s="43"/>
      <c r="F107" s="43"/>
      <c r="G107" s="43"/>
      <c r="H107" s="43"/>
      <c r="I107" s="43">
        <f>J107+K107+L107+M107+N107+O107</f>
        <v>2778</v>
      </c>
      <c r="J107" s="43">
        <v>2771.5</v>
      </c>
      <c r="K107" s="43">
        <v>6.5</v>
      </c>
      <c r="L107" s="43"/>
      <c r="M107" s="43"/>
      <c r="N107" s="43"/>
      <c r="O107" s="43"/>
      <c r="P107" s="88">
        <f>I107/B107*100</f>
        <v>97.2518816733765</v>
      </c>
    </row>
    <row r="108" spans="1:16" ht="15">
      <c r="A108" s="25" t="s">
        <v>21</v>
      </c>
      <c r="B108" s="27">
        <f aca="true" t="shared" si="21" ref="B108:O108">SUM(B107:B107)</f>
        <v>2856.5</v>
      </c>
      <c r="C108" s="27">
        <f t="shared" si="21"/>
        <v>2850</v>
      </c>
      <c r="D108" s="27">
        <f t="shared" si="21"/>
        <v>6.5</v>
      </c>
      <c r="E108" s="27">
        <f t="shared" si="21"/>
        <v>0</v>
      </c>
      <c r="F108" s="27">
        <f t="shared" si="21"/>
        <v>0</v>
      </c>
      <c r="G108" s="27">
        <f t="shared" si="21"/>
        <v>0</v>
      </c>
      <c r="H108" s="27">
        <f t="shared" si="21"/>
        <v>0</v>
      </c>
      <c r="I108" s="27">
        <f t="shared" si="21"/>
        <v>2778</v>
      </c>
      <c r="J108" s="27">
        <f t="shared" si="21"/>
        <v>2771.5</v>
      </c>
      <c r="K108" s="27">
        <f t="shared" si="21"/>
        <v>6.5</v>
      </c>
      <c r="L108" s="27">
        <f t="shared" si="21"/>
        <v>0</v>
      </c>
      <c r="M108" s="27">
        <f t="shared" si="21"/>
        <v>0</v>
      </c>
      <c r="N108" s="27">
        <f t="shared" si="21"/>
        <v>0</v>
      </c>
      <c r="O108" s="27">
        <f t="shared" si="21"/>
        <v>0</v>
      </c>
      <c r="P108" s="36">
        <f>I108/B108*100</f>
        <v>97.2518816733765</v>
      </c>
    </row>
    <row r="109" spans="1:16" ht="15.75">
      <c r="A109" s="116" t="s">
        <v>117</v>
      </c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</row>
    <row r="110" spans="1:16" ht="51.75" customHeight="1">
      <c r="A110" s="18" t="s">
        <v>118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ht="26.25">
      <c r="A111" s="6" t="s">
        <v>119</v>
      </c>
      <c r="B111" s="41">
        <f>C111+D111+E111+F111+G111+H111</f>
        <v>70</v>
      </c>
      <c r="C111" s="41">
        <f>80-10</f>
        <v>70</v>
      </c>
      <c r="D111" s="41"/>
      <c r="E111" s="41"/>
      <c r="F111" s="41"/>
      <c r="G111" s="68"/>
      <c r="H111" s="41"/>
      <c r="I111" s="43">
        <f>J111+K111+L111+M111+N111+O111</f>
        <v>70</v>
      </c>
      <c r="J111" s="43">
        <v>70</v>
      </c>
      <c r="K111" s="43"/>
      <c r="L111" s="43"/>
      <c r="M111" s="41"/>
      <c r="N111" s="41"/>
      <c r="O111" s="41"/>
      <c r="P111" s="88">
        <f>I111/B111*100</f>
        <v>100</v>
      </c>
    </row>
    <row r="112" spans="1:16" ht="23.25" customHeight="1">
      <c r="A112" s="49" t="s">
        <v>16</v>
      </c>
      <c r="B112" s="41">
        <f>C112+D112+E112+F112+G112+H112</f>
        <v>20.4</v>
      </c>
      <c r="C112" s="42">
        <v>20.4</v>
      </c>
      <c r="D112" s="41"/>
      <c r="E112" s="41"/>
      <c r="F112" s="41"/>
      <c r="G112" s="41"/>
      <c r="H112" s="41"/>
      <c r="I112" s="41">
        <f>J112+K112+L112+M112+N112+O112</f>
        <v>20</v>
      </c>
      <c r="J112" s="41">
        <v>20</v>
      </c>
      <c r="K112" s="41"/>
      <c r="L112" s="41"/>
      <c r="M112" s="41"/>
      <c r="N112" s="41"/>
      <c r="O112" s="41"/>
      <c r="P112" s="88">
        <f>I112/B112*100</f>
        <v>98.03921568627452</v>
      </c>
    </row>
    <row r="113" spans="1:16" ht="15">
      <c r="A113" s="25" t="s">
        <v>22</v>
      </c>
      <c r="B113" s="27">
        <f aca="true" t="shared" si="22" ref="B113:O113">SUM(B110:B112)</f>
        <v>90.4</v>
      </c>
      <c r="C113" s="27">
        <f t="shared" si="22"/>
        <v>90.4</v>
      </c>
      <c r="D113" s="27">
        <f t="shared" si="22"/>
        <v>0</v>
      </c>
      <c r="E113" s="27">
        <f t="shared" si="22"/>
        <v>0</v>
      </c>
      <c r="F113" s="27">
        <f t="shared" si="22"/>
        <v>0</v>
      </c>
      <c r="G113" s="27">
        <f t="shared" si="22"/>
        <v>0</v>
      </c>
      <c r="H113" s="27">
        <f t="shared" si="22"/>
        <v>0</v>
      </c>
      <c r="I113" s="27">
        <f t="shared" si="22"/>
        <v>90</v>
      </c>
      <c r="J113" s="27">
        <f t="shared" si="22"/>
        <v>90</v>
      </c>
      <c r="K113" s="27">
        <f t="shared" si="22"/>
        <v>0</v>
      </c>
      <c r="L113" s="27">
        <f t="shared" si="22"/>
        <v>0</v>
      </c>
      <c r="M113" s="27">
        <f t="shared" si="22"/>
        <v>0</v>
      </c>
      <c r="N113" s="27">
        <f t="shared" si="22"/>
        <v>0</v>
      </c>
      <c r="O113" s="27">
        <f t="shared" si="22"/>
        <v>0</v>
      </c>
      <c r="P113" s="36">
        <f>I113/B113*100</f>
        <v>99.55752212389379</v>
      </c>
    </row>
    <row r="114" spans="1:16" ht="15.75">
      <c r="A114" s="116" t="s">
        <v>120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</row>
    <row r="115" spans="1:16" ht="26.25">
      <c r="A115" s="15" t="s">
        <v>121</v>
      </c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ht="26.25">
      <c r="A116" s="6" t="s">
        <v>122</v>
      </c>
      <c r="B116" s="13">
        <f aca="true" t="shared" si="23" ref="B116:B121">C116+D116+E116+F116+G116+H116</f>
        <v>2500</v>
      </c>
      <c r="C116" s="13">
        <v>2500</v>
      </c>
      <c r="D116" s="13"/>
      <c r="E116" s="13"/>
      <c r="F116" s="13"/>
      <c r="G116" s="13"/>
      <c r="H116" s="13"/>
      <c r="I116" s="13">
        <f aca="true" t="shared" si="24" ref="I116:I121">J116+K116+L116+M116+N116+O116</f>
        <v>2490.3</v>
      </c>
      <c r="J116" s="13">
        <v>2490.3</v>
      </c>
      <c r="K116" s="13"/>
      <c r="L116" s="13"/>
      <c r="M116" s="13"/>
      <c r="N116" s="13"/>
      <c r="O116" s="13"/>
      <c r="P116" s="88">
        <f aca="true" t="shared" si="25" ref="P116:P121">I116/B116*100</f>
        <v>99.61200000000001</v>
      </c>
    </row>
    <row r="117" spans="1:16" ht="30.75" customHeight="1">
      <c r="A117" s="9" t="s">
        <v>123</v>
      </c>
      <c r="B117" s="13">
        <f t="shared" si="23"/>
        <v>875.8</v>
      </c>
      <c r="C117" s="13">
        <v>850.8</v>
      </c>
      <c r="D117" s="13"/>
      <c r="E117" s="13">
        <v>25</v>
      </c>
      <c r="F117" s="13"/>
      <c r="G117" s="13"/>
      <c r="H117" s="13"/>
      <c r="I117" s="13">
        <f t="shared" si="24"/>
        <v>618</v>
      </c>
      <c r="J117" s="13">
        <v>593</v>
      </c>
      <c r="K117" s="13"/>
      <c r="L117" s="13">
        <v>25</v>
      </c>
      <c r="M117" s="13"/>
      <c r="N117" s="13"/>
      <c r="O117" s="13"/>
      <c r="P117" s="88">
        <f t="shared" si="25"/>
        <v>70.56405572048413</v>
      </c>
    </row>
    <row r="118" spans="1:16" ht="15">
      <c r="A118" s="9" t="s">
        <v>124</v>
      </c>
      <c r="B118" s="13">
        <f t="shared" si="23"/>
        <v>77.7</v>
      </c>
      <c r="C118" s="13">
        <v>77.7</v>
      </c>
      <c r="D118" s="13"/>
      <c r="E118" s="13"/>
      <c r="F118" s="13"/>
      <c r="G118" s="13"/>
      <c r="H118" s="13"/>
      <c r="I118" s="13">
        <f t="shared" si="24"/>
        <v>77.7</v>
      </c>
      <c r="J118" s="13">
        <v>77.7</v>
      </c>
      <c r="K118" s="13"/>
      <c r="L118" s="13"/>
      <c r="M118" s="13"/>
      <c r="N118" s="13"/>
      <c r="O118" s="13"/>
      <c r="P118" s="88">
        <f t="shared" si="25"/>
        <v>100</v>
      </c>
    </row>
    <row r="119" spans="1:16" ht="26.25">
      <c r="A119" s="9" t="s">
        <v>125</v>
      </c>
      <c r="B119" s="13">
        <f t="shared" si="23"/>
        <v>115.1</v>
      </c>
      <c r="C119" s="13"/>
      <c r="D119" s="13">
        <v>115.1</v>
      </c>
      <c r="E119" s="13"/>
      <c r="F119" s="13"/>
      <c r="G119" s="13"/>
      <c r="H119" s="13"/>
      <c r="I119" s="13">
        <f t="shared" si="24"/>
        <v>7.6</v>
      </c>
      <c r="J119" s="13"/>
      <c r="K119" s="13">
        <v>7.6</v>
      </c>
      <c r="L119" s="13"/>
      <c r="M119" s="13"/>
      <c r="N119" s="13"/>
      <c r="O119" s="13"/>
      <c r="P119" s="88">
        <f t="shared" si="25"/>
        <v>6.602953953084274</v>
      </c>
    </row>
    <row r="120" spans="1:16" ht="30.75" customHeight="1">
      <c r="A120" s="6" t="s">
        <v>126</v>
      </c>
      <c r="B120" s="13">
        <f t="shared" si="23"/>
        <v>200</v>
      </c>
      <c r="C120" s="13"/>
      <c r="D120" s="13">
        <v>200</v>
      </c>
      <c r="E120" s="13"/>
      <c r="F120" s="13"/>
      <c r="G120" s="13"/>
      <c r="H120" s="13"/>
      <c r="I120" s="13">
        <f t="shared" si="24"/>
        <v>99</v>
      </c>
      <c r="J120" s="13"/>
      <c r="K120" s="13">
        <v>99</v>
      </c>
      <c r="L120" s="13"/>
      <c r="M120" s="13"/>
      <c r="N120" s="13"/>
      <c r="O120" s="13"/>
      <c r="P120" s="88">
        <f t="shared" si="25"/>
        <v>49.5</v>
      </c>
    </row>
    <row r="121" spans="1:16" ht="26.25">
      <c r="A121" s="6" t="s">
        <v>127</v>
      </c>
      <c r="B121" s="13">
        <f t="shared" si="23"/>
        <v>200</v>
      </c>
      <c r="C121" s="13"/>
      <c r="D121" s="13">
        <v>200</v>
      </c>
      <c r="E121" s="13"/>
      <c r="F121" s="13"/>
      <c r="G121" s="13"/>
      <c r="H121" s="13"/>
      <c r="I121" s="13">
        <f t="shared" si="24"/>
        <v>0</v>
      </c>
      <c r="J121" s="13"/>
      <c r="K121" s="13"/>
      <c r="L121" s="13"/>
      <c r="M121" s="13"/>
      <c r="N121" s="13"/>
      <c r="O121" s="13"/>
      <c r="P121" s="88">
        <f t="shared" si="25"/>
        <v>0</v>
      </c>
    </row>
    <row r="122" spans="1:16" ht="15">
      <c r="A122" s="15" t="s">
        <v>128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26.25">
      <c r="A123" s="56" t="s">
        <v>129</v>
      </c>
      <c r="B123" s="13">
        <f>C123+D123+E123+F123+G123+H123</f>
        <v>1581.6</v>
      </c>
      <c r="C123" s="14">
        <v>1581.6</v>
      </c>
      <c r="D123" s="13"/>
      <c r="E123" s="13"/>
      <c r="F123" s="13"/>
      <c r="G123" s="13"/>
      <c r="H123" s="13"/>
      <c r="I123" s="13">
        <f>J123+K123+L123+M123+N123+O123</f>
        <v>1408.7</v>
      </c>
      <c r="J123" s="13">
        <v>1408.7</v>
      </c>
      <c r="K123" s="13"/>
      <c r="L123" s="13"/>
      <c r="M123" s="13"/>
      <c r="N123" s="13"/>
      <c r="O123" s="13"/>
      <c r="P123" s="88">
        <f>I123/B123*100</f>
        <v>89.06803237228125</v>
      </c>
    </row>
    <row r="124" spans="1:16" ht="15">
      <c r="A124" s="25" t="s">
        <v>23</v>
      </c>
      <c r="B124" s="26">
        <f aca="true" t="shared" si="26" ref="B124:O124">SUM(B115:B123)</f>
        <v>5550.2</v>
      </c>
      <c r="C124" s="26">
        <f t="shared" si="26"/>
        <v>5010.1</v>
      </c>
      <c r="D124" s="26">
        <f t="shared" si="26"/>
        <v>515.1</v>
      </c>
      <c r="E124" s="26">
        <f t="shared" si="26"/>
        <v>25</v>
      </c>
      <c r="F124" s="26">
        <f t="shared" si="26"/>
        <v>0</v>
      </c>
      <c r="G124" s="26">
        <f t="shared" si="26"/>
        <v>0</v>
      </c>
      <c r="H124" s="26">
        <f t="shared" si="26"/>
        <v>0</v>
      </c>
      <c r="I124" s="26">
        <f t="shared" si="26"/>
        <v>4701.3</v>
      </c>
      <c r="J124" s="26">
        <f t="shared" si="26"/>
        <v>4569.7</v>
      </c>
      <c r="K124" s="26">
        <f t="shared" si="26"/>
        <v>106.6</v>
      </c>
      <c r="L124" s="26">
        <f t="shared" si="26"/>
        <v>25</v>
      </c>
      <c r="M124" s="26">
        <f t="shared" si="26"/>
        <v>0</v>
      </c>
      <c r="N124" s="26">
        <f t="shared" si="26"/>
        <v>0</v>
      </c>
      <c r="O124" s="26">
        <f t="shared" si="26"/>
        <v>0</v>
      </c>
      <c r="P124" s="36">
        <f>I124/B124*100</f>
        <v>84.70505567366942</v>
      </c>
    </row>
    <row r="125" spans="1:16" ht="15.75">
      <c r="A125" s="116" t="s">
        <v>24</v>
      </c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</row>
    <row r="126" spans="1:16" ht="64.5">
      <c r="A126" s="22" t="s">
        <v>25</v>
      </c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ht="25.5">
      <c r="A127" s="7" t="s">
        <v>26</v>
      </c>
      <c r="B127" s="13">
        <f>C127+D127+E127+F127+G127+H127</f>
        <v>172.2</v>
      </c>
      <c r="C127" s="14">
        <v>172.2</v>
      </c>
      <c r="D127" s="13"/>
      <c r="E127" s="13"/>
      <c r="F127" s="13"/>
      <c r="G127" s="13"/>
      <c r="H127" s="13"/>
      <c r="I127" s="13">
        <f>J127+K127+L127+M127+N127+O127</f>
        <v>172.2</v>
      </c>
      <c r="J127" s="14">
        <v>172.2</v>
      </c>
      <c r="K127" s="13"/>
      <c r="L127" s="13"/>
      <c r="M127" s="13"/>
      <c r="N127" s="13"/>
      <c r="O127" s="13"/>
      <c r="P127" s="88">
        <f>I127/B127*100</f>
        <v>100</v>
      </c>
    </row>
    <row r="128" spans="1:16" ht="38.25">
      <c r="A128" s="23" t="s">
        <v>27</v>
      </c>
      <c r="B128" s="13">
        <f>C128+D128+E128+F128+G128+H128</f>
        <v>116.4</v>
      </c>
      <c r="C128" s="14">
        <v>116.4</v>
      </c>
      <c r="D128" s="13"/>
      <c r="E128" s="13"/>
      <c r="F128" s="13"/>
      <c r="G128" s="13"/>
      <c r="H128" s="13"/>
      <c r="I128" s="13">
        <f>J128+K128+L128+M128+N128+O128</f>
        <v>116.4</v>
      </c>
      <c r="J128" s="14">
        <v>116.4</v>
      </c>
      <c r="K128" s="13"/>
      <c r="L128" s="13"/>
      <c r="M128" s="13"/>
      <c r="N128" s="13"/>
      <c r="O128" s="13"/>
      <c r="P128" s="88">
        <f>I128/B128*100</f>
        <v>100</v>
      </c>
    </row>
    <row r="129" spans="1:16" ht="15">
      <c r="A129" s="25" t="s">
        <v>28</v>
      </c>
      <c r="B129" s="27">
        <f>SUM(B127:B128)</f>
        <v>288.6</v>
      </c>
      <c r="C129" s="27">
        <f aca="true" t="shared" si="27" ref="C129:O129">SUM(C127:C128)</f>
        <v>288.6</v>
      </c>
      <c r="D129" s="27">
        <f t="shared" si="27"/>
        <v>0</v>
      </c>
      <c r="E129" s="27">
        <f t="shared" si="27"/>
        <v>0</v>
      </c>
      <c r="F129" s="27">
        <f t="shared" si="27"/>
        <v>0</v>
      </c>
      <c r="G129" s="27">
        <f t="shared" si="27"/>
        <v>0</v>
      </c>
      <c r="H129" s="27">
        <f t="shared" si="27"/>
        <v>0</v>
      </c>
      <c r="I129" s="27">
        <f t="shared" si="27"/>
        <v>288.6</v>
      </c>
      <c r="J129" s="27">
        <f t="shared" si="27"/>
        <v>288.6</v>
      </c>
      <c r="K129" s="27">
        <f t="shared" si="27"/>
        <v>0</v>
      </c>
      <c r="L129" s="27">
        <f t="shared" si="27"/>
        <v>0</v>
      </c>
      <c r="M129" s="27">
        <f t="shared" si="27"/>
        <v>0</v>
      </c>
      <c r="N129" s="27">
        <f t="shared" si="27"/>
        <v>0</v>
      </c>
      <c r="O129" s="27">
        <f t="shared" si="27"/>
        <v>0</v>
      </c>
      <c r="P129" s="36">
        <f>I129/B129*100</f>
        <v>100</v>
      </c>
    </row>
    <row r="130" spans="1:16" ht="15.75">
      <c r="A130" s="116" t="s">
        <v>131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</row>
    <row r="131" spans="1:16" ht="30.75" customHeight="1">
      <c r="A131" s="72" t="s">
        <v>130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1"/>
    </row>
    <row r="132" spans="1:16" ht="26.25">
      <c r="A132" s="9" t="s">
        <v>133</v>
      </c>
      <c r="B132" s="13">
        <f aca="true" t="shared" si="28" ref="B132:B137">C132+D132+E132+F132+G132+H132</f>
        <v>75469</v>
      </c>
      <c r="C132" s="13">
        <v>61000</v>
      </c>
      <c r="D132" s="96">
        <f>3100-131</f>
        <v>2969</v>
      </c>
      <c r="E132" s="13"/>
      <c r="F132" s="13"/>
      <c r="G132" s="13">
        <v>11500</v>
      </c>
      <c r="H132" s="13"/>
      <c r="I132" s="13">
        <f aca="true" t="shared" si="29" ref="I132:I137">J132+K132+L132+M132+N132+O132</f>
        <v>74428</v>
      </c>
      <c r="J132" s="14">
        <v>60455.4</v>
      </c>
      <c r="K132" s="13">
        <v>2536.4</v>
      </c>
      <c r="L132" s="13"/>
      <c r="M132" s="13"/>
      <c r="N132" s="13">
        <v>11436.2</v>
      </c>
      <c r="O132" s="13"/>
      <c r="P132" s="88">
        <f aca="true" t="shared" si="30" ref="P132:P137">I132/B132*100</f>
        <v>98.62062568736832</v>
      </c>
    </row>
    <row r="133" spans="1:16" ht="26.25">
      <c r="A133" s="9" t="s">
        <v>134</v>
      </c>
      <c r="B133" s="13">
        <f t="shared" si="28"/>
        <v>5860</v>
      </c>
      <c r="C133" s="13">
        <v>5110</v>
      </c>
      <c r="D133" s="13">
        <v>750</v>
      </c>
      <c r="E133" s="13"/>
      <c r="F133" s="13"/>
      <c r="G133" s="13"/>
      <c r="H133" s="13"/>
      <c r="I133" s="13">
        <f t="shared" si="29"/>
        <v>4769.9</v>
      </c>
      <c r="J133" s="14">
        <v>4094.1</v>
      </c>
      <c r="K133" s="13">
        <v>675.8</v>
      </c>
      <c r="L133" s="13"/>
      <c r="M133" s="13"/>
      <c r="N133" s="13"/>
      <c r="O133" s="13"/>
      <c r="P133" s="88">
        <f t="shared" si="30"/>
        <v>81.3976109215017</v>
      </c>
    </row>
    <row r="134" spans="1:16" ht="26.25">
      <c r="A134" s="9" t="s">
        <v>135</v>
      </c>
      <c r="B134" s="13">
        <f t="shared" si="28"/>
        <v>19746.4</v>
      </c>
      <c r="C134" s="13">
        <v>12770</v>
      </c>
      <c r="D134" s="13">
        <v>3900</v>
      </c>
      <c r="E134" s="13">
        <v>40</v>
      </c>
      <c r="F134" s="13"/>
      <c r="G134" s="13">
        <f>2599+437.4</f>
        <v>3036.4</v>
      </c>
      <c r="H134" s="13"/>
      <c r="I134" s="13">
        <f t="shared" si="29"/>
        <v>15233.199999999999</v>
      </c>
      <c r="J134" s="14">
        <v>12156.8</v>
      </c>
      <c r="K134" s="13"/>
      <c r="L134" s="13">
        <v>40</v>
      </c>
      <c r="M134" s="13"/>
      <c r="N134" s="13">
        <v>3036.4</v>
      </c>
      <c r="O134" s="13"/>
      <c r="P134" s="88">
        <f t="shared" si="30"/>
        <v>77.14418830774216</v>
      </c>
    </row>
    <row r="135" spans="1:16" ht="15">
      <c r="A135" s="59" t="s">
        <v>136</v>
      </c>
      <c r="B135" s="13">
        <f t="shared" si="28"/>
        <v>14800</v>
      </c>
      <c r="C135" s="13">
        <v>14800</v>
      </c>
      <c r="D135" s="13"/>
      <c r="E135" s="13"/>
      <c r="F135" s="13"/>
      <c r="G135" s="13"/>
      <c r="H135" s="13"/>
      <c r="I135" s="13">
        <f t="shared" si="29"/>
        <v>12801.9</v>
      </c>
      <c r="J135" s="14">
        <v>12801.9</v>
      </c>
      <c r="K135" s="13"/>
      <c r="L135" s="13"/>
      <c r="M135" s="13"/>
      <c r="N135" s="13"/>
      <c r="O135" s="13"/>
      <c r="P135" s="88">
        <f t="shared" si="30"/>
        <v>86.49932432432432</v>
      </c>
    </row>
    <row r="136" spans="1:16" ht="26.25">
      <c r="A136" s="9" t="s">
        <v>59</v>
      </c>
      <c r="B136" s="13">
        <f t="shared" si="28"/>
        <v>1659.6999999999998</v>
      </c>
      <c r="C136" s="13"/>
      <c r="D136" s="13">
        <v>167</v>
      </c>
      <c r="E136" s="13"/>
      <c r="F136" s="13"/>
      <c r="G136" s="13"/>
      <c r="H136" s="13">
        <f>498+535.1+459.6</f>
        <v>1492.6999999999998</v>
      </c>
      <c r="I136" s="13">
        <f t="shared" si="29"/>
        <v>1656.6</v>
      </c>
      <c r="J136" s="14"/>
      <c r="K136" s="13">
        <v>167</v>
      </c>
      <c r="L136" s="13"/>
      <c r="M136" s="13"/>
      <c r="N136" s="13"/>
      <c r="O136" s="13">
        <v>1489.6</v>
      </c>
      <c r="P136" s="88">
        <f t="shared" si="30"/>
        <v>99.81321925649215</v>
      </c>
    </row>
    <row r="137" spans="1:16" ht="15">
      <c r="A137" s="82" t="s">
        <v>151</v>
      </c>
      <c r="B137" s="13">
        <f t="shared" si="28"/>
        <v>3318</v>
      </c>
      <c r="C137" s="13"/>
      <c r="D137" s="13"/>
      <c r="E137" s="13"/>
      <c r="F137" s="13"/>
      <c r="G137" s="13"/>
      <c r="H137" s="13">
        <f>3030+288</f>
        <v>3318</v>
      </c>
      <c r="I137" s="13">
        <f t="shared" si="29"/>
        <v>3317.7</v>
      </c>
      <c r="J137" s="14"/>
      <c r="K137" s="13"/>
      <c r="L137" s="13"/>
      <c r="M137" s="13"/>
      <c r="N137" s="13"/>
      <c r="O137" s="13">
        <v>3317.7</v>
      </c>
      <c r="P137" s="88">
        <f t="shared" si="30"/>
        <v>99.99095840867992</v>
      </c>
    </row>
    <row r="138" spans="1:16" ht="15">
      <c r="A138" s="25" t="s">
        <v>31</v>
      </c>
      <c r="B138" s="27">
        <f aca="true" t="shared" si="31" ref="B138:H138">SUM(B132:B137)</f>
        <v>120853.09999999999</v>
      </c>
      <c r="C138" s="27">
        <f t="shared" si="31"/>
        <v>93680</v>
      </c>
      <c r="D138" s="27">
        <f t="shared" si="31"/>
        <v>7786</v>
      </c>
      <c r="E138" s="27">
        <f t="shared" si="31"/>
        <v>40</v>
      </c>
      <c r="F138" s="27">
        <f t="shared" si="31"/>
        <v>0</v>
      </c>
      <c r="G138" s="27">
        <f t="shared" si="31"/>
        <v>14536.4</v>
      </c>
      <c r="H138" s="27">
        <f t="shared" si="31"/>
        <v>4810.7</v>
      </c>
      <c r="I138" s="27">
        <f>SUM(I132:I137)</f>
        <v>112207.29999999999</v>
      </c>
      <c r="J138" s="27">
        <f aca="true" t="shared" si="32" ref="J138:O138">SUM(J132:J136)</f>
        <v>89508.2</v>
      </c>
      <c r="K138" s="27">
        <f t="shared" si="32"/>
        <v>3379.2</v>
      </c>
      <c r="L138" s="27">
        <f t="shared" si="32"/>
        <v>40</v>
      </c>
      <c r="M138" s="27">
        <f t="shared" si="32"/>
        <v>0</v>
      </c>
      <c r="N138" s="27">
        <f t="shared" si="32"/>
        <v>14472.6</v>
      </c>
      <c r="O138" s="27">
        <f t="shared" si="32"/>
        <v>1489.6</v>
      </c>
      <c r="P138" s="36">
        <f>I138/B138*100</f>
        <v>92.84602546397237</v>
      </c>
    </row>
    <row r="139" spans="1:16" ht="15.75">
      <c r="A139" s="116" t="s">
        <v>132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1:16" ht="26.25">
      <c r="A140" s="15" t="s">
        <v>29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ht="26.25">
      <c r="A141" s="46" t="s">
        <v>144</v>
      </c>
      <c r="B141" s="41">
        <f>C141+D141+E141+F141+G141+H141</f>
        <v>757.3</v>
      </c>
      <c r="C141" s="42"/>
      <c r="D141" s="41">
        <v>7</v>
      </c>
      <c r="E141" s="41"/>
      <c r="F141" s="41"/>
      <c r="G141" s="41"/>
      <c r="H141" s="41">
        <f>175.3+575+130-130</f>
        <v>750.3</v>
      </c>
      <c r="I141" s="41">
        <f>J141+K141+L141+M141+N141+O141</f>
        <v>757.3</v>
      </c>
      <c r="J141" s="41"/>
      <c r="K141" s="41">
        <v>7</v>
      </c>
      <c r="L141" s="41"/>
      <c r="M141" s="41"/>
      <c r="N141" s="41"/>
      <c r="O141" s="41">
        <v>750.3</v>
      </c>
      <c r="P141" s="88">
        <f>I141/B141*100</f>
        <v>100</v>
      </c>
    </row>
    <row r="142" spans="1:16" ht="15">
      <c r="A142" s="47" t="s">
        <v>30</v>
      </c>
      <c r="B142" s="41">
        <f>C142+D142+E142+F142+G142+H142</f>
        <v>3426.2000000000003</v>
      </c>
      <c r="C142" s="42"/>
      <c r="D142" s="41">
        <v>64.9</v>
      </c>
      <c r="E142" s="41"/>
      <c r="F142" s="41"/>
      <c r="G142" s="41"/>
      <c r="H142" s="41">
        <f>2782.3+100+1029-250-300</f>
        <v>3361.3</v>
      </c>
      <c r="I142" s="41">
        <f>J142+K142+L142+M142+N142+O142</f>
        <v>2780.9</v>
      </c>
      <c r="J142" s="41"/>
      <c r="K142" s="41">
        <v>57.4</v>
      </c>
      <c r="L142" s="41"/>
      <c r="M142" s="41"/>
      <c r="N142" s="41"/>
      <c r="O142" s="41">
        <v>2723.5</v>
      </c>
      <c r="P142" s="88">
        <f>I142/B142*100</f>
        <v>81.16572295837953</v>
      </c>
    </row>
    <row r="143" spans="1:16" ht="15">
      <c r="A143" s="25" t="s">
        <v>142</v>
      </c>
      <c r="B143" s="27">
        <f aca="true" t="shared" si="33" ref="B143:O143">SUM(B141:B142)</f>
        <v>4183.5</v>
      </c>
      <c r="C143" s="27">
        <f t="shared" si="33"/>
        <v>0</v>
      </c>
      <c r="D143" s="27">
        <f t="shared" si="33"/>
        <v>71.9</v>
      </c>
      <c r="E143" s="27">
        <f t="shared" si="33"/>
        <v>0</v>
      </c>
      <c r="F143" s="27">
        <f t="shared" si="33"/>
        <v>0</v>
      </c>
      <c r="G143" s="27">
        <f t="shared" si="33"/>
        <v>0</v>
      </c>
      <c r="H143" s="27">
        <f t="shared" si="33"/>
        <v>4111.6</v>
      </c>
      <c r="I143" s="27">
        <f t="shared" si="33"/>
        <v>3538.2</v>
      </c>
      <c r="J143" s="27">
        <f t="shared" si="33"/>
        <v>0</v>
      </c>
      <c r="K143" s="27">
        <f t="shared" si="33"/>
        <v>64.4</v>
      </c>
      <c r="L143" s="27">
        <f t="shared" si="33"/>
        <v>0</v>
      </c>
      <c r="M143" s="27">
        <f t="shared" si="33"/>
        <v>0</v>
      </c>
      <c r="N143" s="27">
        <f t="shared" si="33"/>
        <v>0</v>
      </c>
      <c r="O143" s="27">
        <f t="shared" si="33"/>
        <v>3473.8</v>
      </c>
      <c r="P143" s="36">
        <f>I143/B143*100</f>
        <v>84.57511652922194</v>
      </c>
    </row>
    <row r="144" spans="1:16" ht="15.75">
      <c r="A144" s="116" t="s">
        <v>137</v>
      </c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</row>
    <row r="145" spans="1:16" ht="33.75" customHeight="1">
      <c r="A145" s="15" t="s">
        <v>138</v>
      </c>
      <c r="B145" s="11"/>
      <c r="C145" s="16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7"/>
    </row>
    <row r="146" spans="1:16" ht="26.25">
      <c r="A146" s="9" t="s">
        <v>139</v>
      </c>
      <c r="B146" s="41">
        <f>C146+D146+E146+F146+G146+H146</f>
        <v>1338.5</v>
      </c>
      <c r="C146" s="42">
        <f>251.3-91.8</f>
        <v>159.5</v>
      </c>
      <c r="D146" s="41"/>
      <c r="E146" s="41"/>
      <c r="F146" s="41"/>
      <c r="G146" s="41">
        <f>1284.4-105.4</f>
        <v>1179</v>
      </c>
      <c r="H146" s="41"/>
      <c r="I146" s="41">
        <f>J146+K146+L146+M146+N146+O146</f>
        <v>581.9</v>
      </c>
      <c r="J146" s="41"/>
      <c r="K146" s="41"/>
      <c r="L146" s="41"/>
      <c r="M146" s="41"/>
      <c r="N146" s="41">
        <v>581.9</v>
      </c>
      <c r="O146" s="41"/>
      <c r="P146" s="94">
        <f>I146/B146*100</f>
        <v>43.47403810235338</v>
      </c>
    </row>
    <row r="147" spans="1:16" ht="15">
      <c r="A147" s="59" t="s">
        <v>140</v>
      </c>
      <c r="B147" s="41">
        <f>C147+D147+E147+F147+G147+H147</f>
        <v>160.1</v>
      </c>
      <c r="C147" s="42">
        <f>146.2+13.9</f>
        <v>160.1</v>
      </c>
      <c r="D147" s="41"/>
      <c r="E147" s="41"/>
      <c r="F147" s="41"/>
      <c r="G147" s="41"/>
      <c r="H147" s="41"/>
      <c r="I147" s="41">
        <f>J147+K147+L147+M147+N147+O147</f>
        <v>124.8</v>
      </c>
      <c r="J147" s="41">
        <v>124.8</v>
      </c>
      <c r="K147" s="41"/>
      <c r="L147" s="41"/>
      <c r="M147" s="41"/>
      <c r="N147" s="41"/>
      <c r="O147" s="41"/>
      <c r="P147" s="94">
        <f>I147/B147*100</f>
        <v>77.95128044971892</v>
      </c>
    </row>
    <row r="148" spans="1:16" ht="26.25">
      <c r="A148" s="9" t="s">
        <v>141</v>
      </c>
      <c r="B148" s="41">
        <f>C148+D148+E148+F148+G148+H148</f>
        <v>30</v>
      </c>
      <c r="C148" s="42"/>
      <c r="D148" s="41">
        <v>30</v>
      </c>
      <c r="E148" s="41"/>
      <c r="F148" s="41"/>
      <c r="G148" s="41"/>
      <c r="H148" s="41"/>
      <c r="I148" s="41">
        <f>J148+K148+L148+M148+N148+O148</f>
        <v>29</v>
      </c>
      <c r="J148" s="41"/>
      <c r="K148" s="41">
        <v>29</v>
      </c>
      <c r="L148" s="41"/>
      <c r="M148" s="41"/>
      <c r="N148" s="41"/>
      <c r="O148" s="41"/>
      <c r="P148" s="94">
        <f>I148/B148*100</f>
        <v>96.66666666666667</v>
      </c>
    </row>
    <row r="149" spans="1:16" ht="15">
      <c r="A149" s="25" t="s">
        <v>143</v>
      </c>
      <c r="B149" s="27">
        <f>SUM(B146:B148)</f>
        <v>1528.6</v>
      </c>
      <c r="C149" s="27">
        <f aca="true" t="shared" si="34" ref="C149:N149">SUM(C146:C148)</f>
        <v>319.6</v>
      </c>
      <c r="D149" s="27">
        <f t="shared" si="34"/>
        <v>30</v>
      </c>
      <c r="E149" s="27">
        <f t="shared" si="34"/>
        <v>0</v>
      </c>
      <c r="F149" s="27">
        <f t="shared" si="34"/>
        <v>0</v>
      </c>
      <c r="G149" s="27">
        <f t="shared" si="34"/>
        <v>1179</v>
      </c>
      <c r="H149" s="27">
        <f t="shared" si="34"/>
        <v>0</v>
      </c>
      <c r="I149" s="27">
        <f t="shared" si="34"/>
        <v>735.6999999999999</v>
      </c>
      <c r="J149" s="27">
        <f t="shared" si="34"/>
        <v>124.8</v>
      </c>
      <c r="K149" s="27">
        <f t="shared" si="34"/>
        <v>29</v>
      </c>
      <c r="L149" s="27">
        <f t="shared" si="34"/>
        <v>0</v>
      </c>
      <c r="M149" s="27">
        <f t="shared" si="34"/>
        <v>0</v>
      </c>
      <c r="N149" s="27">
        <f t="shared" si="34"/>
        <v>581.9</v>
      </c>
      <c r="O149" s="27">
        <f>SUM(O146:O148)</f>
        <v>0</v>
      </c>
      <c r="P149" s="36">
        <f>I149/B149*100</f>
        <v>48.12900693444982</v>
      </c>
    </row>
    <row r="150" spans="1:16" ht="15.75">
      <c r="A150" s="109" t="s">
        <v>149</v>
      </c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1"/>
    </row>
    <row r="151" spans="1:16" ht="26.25">
      <c r="A151" s="61" t="s">
        <v>145</v>
      </c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1"/>
    </row>
    <row r="152" spans="1:16" ht="26.25">
      <c r="A152" s="9" t="s">
        <v>147</v>
      </c>
      <c r="B152" s="13">
        <f>C152+D152+E152+F152+G152+H152</f>
        <v>1546.5</v>
      </c>
      <c r="C152" s="79"/>
      <c r="D152" s="79">
        <f>7646.5-5500-500-100</f>
        <v>1546.5</v>
      </c>
      <c r="E152" s="79"/>
      <c r="F152" s="79"/>
      <c r="G152" s="79"/>
      <c r="H152" s="79"/>
      <c r="I152" s="13">
        <f>J152+K152+L152+M152+N152+O152</f>
        <v>524.7</v>
      </c>
      <c r="J152" s="79"/>
      <c r="K152" s="79">
        <v>524.7</v>
      </c>
      <c r="L152" s="79"/>
      <c r="M152" s="79"/>
      <c r="N152" s="79"/>
      <c r="O152" s="79"/>
      <c r="P152" s="88">
        <f>I152/B152*100</f>
        <v>33.928225024248306</v>
      </c>
    </row>
    <row r="153" spans="1:16" ht="26.25">
      <c r="A153" s="9" t="s">
        <v>148</v>
      </c>
      <c r="B153" s="13">
        <f>C153+D153+E153+F153+G153+H153</f>
        <v>3141.3</v>
      </c>
      <c r="C153" s="79"/>
      <c r="D153" s="79">
        <f>3791.3-100-550</f>
        <v>3141.3</v>
      </c>
      <c r="E153" s="79"/>
      <c r="F153" s="79"/>
      <c r="G153" s="79"/>
      <c r="H153" s="79"/>
      <c r="I153" s="13">
        <f>J153+K153+L153+M153+N153+O153</f>
        <v>2620.6</v>
      </c>
      <c r="J153" s="79"/>
      <c r="K153" s="79">
        <v>2620.6</v>
      </c>
      <c r="L153" s="79"/>
      <c r="M153" s="79"/>
      <c r="N153" s="79"/>
      <c r="O153" s="79"/>
      <c r="P153" s="88">
        <f>I153/B153*100</f>
        <v>83.42406010250532</v>
      </c>
    </row>
    <row r="154" spans="1:16" ht="15">
      <c r="A154" s="25" t="s">
        <v>146</v>
      </c>
      <c r="B154" s="27">
        <f>SUM(B151:B153)</f>
        <v>4687.8</v>
      </c>
      <c r="C154" s="27">
        <f aca="true" t="shared" si="35" ref="C154:O154">SUM(C151:C153)</f>
        <v>0</v>
      </c>
      <c r="D154" s="27">
        <f t="shared" si="35"/>
        <v>4687.8</v>
      </c>
      <c r="E154" s="27">
        <f t="shared" si="35"/>
        <v>0</v>
      </c>
      <c r="F154" s="27">
        <f t="shared" si="35"/>
        <v>0</v>
      </c>
      <c r="G154" s="27">
        <f t="shared" si="35"/>
        <v>0</v>
      </c>
      <c r="H154" s="27">
        <f t="shared" si="35"/>
        <v>0</v>
      </c>
      <c r="I154" s="27">
        <f t="shared" si="35"/>
        <v>3145.3</v>
      </c>
      <c r="J154" s="27">
        <f t="shared" si="35"/>
        <v>0</v>
      </c>
      <c r="K154" s="27">
        <f t="shared" si="35"/>
        <v>3145.3</v>
      </c>
      <c r="L154" s="27">
        <f t="shared" si="35"/>
        <v>0</v>
      </c>
      <c r="M154" s="27">
        <f t="shared" si="35"/>
        <v>0</v>
      </c>
      <c r="N154" s="27">
        <f t="shared" si="35"/>
        <v>0</v>
      </c>
      <c r="O154" s="27">
        <f t="shared" si="35"/>
        <v>0</v>
      </c>
      <c r="P154" s="36">
        <f>I154/B154*100</f>
        <v>67.09543922522292</v>
      </c>
    </row>
    <row r="155" spans="1:16" ht="15">
      <c r="A155" s="119" t="s">
        <v>152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1"/>
    </row>
    <row r="156" spans="1:16" ht="25.5">
      <c r="A156" s="18" t="s">
        <v>153</v>
      </c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1"/>
    </row>
    <row r="157" spans="1:16" ht="36.75" customHeight="1">
      <c r="A157" s="85" t="s">
        <v>154</v>
      </c>
      <c r="B157" s="13">
        <f>C157+D157+E157+F157+G157+H157</f>
        <v>860</v>
      </c>
      <c r="C157" s="79"/>
      <c r="D157" s="79">
        <v>860</v>
      </c>
      <c r="E157" s="79"/>
      <c r="F157" s="79"/>
      <c r="G157" s="79"/>
      <c r="H157" s="79"/>
      <c r="I157" s="13">
        <f>J157+K157+L157+M157+N157+O157</f>
        <v>854</v>
      </c>
      <c r="J157" s="83"/>
      <c r="K157" s="90">
        <v>854</v>
      </c>
      <c r="L157" s="83"/>
      <c r="M157" s="83"/>
      <c r="N157" s="83"/>
      <c r="O157" s="83"/>
      <c r="P157" s="88">
        <f>I157/B157*100</f>
        <v>99.30232558139535</v>
      </c>
    </row>
    <row r="158" spans="1:16" ht="15">
      <c r="A158" s="25" t="s">
        <v>155</v>
      </c>
      <c r="B158" s="27">
        <f>B157</f>
        <v>860</v>
      </c>
      <c r="C158" s="27">
        <f>C157</f>
        <v>0</v>
      </c>
      <c r="D158" s="27">
        <f>D157</f>
        <v>860</v>
      </c>
      <c r="E158" s="27">
        <f aca="true" t="shared" si="36" ref="E158:O158">E157</f>
        <v>0</v>
      </c>
      <c r="F158" s="27">
        <f t="shared" si="36"/>
        <v>0</v>
      </c>
      <c r="G158" s="27">
        <f t="shared" si="36"/>
        <v>0</v>
      </c>
      <c r="H158" s="27">
        <f t="shared" si="36"/>
        <v>0</v>
      </c>
      <c r="I158" s="27">
        <f t="shared" si="36"/>
        <v>854</v>
      </c>
      <c r="J158" s="27">
        <f t="shared" si="36"/>
        <v>0</v>
      </c>
      <c r="K158" s="27">
        <f t="shared" si="36"/>
        <v>854</v>
      </c>
      <c r="L158" s="27">
        <f t="shared" si="36"/>
        <v>0</v>
      </c>
      <c r="M158" s="27">
        <f t="shared" si="36"/>
        <v>0</v>
      </c>
      <c r="N158" s="27">
        <f t="shared" si="36"/>
        <v>0</v>
      </c>
      <c r="O158" s="27">
        <f t="shared" si="36"/>
        <v>0</v>
      </c>
      <c r="P158" s="36"/>
    </row>
    <row r="159" spans="1:16" ht="47.25">
      <c r="A159" s="24" t="s">
        <v>150</v>
      </c>
      <c r="B159" s="37">
        <f>B50+B72+B77+B87+B96+B100+B104+B108+B113+B124+B129+B138+B143+B149+B154+B158</f>
        <v>926707.9999999999</v>
      </c>
      <c r="C159" s="37">
        <f>C50+C72+C77+C87+C96+C100+C104+C108+C113+C124+C129+C138+C143+C149+C154+C158</f>
        <v>516548.6999999999</v>
      </c>
      <c r="D159" s="37">
        <f>D50+D72+D77+D87+D96+D100+D104+D108+D113+D124+D129+D138+D143+D149+D154+D158</f>
        <v>72612.5</v>
      </c>
      <c r="E159" s="37">
        <f aca="true" t="shared" si="37" ref="E159:O159">E50+E72+E77+E87+E96+E100+E104+E108+E113+E124+E129+E138+E143+E149+E154+E158</f>
        <v>1790</v>
      </c>
      <c r="F159" s="37">
        <f t="shared" si="37"/>
        <v>264</v>
      </c>
      <c r="G159" s="37">
        <f t="shared" si="37"/>
        <v>325427.30000000005</v>
      </c>
      <c r="H159" s="37">
        <f t="shared" si="37"/>
        <v>10065.5</v>
      </c>
      <c r="I159" s="37">
        <f t="shared" si="37"/>
        <v>894392.2</v>
      </c>
      <c r="J159" s="37">
        <f t="shared" si="37"/>
        <v>499001.5</v>
      </c>
      <c r="K159" s="37">
        <f t="shared" si="37"/>
        <v>59830.59999999999</v>
      </c>
      <c r="L159" s="37">
        <f t="shared" si="37"/>
        <v>1757.8</v>
      </c>
      <c r="M159" s="37">
        <f t="shared" si="37"/>
        <v>264</v>
      </c>
      <c r="N159" s="37">
        <f t="shared" si="37"/>
        <v>324127.4</v>
      </c>
      <c r="O159" s="37">
        <f t="shared" si="37"/>
        <v>6093.200000000001</v>
      </c>
      <c r="P159" s="38">
        <f>I159/B159*100</f>
        <v>96.5128389956707</v>
      </c>
    </row>
    <row r="160" spans="1:16" s="54" customFormat="1" ht="15">
      <c r="A160" s="53"/>
      <c r="B160" s="53"/>
      <c r="C160" s="91">
        <f>C159+D159</f>
        <v>589161.2</v>
      </c>
      <c r="D160" s="53"/>
      <c r="E160" s="91">
        <f>E159+F159</f>
        <v>2054</v>
      </c>
      <c r="F160" s="53"/>
      <c r="G160" s="91">
        <f>G159+H159</f>
        <v>335492.80000000005</v>
      </c>
      <c r="H160" s="53"/>
      <c r="I160" s="53"/>
      <c r="J160" s="53"/>
      <c r="K160" s="53"/>
      <c r="L160" s="53"/>
      <c r="M160" s="53"/>
      <c r="N160" s="53"/>
      <c r="O160" s="53"/>
      <c r="P160" s="53"/>
    </row>
    <row r="161" spans="1:16" s="54" customFormat="1" ht="15">
      <c r="A161" s="53"/>
      <c r="B161" s="91">
        <f>C161+D161</f>
        <v>926708</v>
      </c>
      <c r="C161" s="91">
        <f>C159+E159+G159</f>
        <v>843766</v>
      </c>
      <c r="D161" s="91">
        <f>D159+F159+H159</f>
        <v>82942</v>
      </c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</row>
    <row r="162" spans="1:16" ht="18.75">
      <c r="A162" s="51"/>
      <c r="B162" s="4"/>
      <c r="C162" s="78"/>
      <c r="D162" s="78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</row>
    <row r="163" spans="1:16" ht="18.75">
      <c r="A163" s="51" t="s">
        <v>48</v>
      </c>
      <c r="B163" s="50"/>
      <c r="C163" s="50"/>
      <c r="D163" s="50"/>
      <c r="E163" s="50"/>
      <c r="F163" s="50"/>
      <c r="G163" s="50"/>
      <c r="H163" s="50"/>
      <c r="I163" s="50"/>
      <c r="J163" s="50"/>
      <c r="K163" s="118" t="s">
        <v>49</v>
      </c>
      <c r="L163" s="118"/>
      <c r="M163" s="118"/>
      <c r="N163" s="118"/>
      <c r="O163" s="50"/>
      <c r="P163" s="50"/>
    </row>
    <row r="164" spans="1:16" ht="15.75">
      <c r="A164" s="52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</row>
    <row r="165" spans="1:16" ht="15.75">
      <c r="A165" s="52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</row>
    <row r="166" ht="15.75">
      <c r="A166" s="52" t="s">
        <v>46</v>
      </c>
    </row>
    <row r="167" ht="15.75">
      <c r="A167" s="52" t="s">
        <v>158</v>
      </c>
    </row>
  </sheetData>
  <sheetProtection/>
  <mergeCells count="47">
    <mergeCell ref="A155:P155"/>
    <mergeCell ref="D10:J10"/>
    <mergeCell ref="D11:J11"/>
    <mergeCell ref="D13:M13"/>
    <mergeCell ref="N1:P1"/>
    <mergeCell ref="N2:P2"/>
    <mergeCell ref="A5:P5"/>
    <mergeCell ref="A6:P6"/>
    <mergeCell ref="D8:J8"/>
    <mergeCell ref="D9:J9"/>
    <mergeCell ref="A97:P97"/>
    <mergeCell ref="A105:P105"/>
    <mergeCell ref="K163:N163"/>
    <mergeCell ref="A125:P125"/>
    <mergeCell ref="A139:P139"/>
    <mergeCell ref="A109:P109"/>
    <mergeCell ref="A101:P101"/>
    <mergeCell ref="A130:P130"/>
    <mergeCell ref="A144:P144"/>
    <mergeCell ref="A114:P114"/>
    <mergeCell ref="B27:B30"/>
    <mergeCell ref="A78:P78"/>
    <mergeCell ref="A88:P88"/>
    <mergeCell ref="A32:P32"/>
    <mergeCell ref="C29:D29"/>
    <mergeCell ref="E29:F29"/>
    <mergeCell ref="A25:A30"/>
    <mergeCell ref="A51:P51"/>
    <mergeCell ref="A73:P73"/>
    <mergeCell ref="J28:M28"/>
    <mergeCell ref="J27:O27"/>
    <mergeCell ref="P25:P26"/>
    <mergeCell ref="L29:M29"/>
    <mergeCell ref="G28:H29"/>
    <mergeCell ref="C28:F28"/>
    <mergeCell ref="I27:I30"/>
    <mergeCell ref="J29:K29"/>
    <mergeCell ref="A150:P150"/>
    <mergeCell ref="I26:O26"/>
    <mergeCell ref="D12:M12"/>
    <mergeCell ref="I25:O25"/>
    <mergeCell ref="N28:O29"/>
    <mergeCell ref="C27:H27"/>
    <mergeCell ref="D14:M14"/>
    <mergeCell ref="B25:H25"/>
    <mergeCell ref="B26:H26"/>
    <mergeCell ref="P27:P30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4"/>
  <sheetViews>
    <sheetView tabSelected="1" zoomScale="84" zoomScaleNormal="84" zoomScalePageLayoutView="0" workbookViewId="0" topLeftCell="A167">
      <selection activeCell="A184" sqref="A184"/>
    </sheetView>
  </sheetViews>
  <sheetFormatPr defaultColWidth="9.140625" defaultRowHeight="15"/>
  <cols>
    <col min="1" max="1" width="46.8515625" style="0" customWidth="1"/>
    <col min="2" max="2" width="11.8515625" style="0" customWidth="1"/>
    <col min="3" max="3" width="9.57421875" style="0" bestFit="1" customWidth="1"/>
    <col min="16" max="16" width="18.7109375" style="0" customWidth="1"/>
    <col min="17" max="18" width="14.57421875" style="0" hidden="1" customWidth="1"/>
    <col min="19" max="24" width="0" style="0" hidden="1" customWidth="1"/>
  </cols>
  <sheetData>
    <row r="1" spans="14:16" ht="15.75">
      <c r="N1" s="124" t="s">
        <v>51</v>
      </c>
      <c r="O1" s="124"/>
      <c r="P1" s="124"/>
    </row>
    <row r="2" spans="12:16" ht="205.5" customHeight="1">
      <c r="L2" s="106"/>
      <c r="M2" s="106"/>
      <c r="N2" s="130" t="s">
        <v>183</v>
      </c>
      <c r="O2" s="130"/>
      <c r="P2" s="130"/>
    </row>
    <row r="3" spans="14:16" ht="23.25" customHeight="1">
      <c r="N3" s="29" t="s">
        <v>187</v>
      </c>
      <c r="O3" s="29"/>
      <c r="P3" s="29"/>
    </row>
    <row r="4" spans="14:16" ht="15.75">
      <c r="N4" s="29"/>
      <c r="O4" s="29"/>
      <c r="P4" s="29"/>
    </row>
    <row r="5" spans="1:16" ht="18.75">
      <c r="A5" s="126" t="s">
        <v>34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ht="38.25" customHeight="1">
      <c r="A6" s="127" t="s">
        <v>184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18.7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8.75">
      <c r="A8" s="31" t="s">
        <v>35</v>
      </c>
      <c r="B8" s="31">
        <v>10</v>
      </c>
      <c r="C8" s="31"/>
      <c r="D8" s="122" t="s">
        <v>36</v>
      </c>
      <c r="E8" s="122"/>
      <c r="F8" s="122"/>
      <c r="G8" s="122"/>
      <c r="H8" s="122"/>
      <c r="I8" s="122"/>
      <c r="J8" s="122"/>
      <c r="K8" s="31"/>
      <c r="L8" s="31"/>
      <c r="M8" s="31"/>
      <c r="N8" s="31"/>
      <c r="O8" s="31"/>
      <c r="P8" s="31"/>
    </row>
    <row r="9" spans="1:16" ht="18.75">
      <c r="A9" s="31"/>
      <c r="B9" s="31" t="s">
        <v>37</v>
      </c>
      <c r="C9" s="31"/>
      <c r="D9" s="128" t="s">
        <v>38</v>
      </c>
      <c r="E9" s="128"/>
      <c r="F9" s="128"/>
      <c r="G9" s="128"/>
      <c r="H9" s="128"/>
      <c r="I9" s="128"/>
      <c r="J9" s="128"/>
      <c r="K9" s="31"/>
      <c r="L9" s="31"/>
      <c r="M9" s="31"/>
      <c r="N9" s="31"/>
      <c r="O9" s="31"/>
      <c r="P9" s="31"/>
    </row>
    <row r="10" spans="1:16" ht="18.75">
      <c r="A10" s="31" t="s">
        <v>39</v>
      </c>
      <c r="B10" s="31"/>
      <c r="C10" s="31"/>
      <c r="D10" s="122" t="s">
        <v>36</v>
      </c>
      <c r="E10" s="122"/>
      <c r="F10" s="122"/>
      <c r="G10" s="122"/>
      <c r="H10" s="122"/>
      <c r="I10" s="122"/>
      <c r="J10" s="122"/>
      <c r="K10" s="31"/>
      <c r="L10" s="31"/>
      <c r="M10" s="31"/>
      <c r="N10" s="31"/>
      <c r="O10" s="31"/>
      <c r="P10" s="31"/>
    </row>
    <row r="11" spans="4:10" ht="15">
      <c r="D11" s="114" t="s">
        <v>40</v>
      </c>
      <c r="E11" s="114"/>
      <c r="F11" s="114"/>
      <c r="G11" s="114"/>
      <c r="H11" s="114"/>
      <c r="I11" s="114"/>
      <c r="J11" s="114"/>
    </row>
    <row r="12" spans="1:16" ht="18.75">
      <c r="A12" s="32" t="s">
        <v>41</v>
      </c>
      <c r="B12" s="34">
        <v>611010</v>
      </c>
      <c r="D12" s="129" t="s">
        <v>186</v>
      </c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</row>
    <row r="13" spans="1:16" ht="18.75">
      <c r="A13" s="28"/>
      <c r="B13" s="34">
        <v>611020</v>
      </c>
      <c r="D13" s="122" t="s">
        <v>185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</row>
    <row r="14" spans="1:16" ht="15.75">
      <c r="A14" s="28"/>
      <c r="B14" s="34">
        <v>611030</v>
      </c>
      <c r="D14" s="124" t="s">
        <v>44</v>
      </c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1:2" ht="15">
      <c r="A15" s="28"/>
      <c r="B15" s="34">
        <v>611070</v>
      </c>
    </row>
    <row r="16" spans="1:2" ht="15">
      <c r="A16" s="28"/>
      <c r="B16" s="34">
        <v>611090</v>
      </c>
    </row>
    <row r="17" spans="1:2" ht="15">
      <c r="A17" s="28"/>
      <c r="B17" s="34">
        <v>611150</v>
      </c>
    </row>
    <row r="18" spans="1:2" ht="15">
      <c r="A18" s="28"/>
      <c r="B18" s="34">
        <v>611160</v>
      </c>
    </row>
    <row r="19" spans="1:2" ht="15">
      <c r="A19" s="28"/>
      <c r="B19" s="34">
        <v>611161</v>
      </c>
    </row>
    <row r="20" spans="1:2" ht="15">
      <c r="A20" s="28"/>
      <c r="B20" s="34">
        <v>611162</v>
      </c>
    </row>
    <row r="21" spans="1:2" ht="15">
      <c r="A21" s="28"/>
      <c r="B21" s="34">
        <v>611110</v>
      </c>
    </row>
    <row r="22" spans="1:2" ht="15">
      <c r="A22" s="28"/>
      <c r="B22" s="35">
        <v>617363</v>
      </c>
    </row>
    <row r="23" spans="1:2" ht="15">
      <c r="A23" s="28"/>
      <c r="B23" s="35">
        <v>611170</v>
      </c>
    </row>
    <row r="24" spans="1:2" ht="15">
      <c r="A24" s="28"/>
      <c r="B24" s="35">
        <v>617321</v>
      </c>
    </row>
    <row r="25" spans="1:2" ht="15">
      <c r="A25" s="28"/>
      <c r="B25" s="35">
        <v>619770</v>
      </c>
    </row>
    <row r="26" spans="1:2" ht="15">
      <c r="A26" s="28"/>
      <c r="B26" s="35">
        <v>619310</v>
      </c>
    </row>
    <row r="27" spans="1:2" ht="15">
      <c r="A27" s="28"/>
      <c r="B27" s="35">
        <v>611180</v>
      </c>
    </row>
    <row r="28" ht="15">
      <c r="B28" s="33" t="s">
        <v>45</v>
      </c>
    </row>
    <row r="29" ht="15">
      <c r="B29" s="33"/>
    </row>
    <row r="30" ht="15">
      <c r="B30" s="33"/>
    </row>
    <row r="32" spans="1:16" ht="22.5" customHeight="1">
      <c r="A32" s="112" t="s">
        <v>0</v>
      </c>
      <c r="B32" s="112" t="s">
        <v>1</v>
      </c>
      <c r="C32" s="112"/>
      <c r="D32" s="112"/>
      <c r="E32" s="112"/>
      <c r="F32" s="112"/>
      <c r="G32" s="112"/>
      <c r="H32" s="112"/>
      <c r="I32" s="112" t="s">
        <v>2</v>
      </c>
      <c r="J32" s="112"/>
      <c r="K32" s="112"/>
      <c r="L32" s="112"/>
      <c r="M32" s="112"/>
      <c r="N32" s="112"/>
      <c r="O32" s="112"/>
      <c r="P32" s="112" t="s">
        <v>3</v>
      </c>
    </row>
    <row r="33" spans="1:16" ht="24.75" customHeight="1">
      <c r="A33" s="112"/>
      <c r="B33" s="112" t="s">
        <v>156</v>
      </c>
      <c r="C33" s="112"/>
      <c r="D33" s="112"/>
      <c r="E33" s="112"/>
      <c r="F33" s="112"/>
      <c r="G33" s="112"/>
      <c r="H33" s="112"/>
      <c r="I33" s="112" t="s">
        <v>156</v>
      </c>
      <c r="J33" s="112"/>
      <c r="K33" s="112"/>
      <c r="L33" s="112"/>
      <c r="M33" s="112"/>
      <c r="N33" s="112"/>
      <c r="O33" s="112"/>
      <c r="P33" s="112"/>
    </row>
    <row r="34" spans="1:16" ht="15.75" customHeight="1">
      <c r="A34" s="112"/>
      <c r="B34" s="115" t="s">
        <v>4</v>
      </c>
      <c r="C34" s="112" t="s">
        <v>5</v>
      </c>
      <c r="D34" s="112"/>
      <c r="E34" s="112"/>
      <c r="F34" s="112"/>
      <c r="G34" s="112"/>
      <c r="H34" s="112"/>
      <c r="I34" s="112" t="s">
        <v>4</v>
      </c>
      <c r="J34" s="112" t="s">
        <v>5</v>
      </c>
      <c r="K34" s="112"/>
      <c r="L34" s="112"/>
      <c r="M34" s="112"/>
      <c r="N34" s="112"/>
      <c r="O34" s="112"/>
      <c r="P34" s="112"/>
    </row>
    <row r="35" spans="1:16" ht="22.5" customHeight="1">
      <c r="A35" s="112"/>
      <c r="B35" s="115"/>
      <c r="C35" s="112" t="s">
        <v>10</v>
      </c>
      <c r="D35" s="112"/>
      <c r="E35" s="112"/>
      <c r="F35" s="112"/>
      <c r="G35" s="112" t="s">
        <v>11</v>
      </c>
      <c r="H35" s="112"/>
      <c r="I35" s="112"/>
      <c r="J35" s="112" t="s">
        <v>10</v>
      </c>
      <c r="K35" s="112"/>
      <c r="L35" s="112"/>
      <c r="M35" s="112"/>
      <c r="N35" s="112" t="s">
        <v>11</v>
      </c>
      <c r="O35" s="112"/>
      <c r="P35" s="112"/>
    </row>
    <row r="36" spans="1:16" ht="15">
      <c r="A36" s="112"/>
      <c r="B36" s="115"/>
      <c r="C36" s="112" t="s">
        <v>157</v>
      </c>
      <c r="D36" s="112"/>
      <c r="E36" s="112" t="s">
        <v>7</v>
      </c>
      <c r="F36" s="112"/>
      <c r="G36" s="112"/>
      <c r="H36" s="112"/>
      <c r="I36" s="112"/>
      <c r="J36" s="112" t="s">
        <v>6</v>
      </c>
      <c r="K36" s="112"/>
      <c r="L36" s="112" t="s">
        <v>7</v>
      </c>
      <c r="M36" s="112"/>
      <c r="N36" s="112"/>
      <c r="O36" s="112"/>
      <c r="P36" s="112"/>
    </row>
    <row r="37" spans="1:16" ht="45.75" customHeight="1">
      <c r="A37" s="112"/>
      <c r="B37" s="115"/>
      <c r="C37" s="86" t="s">
        <v>8</v>
      </c>
      <c r="D37" s="86" t="s">
        <v>9</v>
      </c>
      <c r="E37" s="86" t="s">
        <v>8</v>
      </c>
      <c r="F37" s="86" t="s">
        <v>9</v>
      </c>
      <c r="G37" s="86" t="s">
        <v>8</v>
      </c>
      <c r="H37" s="86" t="s">
        <v>9</v>
      </c>
      <c r="I37" s="112"/>
      <c r="J37" s="86" t="s">
        <v>8</v>
      </c>
      <c r="K37" s="86" t="s">
        <v>9</v>
      </c>
      <c r="L37" s="86" t="s">
        <v>8</v>
      </c>
      <c r="M37" s="86" t="s">
        <v>9</v>
      </c>
      <c r="N37" s="86" t="s">
        <v>8</v>
      </c>
      <c r="O37" s="86" t="s">
        <v>9</v>
      </c>
      <c r="P37" s="112"/>
    </row>
    <row r="38" spans="1:16" ht="15">
      <c r="A38" s="2">
        <v>1</v>
      </c>
      <c r="B38" s="2">
        <v>2</v>
      </c>
      <c r="C38" s="2">
        <v>3</v>
      </c>
      <c r="D38" s="2">
        <v>4</v>
      </c>
      <c r="E38" s="2">
        <v>5</v>
      </c>
      <c r="F38" s="2">
        <v>6</v>
      </c>
      <c r="G38" s="2">
        <v>7</v>
      </c>
      <c r="H38" s="2">
        <v>8</v>
      </c>
      <c r="I38" s="2">
        <v>9</v>
      </c>
      <c r="J38" s="2">
        <v>10</v>
      </c>
      <c r="K38" s="2">
        <v>11</v>
      </c>
      <c r="L38" s="2">
        <v>12</v>
      </c>
      <c r="M38" s="2">
        <v>13</v>
      </c>
      <c r="N38" s="2">
        <v>14</v>
      </c>
      <c r="O38" s="2">
        <v>15</v>
      </c>
      <c r="P38" s="2">
        <v>16</v>
      </c>
    </row>
    <row r="39" spans="1:16" ht="15">
      <c r="A39" s="117" t="s">
        <v>53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</row>
    <row r="40" spans="1:16" ht="17.25" customHeight="1">
      <c r="A40" s="15" t="s">
        <v>54</v>
      </c>
      <c r="B40" s="11">
        <f>C40+D40+E40+F40+G40+H40</f>
        <v>0</v>
      </c>
      <c r="C40" s="11"/>
      <c r="D40" s="11"/>
      <c r="E40" s="11"/>
      <c r="F40" s="11"/>
      <c r="G40" s="11"/>
      <c r="H40" s="11"/>
      <c r="I40" s="11">
        <f aca="true" t="shared" si="0" ref="I40:I51">J40+K40+L40+M40+N40+O40</f>
        <v>0</v>
      </c>
      <c r="J40" s="11"/>
      <c r="K40" s="11"/>
      <c r="L40" s="11"/>
      <c r="M40" s="11"/>
      <c r="N40" s="11"/>
      <c r="O40" s="11"/>
      <c r="P40" s="17"/>
    </row>
    <row r="41" spans="1:16" ht="30.75" customHeight="1">
      <c r="A41" s="6" t="s">
        <v>55</v>
      </c>
      <c r="B41" s="10">
        <f aca="true" t="shared" si="1" ref="B41:B57">C41+D41+E41+F41+G41+H41</f>
        <v>195080.9</v>
      </c>
      <c r="C41" s="10">
        <f>194247.7+670.3</f>
        <v>194918</v>
      </c>
      <c r="D41" s="10"/>
      <c r="E41" s="10"/>
      <c r="F41" s="10"/>
      <c r="G41" s="10">
        <f>176.4-13.5</f>
        <v>162.9</v>
      </c>
      <c r="H41" s="10"/>
      <c r="I41" s="10">
        <f t="shared" si="0"/>
        <v>194944.9</v>
      </c>
      <c r="J41" s="10">
        <v>194861.8</v>
      </c>
      <c r="K41" s="10"/>
      <c r="L41" s="10"/>
      <c r="M41" s="10"/>
      <c r="N41" s="10">
        <v>83.1</v>
      </c>
      <c r="O41" s="10"/>
      <c r="P41" s="6"/>
    </row>
    <row r="42" spans="1:16" ht="30.75" customHeight="1">
      <c r="A42" s="6" t="s">
        <v>56</v>
      </c>
      <c r="B42" s="10">
        <f t="shared" si="1"/>
        <v>19619.6</v>
      </c>
      <c r="C42" s="10">
        <f>16113.7-3000-3633.7</f>
        <v>9480</v>
      </c>
      <c r="D42" s="10">
        <f>16325.7-6186.1</f>
        <v>10139.6</v>
      </c>
      <c r="E42" s="10"/>
      <c r="F42" s="10"/>
      <c r="G42" s="10"/>
      <c r="H42" s="10"/>
      <c r="I42" s="10">
        <f t="shared" si="0"/>
        <v>17506.7</v>
      </c>
      <c r="J42" s="43">
        <v>8648.5</v>
      </c>
      <c r="K42" s="10">
        <v>8858.2</v>
      </c>
      <c r="L42" s="10"/>
      <c r="M42" s="10"/>
      <c r="N42" s="10"/>
      <c r="O42" s="10"/>
      <c r="P42" s="6"/>
    </row>
    <row r="43" spans="1:16" ht="30.75" customHeight="1">
      <c r="A43" s="6" t="s">
        <v>57</v>
      </c>
      <c r="B43" s="10">
        <f t="shared" si="1"/>
        <v>32966</v>
      </c>
      <c r="C43" s="10">
        <f>36409.7-3609.7</f>
        <v>32800</v>
      </c>
      <c r="D43" s="10"/>
      <c r="E43" s="10">
        <v>166</v>
      </c>
      <c r="F43" s="10"/>
      <c r="G43" s="10"/>
      <c r="H43" s="10"/>
      <c r="I43" s="39">
        <f>J43+K43+L43+M43+N43+O43</f>
        <v>26753.5</v>
      </c>
      <c r="J43" s="39">
        <v>26753.5</v>
      </c>
      <c r="K43" s="10"/>
      <c r="L43" s="10"/>
      <c r="M43" s="10"/>
      <c r="N43" s="10"/>
      <c r="O43" s="10"/>
      <c r="P43" s="6"/>
    </row>
    <row r="44" spans="1:16" ht="27" customHeight="1">
      <c r="A44" s="5" t="s">
        <v>58</v>
      </c>
      <c r="B44" s="10">
        <f t="shared" si="1"/>
        <v>503.6</v>
      </c>
      <c r="C44" s="10">
        <v>503.6</v>
      </c>
      <c r="D44" s="10"/>
      <c r="E44" s="10"/>
      <c r="F44" s="10"/>
      <c r="G44" s="10"/>
      <c r="H44" s="10"/>
      <c r="I44" s="10">
        <f t="shared" si="0"/>
        <v>503.6</v>
      </c>
      <c r="J44" s="10">
        <v>503.6</v>
      </c>
      <c r="K44" s="10"/>
      <c r="L44" s="10"/>
      <c r="M44" s="10"/>
      <c r="N44" s="10"/>
      <c r="O44" s="10"/>
      <c r="P44" s="6"/>
    </row>
    <row r="45" spans="1:16" ht="30.75" customHeight="1">
      <c r="A45" s="6" t="s">
        <v>59</v>
      </c>
      <c r="B45" s="10">
        <f t="shared" si="1"/>
        <v>1728.6</v>
      </c>
      <c r="C45" s="10"/>
      <c r="D45" s="10">
        <v>1600</v>
      </c>
      <c r="E45" s="10"/>
      <c r="F45" s="10">
        <v>48</v>
      </c>
      <c r="G45" s="10"/>
      <c r="H45" s="10">
        <f>88.2-7.6</f>
        <v>80.60000000000001</v>
      </c>
      <c r="I45" s="10">
        <f t="shared" si="0"/>
        <v>981.2</v>
      </c>
      <c r="J45" s="10"/>
      <c r="K45" s="10">
        <v>900.6</v>
      </c>
      <c r="L45" s="10"/>
      <c r="M45" s="10"/>
      <c r="N45" s="10"/>
      <c r="O45" s="10">
        <v>80.6</v>
      </c>
      <c r="P45" s="6"/>
    </row>
    <row r="46" spans="1:16" ht="30.75" customHeight="1">
      <c r="A46" s="6" t="s">
        <v>60</v>
      </c>
      <c r="B46" s="10">
        <f t="shared" si="1"/>
        <v>0</v>
      </c>
      <c r="C46" s="10"/>
      <c r="D46" s="10">
        <f>6000-6000</f>
        <v>0</v>
      </c>
      <c r="E46" s="10"/>
      <c r="F46" s="10"/>
      <c r="G46" s="10"/>
      <c r="H46" s="10"/>
      <c r="I46" s="10">
        <f t="shared" si="0"/>
        <v>0</v>
      </c>
      <c r="J46" s="10"/>
      <c r="K46" s="10"/>
      <c r="L46" s="10"/>
      <c r="M46" s="10"/>
      <c r="N46" s="10"/>
      <c r="O46" s="10"/>
      <c r="P46" s="6"/>
    </row>
    <row r="47" spans="1:16" ht="30.75" customHeight="1">
      <c r="A47" s="6" t="s">
        <v>61</v>
      </c>
      <c r="B47" s="10">
        <f t="shared" si="1"/>
        <v>0</v>
      </c>
      <c r="C47" s="10"/>
      <c r="D47" s="10">
        <f>700-700</f>
        <v>0</v>
      </c>
      <c r="E47" s="10"/>
      <c r="F47" s="10"/>
      <c r="G47" s="10"/>
      <c r="H47" s="10"/>
      <c r="I47" s="10">
        <f t="shared" si="0"/>
        <v>0</v>
      </c>
      <c r="J47" s="10"/>
      <c r="K47" s="10"/>
      <c r="L47" s="10"/>
      <c r="M47" s="10"/>
      <c r="N47" s="10"/>
      <c r="O47" s="10"/>
      <c r="P47" s="6"/>
    </row>
    <row r="48" spans="1:16" ht="39.75" customHeight="1">
      <c r="A48" s="15" t="s">
        <v>62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58"/>
    </row>
    <row r="49" spans="1:16" ht="40.5" customHeight="1">
      <c r="A49" s="6" t="s">
        <v>70</v>
      </c>
      <c r="B49" s="10">
        <f t="shared" si="1"/>
        <v>0</v>
      </c>
      <c r="C49" s="10">
        <v>0</v>
      </c>
      <c r="D49" s="10"/>
      <c r="E49" s="10"/>
      <c r="F49" s="10"/>
      <c r="G49" s="10"/>
      <c r="H49" s="10"/>
      <c r="I49" s="10">
        <f t="shared" si="0"/>
        <v>0</v>
      </c>
      <c r="J49" s="10"/>
      <c r="K49" s="10"/>
      <c r="L49" s="10"/>
      <c r="M49" s="10"/>
      <c r="N49" s="10"/>
      <c r="O49" s="10"/>
      <c r="P49" s="6"/>
    </row>
    <row r="50" spans="1:16" ht="49.5" customHeight="1">
      <c r="A50" s="18" t="s">
        <v>63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58"/>
    </row>
    <row r="51" spans="1:16" ht="66" customHeight="1">
      <c r="A51" s="57" t="s">
        <v>64</v>
      </c>
      <c r="B51" s="10">
        <f t="shared" si="1"/>
        <v>0</v>
      </c>
      <c r="C51" s="10">
        <v>0</v>
      </c>
      <c r="D51" s="10"/>
      <c r="E51" s="10"/>
      <c r="F51" s="10"/>
      <c r="G51" s="10"/>
      <c r="H51" s="10"/>
      <c r="I51" s="10">
        <f t="shared" si="0"/>
        <v>0</v>
      </c>
      <c r="J51" s="10"/>
      <c r="K51" s="10"/>
      <c r="L51" s="10"/>
      <c r="M51" s="10"/>
      <c r="N51" s="10"/>
      <c r="O51" s="10"/>
      <c r="P51" s="6"/>
    </row>
    <row r="52" spans="1:16" ht="24.75" customHeight="1">
      <c r="A52" s="20" t="s">
        <v>65</v>
      </c>
      <c r="B52" s="11">
        <f>C52+D52+E52+F52+G52+H52</f>
        <v>0</v>
      </c>
      <c r="C52" s="11"/>
      <c r="D52" s="11"/>
      <c r="E52" s="11"/>
      <c r="F52" s="11"/>
      <c r="G52" s="11"/>
      <c r="H52" s="11"/>
      <c r="I52" s="11">
        <f>J52+K52+L52+M52+N52+O52</f>
        <v>0</v>
      </c>
      <c r="J52" s="11"/>
      <c r="K52" s="11"/>
      <c r="L52" s="11"/>
      <c r="M52" s="11"/>
      <c r="N52" s="11"/>
      <c r="O52" s="11"/>
      <c r="P52" s="58"/>
    </row>
    <row r="53" spans="1:16" ht="55.5" customHeight="1">
      <c r="A53" s="6" t="s">
        <v>66</v>
      </c>
      <c r="B53" s="10">
        <f>C53+D53+E53+F53+G53+H53</f>
        <v>0</v>
      </c>
      <c r="C53" s="10"/>
      <c r="D53" s="10"/>
      <c r="E53" s="10"/>
      <c r="F53" s="10"/>
      <c r="G53" s="10"/>
      <c r="H53" s="10"/>
      <c r="I53" s="10">
        <f>J53+K53+L53+M53+N53+O53</f>
        <v>0</v>
      </c>
      <c r="J53" s="10"/>
      <c r="K53" s="10"/>
      <c r="L53" s="10"/>
      <c r="M53" s="10"/>
      <c r="N53" s="10"/>
      <c r="O53" s="10"/>
      <c r="P53" s="6"/>
    </row>
    <row r="54" spans="1:16" ht="31.5" customHeight="1">
      <c r="A54" s="6" t="s">
        <v>67</v>
      </c>
      <c r="B54" s="10">
        <f>C54+D54+E54+F54+G54+H54</f>
        <v>0</v>
      </c>
      <c r="C54" s="10"/>
      <c r="D54" s="10"/>
      <c r="E54" s="10"/>
      <c r="F54" s="10"/>
      <c r="G54" s="10"/>
      <c r="H54" s="10"/>
      <c r="I54" s="10">
        <f>J54+K54+L54+M54+N54+O54</f>
        <v>0</v>
      </c>
      <c r="J54" s="10"/>
      <c r="K54" s="10"/>
      <c r="L54" s="10"/>
      <c r="M54" s="10"/>
      <c r="N54" s="10"/>
      <c r="O54" s="10"/>
      <c r="P54" s="6"/>
    </row>
    <row r="55" spans="1:16" ht="45" customHeight="1">
      <c r="A55" s="6" t="s">
        <v>68</v>
      </c>
      <c r="B55" s="10">
        <f t="shared" si="1"/>
        <v>0</v>
      </c>
      <c r="C55" s="10"/>
      <c r="D55" s="10"/>
      <c r="E55" s="10"/>
      <c r="F55" s="10"/>
      <c r="G55" s="10"/>
      <c r="H55" s="10"/>
      <c r="I55" s="10">
        <f>J55+K55+L55+M55+N55+O55</f>
        <v>0</v>
      </c>
      <c r="J55" s="10"/>
      <c r="K55" s="10"/>
      <c r="L55" s="10"/>
      <c r="M55" s="10"/>
      <c r="N55" s="10"/>
      <c r="O55" s="10"/>
      <c r="P55" s="55"/>
    </row>
    <row r="56" spans="1:20" ht="59.25" customHeight="1">
      <c r="A56" s="6" t="s">
        <v>69</v>
      </c>
      <c r="B56" s="10">
        <f t="shared" si="1"/>
        <v>0</v>
      </c>
      <c r="C56" s="10"/>
      <c r="D56" s="10"/>
      <c r="E56" s="10"/>
      <c r="F56" s="10"/>
      <c r="G56" s="10"/>
      <c r="H56" s="10"/>
      <c r="I56" s="10">
        <f>J56+K56+L56+M56+N56+O56</f>
        <v>0</v>
      </c>
      <c r="J56" s="10"/>
      <c r="K56" s="10"/>
      <c r="L56" s="10"/>
      <c r="M56" s="10"/>
      <c r="N56" s="10"/>
      <c r="O56" s="10"/>
      <c r="P56" s="6"/>
      <c r="Q56">
        <v>231762.8</v>
      </c>
      <c r="R56">
        <v>912.3</v>
      </c>
      <c r="S56">
        <f>Q56-R56</f>
        <v>230850.5</v>
      </c>
      <c r="T56" s="87">
        <f>S56-J57</f>
        <v>83.10000000000582</v>
      </c>
    </row>
    <row r="57" spans="1:18" ht="15">
      <c r="A57" s="25" t="s">
        <v>12</v>
      </c>
      <c r="B57" s="27">
        <f t="shared" si="1"/>
        <v>249898.7</v>
      </c>
      <c r="C57" s="27">
        <f aca="true" t="shared" si="2" ref="C57:O57">SUM(C40:C56)</f>
        <v>237701.6</v>
      </c>
      <c r="D57" s="27">
        <f t="shared" si="2"/>
        <v>11739.6</v>
      </c>
      <c r="E57" s="27">
        <f t="shared" si="2"/>
        <v>166</v>
      </c>
      <c r="F57" s="27">
        <f t="shared" si="2"/>
        <v>48</v>
      </c>
      <c r="G57" s="27">
        <f t="shared" si="2"/>
        <v>162.9</v>
      </c>
      <c r="H57" s="27">
        <f t="shared" si="2"/>
        <v>80.60000000000001</v>
      </c>
      <c r="I57" s="27">
        <f t="shared" si="2"/>
        <v>240689.90000000002</v>
      </c>
      <c r="J57" s="27">
        <f t="shared" si="2"/>
        <v>230767.4</v>
      </c>
      <c r="K57" s="27">
        <f t="shared" si="2"/>
        <v>9758.800000000001</v>
      </c>
      <c r="L57" s="27">
        <f t="shared" si="2"/>
        <v>0</v>
      </c>
      <c r="M57" s="27">
        <f t="shared" si="2"/>
        <v>0</v>
      </c>
      <c r="N57" s="27">
        <f t="shared" si="2"/>
        <v>83.1</v>
      </c>
      <c r="O57" s="27">
        <f t="shared" si="2"/>
        <v>80.6</v>
      </c>
      <c r="P57" s="36">
        <f>I57/B57*100</f>
        <v>96.3149868326646</v>
      </c>
      <c r="Q57" s="87">
        <f>C57+E57+G57</f>
        <v>238030.5</v>
      </c>
      <c r="R57" s="87">
        <f>D57+F57+H57</f>
        <v>11868.2</v>
      </c>
    </row>
    <row r="58" spans="1:16" ht="15.75">
      <c r="A58" s="116" t="s">
        <v>71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</row>
    <row r="59" spans="1:16" ht="21" customHeight="1">
      <c r="A59" s="15" t="s">
        <v>72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30.75" customHeight="1">
      <c r="A60" s="73" t="s">
        <v>73</v>
      </c>
      <c r="B60" s="39">
        <f aca="true" t="shared" si="3" ref="B60:B73">C60+D60+E60+F60+G60+H60</f>
        <v>468010.30000000005</v>
      </c>
      <c r="C60" s="39">
        <f>120282.7-10282.7</f>
        <v>110000</v>
      </c>
      <c r="D60" s="39">
        <v>2100</v>
      </c>
      <c r="E60" s="40"/>
      <c r="F60" s="40"/>
      <c r="G60" s="39">
        <f>338122.7+2067+2738.9+9026.7+3973.7-18.7</f>
        <v>355910.30000000005</v>
      </c>
      <c r="H60" s="40"/>
      <c r="I60" s="10">
        <v>465180.4</v>
      </c>
      <c r="J60" s="10">
        <v>109129.8</v>
      </c>
      <c r="K60" s="8">
        <v>1444.6</v>
      </c>
      <c r="L60" s="8"/>
      <c r="M60" s="8"/>
      <c r="N60" s="10">
        <f>I60-J60-K60</f>
        <v>354606.00000000006</v>
      </c>
      <c r="O60" s="8"/>
      <c r="P60" s="60"/>
    </row>
    <row r="61" spans="1:16" ht="41.25" customHeight="1">
      <c r="A61" s="73" t="s">
        <v>74</v>
      </c>
      <c r="B61" s="39">
        <f>C61+D61+E61+F61+G61+H61</f>
        <v>1605</v>
      </c>
      <c r="C61" s="39"/>
      <c r="D61" s="40"/>
      <c r="E61" s="40"/>
      <c r="F61" s="40"/>
      <c r="G61" s="39">
        <f>1396.3+208.7</f>
        <v>1605</v>
      </c>
      <c r="H61" s="40"/>
      <c r="I61" s="10">
        <f>J61+K61+L61+M61+N61+O61</f>
        <v>834.7</v>
      </c>
      <c r="J61" s="10"/>
      <c r="K61" s="8"/>
      <c r="L61" s="8"/>
      <c r="M61" s="8"/>
      <c r="N61" s="8">
        <v>834.7</v>
      </c>
      <c r="O61" s="8"/>
      <c r="P61" s="60"/>
    </row>
    <row r="62" spans="1:16" ht="39.75" customHeight="1">
      <c r="A62" s="73" t="s">
        <v>75</v>
      </c>
      <c r="B62" s="39">
        <f>C62+D62+E62+F62+G62+H62</f>
        <v>18876.299999999996</v>
      </c>
      <c r="C62" s="39">
        <f>19570.1-6770.1-2600</f>
        <v>10199.999999999998</v>
      </c>
      <c r="D62" s="40">
        <f>26675-17998.7</f>
        <v>8676.3</v>
      </c>
      <c r="E62" s="40"/>
      <c r="F62" s="40"/>
      <c r="G62" s="40"/>
      <c r="H62" s="40"/>
      <c r="I62" s="10">
        <f>J62+K62+L62+M62+N62+O62</f>
        <v>16728.699999999997</v>
      </c>
      <c r="J62" s="43">
        <v>9437.3</v>
      </c>
      <c r="K62" s="8">
        <v>7291.4</v>
      </c>
      <c r="L62" s="8"/>
      <c r="M62" s="8"/>
      <c r="N62" s="8"/>
      <c r="O62" s="8"/>
      <c r="P62" s="60"/>
    </row>
    <row r="63" spans="1:16" ht="27.75" customHeight="1">
      <c r="A63" s="48" t="s">
        <v>76</v>
      </c>
      <c r="B63" s="39">
        <f>C63+D63+E63+F63+G63+H63</f>
        <v>68906.6</v>
      </c>
      <c r="C63" s="39">
        <f>59580.5+419.5</f>
        <v>60000</v>
      </c>
      <c r="D63" s="40">
        <v>148</v>
      </c>
      <c r="E63" s="40">
        <v>106.7</v>
      </c>
      <c r="F63" s="40"/>
      <c r="G63" s="39">
        <f>5846+150.6-1214.5+182.3-101.8+3703.1+37.2+49</f>
        <v>8651.900000000001</v>
      </c>
      <c r="H63" s="40"/>
      <c r="I63" s="10">
        <f>J63+K63+L63+M63+N63+O63</f>
        <v>56661.500000000015</v>
      </c>
      <c r="J63" s="10">
        <f>58374.4-O63-J64-N63-834.7</f>
        <v>48013.70000000001</v>
      </c>
      <c r="K63" s="8"/>
      <c r="L63" s="8"/>
      <c r="M63" s="8"/>
      <c r="N63" s="8">
        <v>8647.8</v>
      </c>
      <c r="O63" s="8"/>
      <c r="P63" s="60"/>
    </row>
    <row r="64" spans="1:16" ht="20.25" customHeight="1">
      <c r="A64" s="74" t="s">
        <v>77</v>
      </c>
      <c r="B64" s="39">
        <f>C64+D64+E64+F64+G64+H64</f>
        <v>878.2</v>
      </c>
      <c r="C64" s="39">
        <v>878.2</v>
      </c>
      <c r="D64" s="40"/>
      <c r="E64" s="40"/>
      <c r="F64" s="40"/>
      <c r="G64" s="40"/>
      <c r="H64" s="40"/>
      <c r="I64" s="10">
        <f>J64+K64+L64+M64+N64+O64</f>
        <v>878.2</v>
      </c>
      <c r="J64" s="10">
        <v>878.2</v>
      </c>
      <c r="K64" s="8"/>
      <c r="L64" s="8"/>
      <c r="M64" s="8"/>
      <c r="N64" s="8"/>
      <c r="O64" s="8"/>
      <c r="P64" s="60"/>
    </row>
    <row r="65" spans="1:16" ht="30.75" customHeight="1">
      <c r="A65" s="73" t="s">
        <v>78</v>
      </c>
      <c r="B65" s="39">
        <f>C65+D65+E65+F65+G65+H65</f>
        <v>5949</v>
      </c>
      <c r="C65" s="39"/>
      <c r="D65" s="39">
        <f>3000+200+200+400</f>
        <v>3800</v>
      </c>
      <c r="E65" s="39"/>
      <c r="F65" s="39">
        <v>35</v>
      </c>
      <c r="G65" s="39"/>
      <c r="H65" s="39">
        <f>742.6+663.4-21.3+621.9+101.8+9.1+33.6-37.1</f>
        <v>2114</v>
      </c>
      <c r="I65" s="10">
        <f>J65+K65+L65+M65+N65+O65</f>
        <v>4534.9</v>
      </c>
      <c r="J65" s="10"/>
      <c r="K65" s="8">
        <v>2427.7</v>
      </c>
      <c r="L65" s="8"/>
      <c r="M65" s="8"/>
      <c r="N65" s="8"/>
      <c r="O65" s="8">
        <f>661.3+1445.9</f>
        <v>2107.2</v>
      </c>
      <c r="P65" s="60"/>
    </row>
    <row r="66" spans="1:16" ht="21.75" customHeight="1">
      <c r="A66" s="75" t="s">
        <v>79</v>
      </c>
      <c r="B66" s="39">
        <f t="shared" si="3"/>
        <v>0</v>
      </c>
      <c r="C66" s="39"/>
      <c r="D66" s="39">
        <f>12572.6-12572.6</f>
        <v>0</v>
      </c>
      <c r="E66" s="39"/>
      <c r="F66" s="39"/>
      <c r="G66" s="39"/>
      <c r="H66" s="39"/>
      <c r="I66" s="10">
        <f aca="true" t="shared" si="4" ref="I66:I73">J66+K66+L66+M66+N66+O66</f>
        <v>0</v>
      </c>
      <c r="J66" s="8"/>
      <c r="K66" s="8"/>
      <c r="L66" s="8"/>
      <c r="M66" s="8"/>
      <c r="N66" s="8"/>
      <c r="O66" s="8"/>
      <c r="P66" s="60"/>
    </row>
    <row r="67" spans="1:16" ht="30.75" customHeight="1">
      <c r="A67" s="48" t="s">
        <v>80</v>
      </c>
      <c r="B67" s="39">
        <f t="shared" si="3"/>
        <v>0</v>
      </c>
      <c r="C67" s="39"/>
      <c r="D67" s="39">
        <f>5517.4-5517.4</f>
        <v>0</v>
      </c>
      <c r="E67" s="40"/>
      <c r="F67" s="40"/>
      <c r="G67" s="40"/>
      <c r="H67" s="40"/>
      <c r="I67" s="10">
        <f t="shared" si="4"/>
        <v>0</v>
      </c>
      <c r="J67" s="8"/>
      <c r="K67" s="3"/>
      <c r="L67" s="3"/>
      <c r="M67" s="3"/>
      <c r="N67" s="3"/>
      <c r="O67" s="3"/>
      <c r="P67" s="6"/>
    </row>
    <row r="68" spans="1:16" ht="42" customHeight="1">
      <c r="A68" s="15" t="s">
        <v>62</v>
      </c>
      <c r="B68" s="12"/>
      <c r="C68" s="12"/>
      <c r="D68" s="17"/>
      <c r="E68" s="17"/>
      <c r="F68" s="17"/>
      <c r="G68" s="17"/>
      <c r="H68" s="17"/>
      <c r="I68" s="12"/>
      <c r="J68" s="17"/>
      <c r="K68" s="17"/>
      <c r="L68" s="17"/>
      <c r="M68" s="17"/>
      <c r="N68" s="17"/>
      <c r="O68" s="17"/>
      <c r="P68" s="17"/>
    </row>
    <row r="69" spans="1:16" ht="42.75" customHeight="1">
      <c r="A69" s="6" t="s">
        <v>81</v>
      </c>
      <c r="B69" s="10">
        <f t="shared" si="3"/>
        <v>0</v>
      </c>
      <c r="C69" s="10">
        <v>0</v>
      </c>
      <c r="D69" s="8"/>
      <c r="E69" s="8"/>
      <c r="F69" s="8"/>
      <c r="G69" s="8"/>
      <c r="H69" s="8"/>
      <c r="I69" s="10">
        <f t="shared" si="4"/>
        <v>0</v>
      </c>
      <c r="J69" s="8"/>
      <c r="K69" s="8"/>
      <c r="L69" s="8"/>
      <c r="M69" s="8"/>
      <c r="N69" s="8"/>
      <c r="O69" s="8"/>
      <c r="P69" s="60"/>
    </row>
    <row r="70" spans="1:16" ht="51" customHeight="1">
      <c r="A70" s="15" t="s">
        <v>82</v>
      </c>
      <c r="B70" s="11">
        <f t="shared" si="3"/>
        <v>0</v>
      </c>
      <c r="C70" s="12"/>
      <c r="D70" s="17"/>
      <c r="E70" s="17"/>
      <c r="F70" s="17"/>
      <c r="G70" s="17"/>
      <c r="H70" s="17"/>
      <c r="I70" s="11">
        <f t="shared" si="4"/>
        <v>0</v>
      </c>
      <c r="J70" s="17"/>
      <c r="K70" s="17"/>
      <c r="L70" s="17"/>
      <c r="M70" s="17"/>
      <c r="N70" s="17"/>
      <c r="O70" s="17"/>
      <c r="P70" s="62"/>
    </row>
    <row r="71" spans="1:16" ht="68.25" customHeight="1">
      <c r="A71" s="6" t="s">
        <v>84</v>
      </c>
      <c r="B71" s="10">
        <f t="shared" si="3"/>
        <v>0</v>
      </c>
      <c r="C71" s="10">
        <v>0</v>
      </c>
      <c r="D71" s="8"/>
      <c r="E71" s="8"/>
      <c r="F71" s="8"/>
      <c r="G71" s="8"/>
      <c r="H71" s="8"/>
      <c r="I71" s="10">
        <f t="shared" si="4"/>
        <v>0</v>
      </c>
      <c r="J71" s="8"/>
      <c r="K71" s="8"/>
      <c r="L71" s="8"/>
      <c r="M71" s="8"/>
      <c r="N71" s="8"/>
      <c r="O71" s="8"/>
      <c r="P71" s="60"/>
    </row>
    <row r="72" spans="1:16" ht="50.25" customHeight="1">
      <c r="A72" s="61" t="s">
        <v>85</v>
      </c>
      <c r="B72" s="11"/>
      <c r="C72" s="12"/>
      <c r="D72" s="17"/>
      <c r="E72" s="17"/>
      <c r="F72" s="17"/>
      <c r="G72" s="17"/>
      <c r="H72" s="17"/>
      <c r="I72" s="11"/>
      <c r="J72" s="17"/>
      <c r="K72" s="17"/>
      <c r="L72" s="17"/>
      <c r="M72" s="17"/>
      <c r="N72" s="17"/>
      <c r="O72" s="17"/>
      <c r="P72" s="58"/>
    </row>
    <row r="73" spans="1:16" ht="28.5">
      <c r="A73" s="63" t="s">
        <v>83</v>
      </c>
      <c r="B73" s="10">
        <f t="shared" si="3"/>
        <v>0</v>
      </c>
      <c r="C73" s="10">
        <v>0</v>
      </c>
      <c r="D73" s="10"/>
      <c r="E73" s="10"/>
      <c r="F73" s="10"/>
      <c r="G73" s="10"/>
      <c r="H73" s="10"/>
      <c r="I73" s="10">
        <f t="shared" si="4"/>
        <v>0</v>
      </c>
      <c r="J73" s="10"/>
      <c r="K73" s="10"/>
      <c r="L73" s="10"/>
      <c r="M73" s="10"/>
      <c r="N73" s="10"/>
      <c r="O73" s="10"/>
      <c r="P73" s="60"/>
    </row>
    <row r="74" spans="1:16" ht="38.25">
      <c r="A74" s="65" t="s">
        <v>86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64"/>
    </row>
    <row r="75" spans="1:16" ht="38.25">
      <c r="A75" s="7" t="s">
        <v>87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60"/>
    </row>
    <row r="76" spans="1:16" ht="26.25">
      <c r="A76" s="6" t="s">
        <v>88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60"/>
    </row>
    <row r="77" spans="1:16" ht="31.5" customHeight="1">
      <c r="A77" s="6" t="s">
        <v>89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60"/>
    </row>
    <row r="78" spans="1:19" ht="26.25">
      <c r="A78" s="6" t="s">
        <v>90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60"/>
      <c r="Q78">
        <f>J79+N79</f>
        <v>531547.5000000001</v>
      </c>
      <c r="R78">
        <f>K79+O79</f>
        <v>13270.900000000001</v>
      </c>
      <c r="S78">
        <f>Q78+R78</f>
        <v>544818.4000000001</v>
      </c>
    </row>
    <row r="79" spans="1:18" ht="20.25" customHeight="1">
      <c r="A79" s="25" t="s">
        <v>13</v>
      </c>
      <c r="B79" s="27">
        <f>C79+D79+E79+F79+G79+H79</f>
        <v>564225.4000000001</v>
      </c>
      <c r="C79" s="27">
        <f aca="true" t="shared" si="5" ref="C79:O79">SUM(C60:C73)</f>
        <v>181078.2</v>
      </c>
      <c r="D79" s="26">
        <f t="shared" si="5"/>
        <v>14724.3</v>
      </c>
      <c r="E79" s="27">
        <f t="shared" si="5"/>
        <v>106.7</v>
      </c>
      <c r="F79" s="27">
        <f t="shared" si="5"/>
        <v>35</v>
      </c>
      <c r="G79" s="27">
        <f t="shared" si="5"/>
        <v>366167.20000000007</v>
      </c>
      <c r="H79" s="26">
        <f t="shared" si="5"/>
        <v>2114</v>
      </c>
      <c r="I79" s="26">
        <f t="shared" si="5"/>
        <v>544818.4</v>
      </c>
      <c r="J79" s="26">
        <f t="shared" si="5"/>
        <v>167459.00000000003</v>
      </c>
      <c r="K79" s="26">
        <f t="shared" si="5"/>
        <v>11163.7</v>
      </c>
      <c r="L79" s="26">
        <f t="shared" si="5"/>
        <v>0</v>
      </c>
      <c r="M79" s="26">
        <f t="shared" si="5"/>
        <v>0</v>
      </c>
      <c r="N79" s="26">
        <f t="shared" si="5"/>
        <v>364088.50000000006</v>
      </c>
      <c r="O79" s="26">
        <f t="shared" si="5"/>
        <v>2107.2</v>
      </c>
      <c r="P79" s="36">
        <f>I79/B79*100</f>
        <v>96.5604171666146</v>
      </c>
      <c r="Q79" s="87">
        <f>C79+E79+G79</f>
        <v>547352.1000000001</v>
      </c>
      <c r="R79" s="87">
        <f>D79+F79+H79</f>
        <v>16873.3</v>
      </c>
    </row>
    <row r="80" spans="1:16" ht="15">
      <c r="A80" s="117" t="s">
        <v>91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</row>
    <row r="81" spans="1:16" ht="25.5">
      <c r="A81" s="21" t="s">
        <v>14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26.25">
      <c r="A82" s="9" t="s">
        <v>92</v>
      </c>
      <c r="B82" s="39">
        <f>C82+D82+E82+F82+G82+H82</f>
        <v>0</v>
      </c>
      <c r="C82" s="39"/>
      <c r="D82" s="39"/>
      <c r="E82" s="39"/>
      <c r="F82" s="39"/>
      <c r="G82" s="39"/>
      <c r="H82" s="39"/>
      <c r="I82" s="39">
        <f>J82+K82+L82+M82+N82+O82</f>
        <v>0</v>
      </c>
      <c r="J82" s="39"/>
      <c r="K82" s="39"/>
      <c r="L82" s="39"/>
      <c r="M82" s="39"/>
      <c r="N82" s="39"/>
      <c r="O82" s="39"/>
      <c r="P82" s="6"/>
    </row>
    <row r="83" spans="1:16" ht="30.75" customHeight="1">
      <c r="A83" s="9" t="s">
        <v>93</v>
      </c>
      <c r="B83" s="39">
        <f>C83+D83+E83+F83+G83+H83</f>
        <v>0</v>
      </c>
      <c r="C83" s="39"/>
      <c r="D83" s="39"/>
      <c r="E83" s="39"/>
      <c r="F83" s="39"/>
      <c r="G83" s="39"/>
      <c r="H83" s="39"/>
      <c r="I83" s="39">
        <f>J83+K83+L83+M83+N83+O83</f>
        <v>0</v>
      </c>
      <c r="J83" s="39"/>
      <c r="K83" s="39"/>
      <c r="L83" s="39"/>
      <c r="M83" s="39"/>
      <c r="N83" s="39"/>
      <c r="O83" s="39"/>
      <c r="P83" s="48"/>
    </row>
    <row r="84" spans="1:16" ht="15">
      <c r="A84" s="25" t="s">
        <v>15</v>
      </c>
      <c r="B84" s="27">
        <f>SUM(B82:B83)</f>
        <v>0</v>
      </c>
      <c r="C84" s="27">
        <f aca="true" t="shared" si="6" ref="C84:O84">SUM(C82:C83)</f>
        <v>0</v>
      </c>
      <c r="D84" s="27">
        <f t="shared" si="6"/>
        <v>0</v>
      </c>
      <c r="E84" s="27">
        <f t="shared" si="6"/>
        <v>0</v>
      </c>
      <c r="F84" s="27">
        <f t="shared" si="6"/>
        <v>0</v>
      </c>
      <c r="G84" s="27">
        <f t="shared" si="6"/>
        <v>0</v>
      </c>
      <c r="H84" s="27">
        <f t="shared" si="6"/>
        <v>0</v>
      </c>
      <c r="I84" s="27">
        <f t="shared" si="6"/>
        <v>0</v>
      </c>
      <c r="J84" s="27">
        <f t="shared" si="6"/>
        <v>0</v>
      </c>
      <c r="K84" s="27">
        <f t="shared" si="6"/>
        <v>0</v>
      </c>
      <c r="L84" s="27">
        <f t="shared" si="6"/>
        <v>0</v>
      </c>
      <c r="M84" s="27">
        <f t="shared" si="6"/>
        <v>0</v>
      </c>
      <c r="N84" s="27">
        <f t="shared" si="6"/>
        <v>0</v>
      </c>
      <c r="O84" s="27">
        <f t="shared" si="6"/>
        <v>0</v>
      </c>
      <c r="P84" s="25"/>
    </row>
    <row r="85" spans="1:16" ht="15.75">
      <c r="A85" s="116" t="s">
        <v>94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</row>
    <row r="86" spans="1:16" ht="26.25">
      <c r="A86" s="67" t="s">
        <v>100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</row>
    <row r="87" spans="1:16" ht="27.75" customHeight="1">
      <c r="A87" s="9" t="s">
        <v>95</v>
      </c>
      <c r="B87" s="10">
        <f aca="true" t="shared" si="7" ref="B87:B93">C87+D87+E87+F87+G87+H87</f>
        <v>13585.2</v>
      </c>
      <c r="C87" s="10">
        <f>1800+2660.1</f>
        <v>4460.1</v>
      </c>
      <c r="D87" s="10"/>
      <c r="E87" s="10"/>
      <c r="F87" s="10"/>
      <c r="G87" s="10">
        <f>6214.3+2891.2+19.6</f>
        <v>9125.1</v>
      </c>
      <c r="H87" s="10"/>
      <c r="I87" s="10">
        <f aca="true" t="shared" si="8" ref="I87:I93">J87+K87+L87+M87+N87+O87</f>
        <v>13529</v>
      </c>
      <c r="J87" s="10">
        <v>4459.9</v>
      </c>
      <c r="K87" s="10"/>
      <c r="L87" s="10"/>
      <c r="M87" s="10"/>
      <c r="N87" s="10">
        <v>9069.1</v>
      </c>
      <c r="O87" s="10"/>
      <c r="P87" s="6"/>
    </row>
    <row r="88" spans="1:16" ht="26.25">
      <c r="A88" s="9" t="s">
        <v>96</v>
      </c>
      <c r="B88" s="10">
        <f t="shared" si="7"/>
        <v>535.6</v>
      </c>
      <c r="C88" s="10">
        <f>362.3+173.3</f>
        <v>535.6</v>
      </c>
      <c r="D88" s="10"/>
      <c r="E88" s="10"/>
      <c r="F88" s="10"/>
      <c r="G88" s="10"/>
      <c r="H88" s="10"/>
      <c r="I88" s="10">
        <f t="shared" si="8"/>
        <v>504.3</v>
      </c>
      <c r="J88" s="10">
        <v>504.3</v>
      </c>
      <c r="K88" s="10"/>
      <c r="L88" s="10"/>
      <c r="M88" s="10"/>
      <c r="N88" s="10"/>
      <c r="O88" s="10"/>
      <c r="P88" s="6"/>
    </row>
    <row r="89" spans="1:16" ht="26.25">
      <c r="A89" s="9" t="s">
        <v>97</v>
      </c>
      <c r="B89" s="10">
        <f t="shared" si="7"/>
        <v>1846.8999999999999</v>
      </c>
      <c r="C89" s="10">
        <f>1226+521.8</f>
        <v>1747.8</v>
      </c>
      <c r="D89" s="10"/>
      <c r="E89" s="10"/>
      <c r="F89" s="10"/>
      <c r="G89" s="10">
        <f>26+73.1</f>
        <v>99.1</v>
      </c>
      <c r="H89" s="10"/>
      <c r="I89" s="10">
        <f t="shared" si="8"/>
        <v>1623.8999999999999</v>
      </c>
      <c r="J89" s="10">
        <f>1529.8-J90</f>
        <v>1524.8999999999999</v>
      </c>
      <c r="K89" s="10"/>
      <c r="L89" s="10"/>
      <c r="M89" s="10"/>
      <c r="N89" s="10">
        <v>99</v>
      </c>
      <c r="O89" s="10"/>
      <c r="P89" s="3"/>
    </row>
    <row r="90" spans="1:16" ht="15">
      <c r="A90" s="59" t="s">
        <v>58</v>
      </c>
      <c r="B90" s="10">
        <f t="shared" si="7"/>
        <v>4.9</v>
      </c>
      <c r="C90" s="10">
        <v>4.9</v>
      </c>
      <c r="D90" s="10"/>
      <c r="E90" s="10"/>
      <c r="F90" s="10"/>
      <c r="G90" s="10"/>
      <c r="H90" s="10"/>
      <c r="I90" s="10">
        <f t="shared" si="8"/>
        <v>4.9</v>
      </c>
      <c r="J90" s="10">
        <v>4.9</v>
      </c>
      <c r="K90" s="10"/>
      <c r="L90" s="10"/>
      <c r="M90" s="10"/>
      <c r="N90" s="10"/>
      <c r="O90" s="10"/>
      <c r="P90" s="3"/>
    </row>
    <row r="91" spans="1:16" ht="26.25">
      <c r="A91" s="73" t="s">
        <v>59</v>
      </c>
      <c r="B91" s="39">
        <f t="shared" si="7"/>
        <v>252.4</v>
      </c>
      <c r="C91" s="39"/>
      <c r="D91" s="39">
        <f>22+21+188.1</f>
        <v>231.1</v>
      </c>
      <c r="E91" s="10"/>
      <c r="F91" s="10"/>
      <c r="G91" s="10"/>
      <c r="H91" s="10">
        <v>21.3</v>
      </c>
      <c r="I91" s="10">
        <f t="shared" si="8"/>
        <v>51.3</v>
      </c>
      <c r="J91" s="10"/>
      <c r="K91" s="10">
        <v>30.8</v>
      </c>
      <c r="L91" s="10"/>
      <c r="M91" s="10"/>
      <c r="N91" s="10"/>
      <c r="O91" s="10">
        <v>20.5</v>
      </c>
      <c r="P91" s="3"/>
    </row>
    <row r="92" spans="1:16" ht="15">
      <c r="A92" s="75" t="s">
        <v>98</v>
      </c>
      <c r="B92" s="39">
        <f t="shared" si="7"/>
        <v>0</v>
      </c>
      <c r="C92" s="39"/>
      <c r="D92" s="39">
        <f>150-150</f>
        <v>0</v>
      </c>
      <c r="E92" s="10"/>
      <c r="F92" s="10"/>
      <c r="G92" s="10"/>
      <c r="H92" s="10"/>
      <c r="I92" s="10">
        <f t="shared" si="8"/>
        <v>0</v>
      </c>
      <c r="J92" s="10"/>
      <c r="K92" s="10"/>
      <c r="L92" s="10"/>
      <c r="M92" s="10"/>
      <c r="N92" s="10"/>
      <c r="O92" s="10"/>
      <c r="P92" s="3"/>
    </row>
    <row r="93" spans="1:16" ht="15">
      <c r="A93" s="5" t="s">
        <v>99</v>
      </c>
      <c r="B93" s="10">
        <f t="shared" si="7"/>
        <v>0</v>
      </c>
      <c r="C93" s="10"/>
      <c r="D93" s="10"/>
      <c r="E93" s="10"/>
      <c r="F93" s="10"/>
      <c r="G93" s="10"/>
      <c r="H93" s="10"/>
      <c r="I93" s="10">
        <f t="shared" si="8"/>
        <v>0</v>
      </c>
      <c r="J93" s="10"/>
      <c r="K93" s="10"/>
      <c r="L93" s="10"/>
      <c r="M93" s="10"/>
      <c r="N93" s="10"/>
      <c r="O93" s="10"/>
      <c r="P93" s="3"/>
    </row>
    <row r="94" spans="1:18" ht="15">
      <c r="A94" s="25" t="s">
        <v>17</v>
      </c>
      <c r="B94" s="27">
        <f>SUM(B87:B93)</f>
        <v>16225</v>
      </c>
      <c r="C94" s="27">
        <f aca="true" t="shared" si="9" ref="C94:O94">SUM(C87:C93)</f>
        <v>6748.400000000001</v>
      </c>
      <c r="D94" s="27">
        <f t="shared" si="9"/>
        <v>231.1</v>
      </c>
      <c r="E94" s="27">
        <f t="shared" si="9"/>
        <v>0</v>
      </c>
      <c r="F94" s="27">
        <f t="shared" si="9"/>
        <v>0</v>
      </c>
      <c r="G94" s="27">
        <f t="shared" si="9"/>
        <v>9224.2</v>
      </c>
      <c r="H94" s="27">
        <f t="shared" si="9"/>
        <v>21.3</v>
      </c>
      <c r="I94" s="27">
        <f t="shared" si="9"/>
        <v>15713.399999999998</v>
      </c>
      <c r="J94" s="27">
        <f t="shared" si="9"/>
        <v>6493.999999999999</v>
      </c>
      <c r="K94" s="27">
        <f t="shared" si="9"/>
        <v>30.8</v>
      </c>
      <c r="L94" s="27">
        <f t="shared" si="9"/>
        <v>0</v>
      </c>
      <c r="M94" s="27">
        <f t="shared" si="9"/>
        <v>0</v>
      </c>
      <c r="N94" s="27">
        <f t="shared" si="9"/>
        <v>9168.1</v>
      </c>
      <c r="O94" s="27">
        <f t="shared" si="9"/>
        <v>20.5</v>
      </c>
      <c r="P94" s="36">
        <f>I94/B94*100</f>
        <v>96.84684129429891</v>
      </c>
      <c r="Q94" s="87">
        <f>C94+E94+G94</f>
        <v>15972.600000000002</v>
      </c>
      <c r="R94" s="87">
        <f>D94+F94+H94</f>
        <v>252.4</v>
      </c>
    </row>
    <row r="95" spans="1:16" ht="15.75">
      <c r="A95" s="116" t="s">
        <v>101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</row>
    <row r="96" spans="1:16" ht="15">
      <c r="A96" s="15" t="s">
        <v>102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26.25">
      <c r="A97" s="9" t="s">
        <v>103</v>
      </c>
      <c r="B97" s="39">
        <f aca="true" t="shared" si="10" ref="B97:B102">C97+D97+E97+F97+G97+H97</f>
        <v>24650.1</v>
      </c>
      <c r="C97" s="40">
        <f>25650.1-1000</f>
        <v>24650.1</v>
      </c>
      <c r="D97" s="39"/>
      <c r="E97" s="39"/>
      <c r="F97" s="39"/>
      <c r="G97" s="39"/>
      <c r="H97" s="39"/>
      <c r="I97" s="39">
        <f aca="true" t="shared" si="11" ref="I97:I102">J97+K97+L97+M97+N97+O97</f>
        <v>24004.9</v>
      </c>
      <c r="J97" s="39">
        <v>24004.9</v>
      </c>
      <c r="K97" s="39"/>
      <c r="L97" s="39"/>
      <c r="M97" s="39"/>
      <c r="N97" s="39"/>
      <c r="O97" s="39"/>
      <c r="P97" s="6"/>
    </row>
    <row r="98" spans="1:16" ht="26.25">
      <c r="A98" s="9" t="s">
        <v>104</v>
      </c>
      <c r="B98" s="39">
        <f t="shared" si="10"/>
        <v>4231</v>
      </c>
      <c r="C98" s="40">
        <v>4231</v>
      </c>
      <c r="D98" s="39"/>
      <c r="E98" s="39"/>
      <c r="F98" s="39"/>
      <c r="G98" s="39"/>
      <c r="H98" s="39"/>
      <c r="I98" s="39">
        <f t="shared" si="11"/>
        <v>3212.7000000000003</v>
      </c>
      <c r="J98" s="39">
        <f>3311.9-J99</f>
        <v>3212.7000000000003</v>
      </c>
      <c r="K98" s="39"/>
      <c r="L98" s="39"/>
      <c r="M98" s="39"/>
      <c r="N98" s="39"/>
      <c r="O98" s="39"/>
      <c r="P98" s="6"/>
    </row>
    <row r="99" spans="1:16" ht="15">
      <c r="A99" s="59" t="s">
        <v>105</v>
      </c>
      <c r="B99" s="39">
        <f t="shared" si="10"/>
        <v>99.2</v>
      </c>
      <c r="C99" s="39">
        <v>99.2</v>
      </c>
      <c r="D99" s="39"/>
      <c r="E99" s="39"/>
      <c r="F99" s="39"/>
      <c r="G99" s="39"/>
      <c r="H99" s="39"/>
      <c r="I99" s="39">
        <f t="shared" si="11"/>
        <v>99.2</v>
      </c>
      <c r="J99" s="39">
        <v>99.2</v>
      </c>
      <c r="K99" s="39"/>
      <c r="L99" s="39"/>
      <c r="M99" s="39"/>
      <c r="N99" s="39"/>
      <c r="O99" s="39"/>
      <c r="P99" s="6"/>
    </row>
    <row r="100" spans="1:16" ht="26.25">
      <c r="A100" s="9" t="s">
        <v>106</v>
      </c>
      <c r="B100" s="39">
        <f t="shared" si="10"/>
        <v>226.2</v>
      </c>
      <c r="C100" s="40"/>
      <c r="D100" s="40">
        <v>226.2</v>
      </c>
      <c r="E100" s="39"/>
      <c r="F100" s="39"/>
      <c r="G100" s="39"/>
      <c r="H100" s="39"/>
      <c r="I100" s="39">
        <f t="shared" si="11"/>
        <v>15</v>
      </c>
      <c r="J100" s="39"/>
      <c r="K100" s="39">
        <v>15</v>
      </c>
      <c r="L100" s="39"/>
      <c r="M100" s="39"/>
      <c r="N100" s="39"/>
      <c r="O100" s="39"/>
      <c r="P100" s="6"/>
    </row>
    <row r="101" spans="1:16" ht="15">
      <c r="A101" s="5" t="s">
        <v>107</v>
      </c>
      <c r="B101" s="39">
        <f t="shared" si="10"/>
        <v>0</v>
      </c>
      <c r="C101" s="39"/>
      <c r="D101" s="39">
        <f>600-600</f>
        <v>0</v>
      </c>
      <c r="E101" s="39"/>
      <c r="F101" s="39"/>
      <c r="G101" s="39"/>
      <c r="H101" s="39"/>
      <c r="I101" s="39">
        <f t="shared" si="11"/>
        <v>0</v>
      </c>
      <c r="J101" s="39"/>
      <c r="K101" s="39"/>
      <c r="L101" s="39"/>
      <c r="M101" s="39"/>
      <c r="N101" s="39"/>
      <c r="O101" s="39"/>
      <c r="P101" s="6"/>
    </row>
    <row r="102" spans="1:16" ht="26.25">
      <c r="A102" s="6" t="s">
        <v>108</v>
      </c>
      <c r="B102" s="39">
        <f t="shared" si="10"/>
        <v>0</v>
      </c>
      <c r="C102" s="40"/>
      <c r="D102" s="40">
        <f>500-500</f>
        <v>0</v>
      </c>
      <c r="E102" s="39"/>
      <c r="F102" s="39"/>
      <c r="G102" s="39"/>
      <c r="H102" s="39"/>
      <c r="I102" s="39">
        <f t="shared" si="11"/>
        <v>0</v>
      </c>
      <c r="J102" s="39"/>
      <c r="K102" s="39"/>
      <c r="L102" s="39"/>
      <c r="M102" s="39"/>
      <c r="N102" s="39"/>
      <c r="O102" s="39"/>
      <c r="P102" s="6"/>
    </row>
    <row r="103" spans="1:18" ht="15">
      <c r="A103" s="25" t="s">
        <v>18</v>
      </c>
      <c r="B103" s="27">
        <f aca="true" t="shared" si="12" ref="B103:O103">SUM(B97:B102)</f>
        <v>29206.5</v>
      </c>
      <c r="C103" s="27">
        <f t="shared" si="12"/>
        <v>28980.3</v>
      </c>
      <c r="D103" s="27">
        <f t="shared" si="12"/>
        <v>226.2</v>
      </c>
      <c r="E103" s="27">
        <f t="shared" si="12"/>
        <v>0</v>
      </c>
      <c r="F103" s="27">
        <f t="shared" si="12"/>
        <v>0</v>
      </c>
      <c r="G103" s="27">
        <f t="shared" si="12"/>
        <v>0</v>
      </c>
      <c r="H103" s="27">
        <f t="shared" si="12"/>
        <v>0</v>
      </c>
      <c r="I103" s="27">
        <f t="shared" si="12"/>
        <v>27331.800000000003</v>
      </c>
      <c r="J103" s="27">
        <f t="shared" si="12"/>
        <v>27316.800000000003</v>
      </c>
      <c r="K103" s="27">
        <f t="shared" si="12"/>
        <v>15</v>
      </c>
      <c r="L103" s="27">
        <f t="shared" si="12"/>
        <v>0</v>
      </c>
      <c r="M103" s="27">
        <f t="shared" si="12"/>
        <v>0</v>
      </c>
      <c r="N103" s="27">
        <f t="shared" si="12"/>
        <v>0</v>
      </c>
      <c r="O103" s="27">
        <f t="shared" si="12"/>
        <v>0</v>
      </c>
      <c r="P103" s="36">
        <f>I103/B103*100</f>
        <v>93.5812233578142</v>
      </c>
      <c r="Q103" s="87">
        <f>C103+E103+G103</f>
        <v>28980.3</v>
      </c>
      <c r="R103" s="87">
        <f>D103+F103+H103</f>
        <v>226.2</v>
      </c>
    </row>
    <row r="104" spans="1:16" ht="15.75">
      <c r="A104" s="116" t="s">
        <v>109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</row>
    <row r="105" spans="1:16" ht="30" customHeight="1">
      <c r="A105" s="15" t="s">
        <v>110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64.5">
      <c r="A106" s="6" t="s">
        <v>111</v>
      </c>
      <c r="B106" s="43">
        <f>C106+D106+E106+F106+G106+H106</f>
        <v>3975</v>
      </c>
      <c r="C106" s="43">
        <f>3942+12</f>
        <v>3954</v>
      </c>
      <c r="D106" s="43">
        <v>21</v>
      </c>
      <c r="E106" s="43"/>
      <c r="F106" s="43"/>
      <c r="G106" s="43"/>
      <c r="H106" s="43"/>
      <c r="I106" s="43">
        <f>J106+K106+L106+M106+N106+O106</f>
        <v>3918.1</v>
      </c>
      <c r="J106" s="43">
        <v>3918.1</v>
      </c>
      <c r="K106" s="43"/>
      <c r="L106" s="43"/>
      <c r="M106" s="43"/>
      <c r="N106" s="43"/>
      <c r="O106" s="43"/>
      <c r="P106" s="6"/>
    </row>
    <row r="107" spans="1:16" ht="15">
      <c r="A107" s="25" t="s">
        <v>19</v>
      </c>
      <c r="B107" s="27">
        <f aca="true" t="shared" si="13" ref="B107:O107">SUM(B106:B106)</f>
        <v>3975</v>
      </c>
      <c r="C107" s="27">
        <f t="shared" si="13"/>
        <v>3954</v>
      </c>
      <c r="D107" s="27">
        <f t="shared" si="13"/>
        <v>21</v>
      </c>
      <c r="E107" s="27">
        <f t="shared" si="13"/>
        <v>0</v>
      </c>
      <c r="F107" s="27">
        <f t="shared" si="13"/>
        <v>0</v>
      </c>
      <c r="G107" s="27">
        <f t="shared" si="13"/>
        <v>0</v>
      </c>
      <c r="H107" s="27">
        <f t="shared" si="13"/>
        <v>0</v>
      </c>
      <c r="I107" s="27">
        <f t="shared" si="13"/>
        <v>3918.1</v>
      </c>
      <c r="J107" s="27">
        <f t="shared" si="13"/>
        <v>3918.1</v>
      </c>
      <c r="K107" s="27">
        <f t="shared" si="13"/>
        <v>0</v>
      </c>
      <c r="L107" s="27">
        <f t="shared" si="13"/>
        <v>0</v>
      </c>
      <c r="M107" s="27">
        <f t="shared" si="13"/>
        <v>0</v>
      </c>
      <c r="N107" s="27">
        <f t="shared" si="13"/>
        <v>0</v>
      </c>
      <c r="O107" s="27">
        <f t="shared" si="13"/>
        <v>0</v>
      </c>
      <c r="P107" s="36">
        <f>I107/B107*100</f>
        <v>98.56855345911949</v>
      </c>
    </row>
    <row r="108" spans="1:16" ht="15.75">
      <c r="A108" s="116" t="s">
        <v>112</v>
      </c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</row>
    <row r="109" spans="1:16" ht="26.25">
      <c r="A109" s="15" t="s">
        <v>113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ht="51.75">
      <c r="A110" s="6" t="s">
        <v>114</v>
      </c>
      <c r="B110" s="13">
        <f>C110+D110+E110+F110+G110+H110</f>
        <v>597.3</v>
      </c>
      <c r="C110" s="43">
        <v>573.8</v>
      </c>
      <c r="D110" s="43">
        <v>23.5</v>
      </c>
      <c r="E110" s="13"/>
      <c r="F110" s="13"/>
      <c r="G110" s="13"/>
      <c r="H110" s="13"/>
      <c r="I110" s="13">
        <f>J110+K110+L110+M110+N110+O110</f>
        <v>454.2</v>
      </c>
      <c r="J110" s="13">
        <v>454.2</v>
      </c>
      <c r="K110" s="13"/>
      <c r="L110" s="13"/>
      <c r="M110" s="13"/>
      <c r="N110" s="13"/>
      <c r="O110" s="13"/>
      <c r="P110" s="8"/>
    </row>
    <row r="111" spans="1:18" ht="15">
      <c r="A111" s="25" t="s">
        <v>20</v>
      </c>
      <c r="B111" s="27">
        <f aca="true" t="shared" si="14" ref="B111:O111">SUM(B110:B110)</f>
        <v>597.3</v>
      </c>
      <c r="C111" s="27">
        <f t="shared" si="14"/>
        <v>573.8</v>
      </c>
      <c r="D111" s="27">
        <f t="shared" si="14"/>
        <v>23.5</v>
      </c>
      <c r="E111" s="27">
        <f t="shared" si="14"/>
        <v>0</v>
      </c>
      <c r="F111" s="27">
        <f t="shared" si="14"/>
        <v>0</v>
      </c>
      <c r="G111" s="27">
        <f t="shared" si="14"/>
        <v>0</v>
      </c>
      <c r="H111" s="27">
        <f t="shared" si="14"/>
        <v>0</v>
      </c>
      <c r="I111" s="27">
        <f t="shared" si="14"/>
        <v>454.2</v>
      </c>
      <c r="J111" s="27">
        <f t="shared" si="14"/>
        <v>454.2</v>
      </c>
      <c r="K111" s="27">
        <f t="shared" si="14"/>
        <v>0</v>
      </c>
      <c r="L111" s="27">
        <f t="shared" si="14"/>
        <v>0</v>
      </c>
      <c r="M111" s="27">
        <f t="shared" si="14"/>
        <v>0</v>
      </c>
      <c r="N111" s="27">
        <f t="shared" si="14"/>
        <v>0</v>
      </c>
      <c r="O111" s="27">
        <f t="shared" si="14"/>
        <v>0</v>
      </c>
      <c r="P111" s="36">
        <f>I111/B111*100</f>
        <v>76.04218985434456</v>
      </c>
      <c r="Q111" s="87">
        <f>C111+E111+G111</f>
        <v>573.8</v>
      </c>
      <c r="R111" s="87">
        <f>D111+F111+H111</f>
        <v>23.5</v>
      </c>
    </row>
    <row r="112" spans="1:16" ht="15.75">
      <c r="A112" s="116" t="s">
        <v>115</v>
      </c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</row>
    <row r="113" spans="1:16" ht="25.5">
      <c r="A113" s="19" t="s">
        <v>113</v>
      </c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39">
      <c r="A114" s="57" t="s">
        <v>116</v>
      </c>
      <c r="B114" s="43">
        <f>C114+D114+E114+F114+G114+H114</f>
        <v>3028</v>
      </c>
      <c r="C114" s="43">
        <v>3000</v>
      </c>
      <c r="D114" s="43">
        <v>28</v>
      </c>
      <c r="E114" s="43"/>
      <c r="F114" s="43"/>
      <c r="G114" s="43"/>
      <c r="H114" s="43"/>
      <c r="I114" s="43">
        <f>J114+K114+L114+M114+N114+O114</f>
        <v>2331</v>
      </c>
      <c r="J114" s="43">
        <v>2331</v>
      </c>
      <c r="K114" s="43"/>
      <c r="L114" s="43"/>
      <c r="M114" s="43"/>
      <c r="N114" s="43"/>
      <c r="O114" s="43"/>
      <c r="P114" s="44"/>
    </row>
    <row r="115" spans="1:16" ht="15">
      <c r="A115" s="25" t="s">
        <v>21</v>
      </c>
      <c r="B115" s="27">
        <f aca="true" t="shared" si="15" ref="B115:O115">SUM(B114:B114)</f>
        <v>3028</v>
      </c>
      <c r="C115" s="27">
        <f t="shared" si="15"/>
        <v>3000</v>
      </c>
      <c r="D115" s="27">
        <f t="shared" si="15"/>
        <v>28</v>
      </c>
      <c r="E115" s="27">
        <f t="shared" si="15"/>
        <v>0</v>
      </c>
      <c r="F115" s="27">
        <f t="shared" si="15"/>
        <v>0</v>
      </c>
      <c r="G115" s="27">
        <f t="shared" si="15"/>
        <v>0</v>
      </c>
      <c r="H115" s="27">
        <f t="shared" si="15"/>
        <v>0</v>
      </c>
      <c r="I115" s="27">
        <f t="shared" si="15"/>
        <v>2331</v>
      </c>
      <c r="J115" s="27">
        <f t="shared" si="15"/>
        <v>2331</v>
      </c>
      <c r="K115" s="27">
        <f t="shared" si="15"/>
        <v>0</v>
      </c>
      <c r="L115" s="27">
        <f t="shared" si="15"/>
        <v>0</v>
      </c>
      <c r="M115" s="27">
        <f t="shared" si="15"/>
        <v>0</v>
      </c>
      <c r="N115" s="27">
        <f t="shared" si="15"/>
        <v>0</v>
      </c>
      <c r="O115" s="27">
        <f t="shared" si="15"/>
        <v>0</v>
      </c>
      <c r="P115" s="36">
        <f>I115/B115*100</f>
        <v>76.98150594451783</v>
      </c>
    </row>
    <row r="116" spans="1:16" ht="15.75">
      <c r="A116" s="116" t="s">
        <v>117</v>
      </c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</row>
    <row r="117" spans="1:16" ht="51.75" customHeight="1">
      <c r="A117" s="18" t="s">
        <v>118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26.25">
      <c r="A118" s="6" t="s">
        <v>119</v>
      </c>
      <c r="B118" s="41">
        <f>C118+D118+E118+F118+G118+H118</f>
        <v>85</v>
      </c>
      <c r="C118" s="41">
        <v>85</v>
      </c>
      <c r="D118" s="41"/>
      <c r="E118" s="41"/>
      <c r="F118" s="41"/>
      <c r="G118" s="68"/>
      <c r="H118" s="41"/>
      <c r="I118" s="43">
        <f>J118+K118+L118+M118+N118+O118</f>
        <v>85</v>
      </c>
      <c r="J118" s="43">
        <v>85</v>
      </c>
      <c r="K118" s="43"/>
      <c r="L118" s="43"/>
      <c r="M118" s="41"/>
      <c r="N118" s="41"/>
      <c r="O118" s="41"/>
      <c r="P118" s="45"/>
    </row>
    <row r="119" spans="1:16" ht="23.25" customHeight="1">
      <c r="A119" s="49" t="s">
        <v>16</v>
      </c>
      <c r="B119" s="41">
        <f>C119+D119+E119+F119+G119+H119</f>
        <v>22.4</v>
      </c>
      <c r="C119" s="42">
        <v>22.4</v>
      </c>
      <c r="D119" s="41"/>
      <c r="E119" s="41"/>
      <c r="F119" s="41"/>
      <c r="G119" s="41"/>
      <c r="H119" s="41"/>
      <c r="I119" s="41">
        <f>J119+K119+L119+M119+N119+O119</f>
        <v>22.4</v>
      </c>
      <c r="J119" s="41">
        <v>22.4</v>
      </c>
      <c r="K119" s="41"/>
      <c r="L119" s="41"/>
      <c r="M119" s="41"/>
      <c r="N119" s="41"/>
      <c r="O119" s="41"/>
      <c r="P119" s="45"/>
    </row>
    <row r="120" spans="1:16" ht="15">
      <c r="A120" s="25" t="s">
        <v>22</v>
      </c>
      <c r="B120" s="27">
        <f aca="true" t="shared" si="16" ref="B120:O120">SUM(B117:B119)</f>
        <v>107.4</v>
      </c>
      <c r="C120" s="27">
        <f t="shared" si="16"/>
        <v>107.4</v>
      </c>
      <c r="D120" s="27">
        <f t="shared" si="16"/>
        <v>0</v>
      </c>
      <c r="E120" s="27">
        <f t="shared" si="16"/>
        <v>0</v>
      </c>
      <c r="F120" s="27">
        <f t="shared" si="16"/>
        <v>0</v>
      </c>
      <c r="G120" s="27">
        <f t="shared" si="16"/>
        <v>0</v>
      </c>
      <c r="H120" s="27">
        <f t="shared" si="16"/>
        <v>0</v>
      </c>
      <c r="I120" s="27">
        <f t="shared" si="16"/>
        <v>107.4</v>
      </c>
      <c r="J120" s="27">
        <f t="shared" si="16"/>
        <v>107.4</v>
      </c>
      <c r="K120" s="27">
        <f t="shared" si="16"/>
        <v>0</v>
      </c>
      <c r="L120" s="27">
        <f t="shared" si="16"/>
        <v>0</v>
      </c>
      <c r="M120" s="27">
        <f t="shared" si="16"/>
        <v>0</v>
      </c>
      <c r="N120" s="27">
        <f t="shared" si="16"/>
        <v>0</v>
      </c>
      <c r="O120" s="27">
        <f t="shared" si="16"/>
        <v>0</v>
      </c>
      <c r="P120" s="36">
        <f>I120/B120*100</f>
        <v>100</v>
      </c>
    </row>
    <row r="121" spans="1:16" ht="15.75">
      <c r="A121" s="116" t="s">
        <v>120</v>
      </c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</row>
    <row r="122" spans="1:16" ht="26.25">
      <c r="A122" s="15" t="s">
        <v>121</v>
      </c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26.25">
      <c r="A123" s="6" t="s">
        <v>122</v>
      </c>
      <c r="B123" s="13">
        <f aca="true" t="shared" si="17" ref="B123:B128">C123+D123+E123+F123+G123+H123</f>
        <v>2752.3</v>
      </c>
      <c r="C123" s="13">
        <f>2700.4+51.9</f>
        <v>2752.3</v>
      </c>
      <c r="D123" s="13"/>
      <c r="E123" s="13"/>
      <c r="F123" s="13"/>
      <c r="G123" s="13"/>
      <c r="H123" s="13"/>
      <c r="I123" s="13">
        <f aca="true" t="shared" si="18" ref="I123:I128">J123+K123+L123+M123+N123+O123</f>
        <v>2752.3</v>
      </c>
      <c r="J123" s="13">
        <v>2752.3</v>
      </c>
      <c r="K123" s="13"/>
      <c r="L123" s="13"/>
      <c r="M123" s="13"/>
      <c r="N123" s="13"/>
      <c r="O123" s="13"/>
      <c r="P123" s="3"/>
    </row>
    <row r="124" spans="1:16" ht="30.75" customHeight="1">
      <c r="A124" s="9" t="s">
        <v>123</v>
      </c>
      <c r="B124" s="13">
        <f t="shared" si="17"/>
        <v>907.8</v>
      </c>
      <c r="C124" s="13">
        <v>907.8</v>
      </c>
      <c r="D124" s="13"/>
      <c r="E124" s="13"/>
      <c r="F124" s="13"/>
      <c r="G124" s="13"/>
      <c r="H124" s="13"/>
      <c r="I124" s="13">
        <f t="shared" si="18"/>
        <v>540.9</v>
      </c>
      <c r="J124" s="13">
        <f>602.5-J125</f>
        <v>540.9</v>
      </c>
      <c r="K124" s="13"/>
      <c r="L124" s="13"/>
      <c r="M124" s="13"/>
      <c r="N124" s="13"/>
      <c r="O124" s="13"/>
      <c r="P124" s="3"/>
    </row>
    <row r="125" spans="1:16" ht="26.25">
      <c r="A125" s="9" t="s">
        <v>124</v>
      </c>
      <c r="B125" s="13">
        <f t="shared" si="17"/>
        <v>61.6</v>
      </c>
      <c r="C125" s="13">
        <v>61.6</v>
      </c>
      <c r="D125" s="13"/>
      <c r="E125" s="13"/>
      <c r="F125" s="13"/>
      <c r="G125" s="13"/>
      <c r="H125" s="13"/>
      <c r="I125" s="13">
        <f t="shared" si="18"/>
        <v>61.6</v>
      </c>
      <c r="J125" s="13">
        <v>61.6</v>
      </c>
      <c r="K125" s="13"/>
      <c r="L125" s="13"/>
      <c r="M125" s="13"/>
      <c r="N125" s="13"/>
      <c r="O125" s="13"/>
      <c r="P125" s="3"/>
    </row>
    <row r="126" spans="1:16" ht="26.25">
      <c r="A126" s="9" t="s">
        <v>125</v>
      </c>
      <c r="B126" s="13">
        <f t="shared" si="17"/>
        <v>240</v>
      </c>
      <c r="C126" s="13"/>
      <c r="D126" s="13">
        <v>240</v>
      </c>
      <c r="E126" s="13"/>
      <c r="F126" s="13"/>
      <c r="G126" s="13"/>
      <c r="H126" s="13"/>
      <c r="I126" s="13">
        <f t="shared" si="18"/>
        <v>132</v>
      </c>
      <c r="J126" s="13"/>
      <c r="K126" s="13">
        <v>132</v>
      </c>
      <c r="L126" s="13"/>
      <c r="M126" s="13"/>
      <c r="N126" s="13"/>
      <c r="O126" s="13"/>
      <c r="P126" s="3"/>
    </row>
    <row r="127" spans="1:16" ht="30.75" customHeight="1">
      <c r="A127" s="7" t="s">
        <v>126</v>
      </c>
      <c r="B127" s="13">
        <f t="shared" si="17"/>
        <v>0</v>
      </c>
      <c r="C127" s="13"/>
      <c r="D127" s="13">
        <f>215+85-300</f>
        <v>0</v>
      </c>
      <c r="E127" s="13"/>
      <c r="F127" s="13"/>
      <c r="G127" s="13"/>
      <c r="H127" s="13"/>
      <c r="I127" s="13">
        <f t="shared" si="18"/>
        <v>0</v>
      </c>
      <c r="J127" s="13"/>
      <c r="K127" s="13"/>
      <c r="L127" s="13"/>
      <c r="M127" s="13"/>
      <c r="N127" s="13"/>
      <c r="O127" s="13"/>
      <c r="P127" s="3"/>
    </row>
    <row r="128" spans="1:16" ht="26.25">
      <c r="A128" s="6" t="s">
        <v>127</v>
      </c>
      <c r="B128" s="13">
        <f t="shared" si="17"/>
        <v>0</v>
      </c>
      <c r="C128" s="13"/>
      <c r="D128" s="13">
        <f>300-300</f>
        <v>0</v>
      </c>
      <c r="E128" s="13"/>
      <c r="F128" s="13"/>
      <c r="G128" s="13"/>
      <c r="H128" s="13"/>
      <c r="I128" s="13">
        <f t="shared" si="18"/>
        <v>0</v>
      </c>
      <c r="J128" s="13"/>
      <c r="K128" s="13"/>
      <c r="L128" s="13"/>
      <c r="M128" s="13"/>
      <c r="N128" s="13"/>
      <c r="O128" s="13"/>
      <c r="P128" s="3"/>
    </row>
    <row r="129" spans="1:16" ht="15">
      <c r="A129" s="15" t="s">
        <v>128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26.25">
      <c r="A130" s="56" t="s">
        <v>129</v>
      </c>
      <c r="B130" s="101">
        <f>C130+D130+E130+F130+G130+H130</f>
        <v>1730.6</v>
      </c>
      <c r="C130" s="14">
        <v>1730.6</v>
      </c>
      <c r="D130" s="13"/>
      <c r="E130" s="13"/>
      <c r="F130" s="13"/>
      <c r="G130" s="13"/>
      <c r="H130" s="13"/>
      <c r="I130" s="13">
        <f>J130+K130+L130+M130+N130+O130</f>
        <v>1616</v>
      </c>
      <c r="J130" s="13">
        <f>1575.1+40.9</f>
        <v>1616</v>
      </c>
      <c r="K130" s="13"/>
      <c r="L130" s="13"/>
      <c r="M130" s="13"/>
      <c r="N130" s="13"/>
      <c r="O130" s="13"/>
      <c r="P130" s="3"/>
    </row>
    <row r="131" spans="1:16" ht="26.25">
      <c r="A131" s="22" t="s">
        <v>172</v>
      </c>
      <c r="B131" s="11"/>
      <c r="C131" s="16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7"/>
    </row>
    <row r="132" spans="1:16" ht="26.25">
      <c r="A132" s="9" t="s">
        <v>173</v>
      </c>
      <c r="B132" s="101">
        <f>C132+D132+E132+F132+G132+H132</f>
        <v>492.6</v>
      </c>
      <c r="C132" s="14">
        <v>492.6</v>
      </c>
      <c r="D132" s="13"/>
      <c r="E132" s="13"/>
      <c r="F132" s="13"/>
      <c r="G132" s="13"/>
      <c r="H132" s="13"/>
      <c r="I132" s="13">
        <f>J132+K132+L132+M132+N132+O132</f>
        <v>479.7</v>
      </c>
      <c r="J132" s="13">
        <v>479.7</v>
      </c>
      <c r="K132" s="13"/>
      <c r="L132" s="13"/>
      <c r="M132" s="13"/>
      <c r="N132" s="13"/>
      <c r="O132" s="13"/>
      <c r="P132" s="3"/>
    </row>
    <row r="133" spans="1:16" ht="15">
      <c r="A133" s="25" t="s">
        <v>23</v>
      </c>
      <c r="B133" s="26">
        <f>SUM(B122:B132)</f>
        <v>6184.900000000001</v>
      </c>
      <c r="C133" s="26">
        <f>SUM(C122:C132)</f>
        <v>5944.900000000001</v>
      </c>
      <c r="D133" s="26">
        <f aca="true" t="shared" si="19" ref="D133:O133">SUM(D122:D132)</f>
        <v>240</v>
      </c>
      <c r="E133" s="26">
        <f t="shared" si="19"/>
        <v>0</v>
      </c>
      <c r="F133" s="26">
        <f t="shared" si="19"/>
        <v>0</v>
      </c>
      <c r="G133" s="26">
        <f t="shared" si="19"/>
        <v>0</v>
      </c>
      <c r="H133" s="26">
        <f t="shared" si="19"/>
        <v>0</v>
      </c>
      <c r="I133" s="26">
        <f t="shared" si="19"/>
        <v>5582.5</v>
      </c>
      <c r="J133" s="26">
        <f t="shared" si="19"/>
        <v>5450.5</v>
      </c>
      <c r="K133" s="26">
        <f t="shared" si="19"/>
        <v>132</v>
      </c>
      <c r="L133" s="26">
        <f t="shared" si="19"/>
        <v>0</v>
      </c>
      <c r="M133" s="26">
        <f t="shared" si="19"/>
        <v>0</v>
      </c>
      <c r="N133" s="26">
        <f t="shared" si="19"/>
        <v>0</v>
      </c>
      <c r="O133" s="26">
        <f t="shared" si="19"/>
        <v>0</v>
      </c>
      <c r="P133" s="36">
        <f>I133/B133*100</f>
        <v>90.26014971947808</v>
      </c>
    </row>
    <row r="134" spans="1:16" ht="15.75">
      <c r="A134" s="116" t="s">
        <v>24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</row>
    <row r="135" spans="1:16" ht="64.5">
      <c r="A135" s="22" t="s">
        <v>25</v>
      </c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25.5">
      <c r="A136" s="7" t="s">
        <v>26</v>
      </c>
      <c r="B136" s="13">
        <f>C136+D136+E136+F136+G136+H136</f>
        <v>334.7</v>
      </c>
      <c r="C136" s="14">
        <v>334.7</v>
      </c>
      <c r="D136" s="13"/>
      <c r="E136" s="13"/>
      <c r="F136" s="13"/>
      <c r="G136" s="13"/>
      <c r="H136" s="13"/>
      <c r="I136" s="11">
        <f>J136+K136+L136+M136+N136+O136</f>
        <v>183.7</v>
      </c>
      <c r="J136" s="16">
        <v>183.7</v>
      </c>
      <c r="K136" s="13"/>
      <c r="L136" s="13"/>
      <c r="M136" s="13"/>
      <c r="N136" s="13"/>
      <c r="O136" s="13"/>
      <c r="P136" s="3"/>
    </row>
    <row r="137" spans="1:16" ht="38.25">
      <c r="A137" s="23" t="s">
        <v>27</v>
      </c>
      <c r="B137" s="13">
        <f>C137+D137+E137+F137+G137+H137</f>
        <v>250.9</v>
      </c>
      <c r="C137" s="14">
        <v>250.9</v>
      </c>
      <c r="D137" s="13"/>
      <c r="E137" s="13"/>
      <c r="F137" s="13"/>
      <c r="G137" s="13"/>
      <c r="H137" s="13"/>
      <c r="I137" s="11">
        <f>J137+K137+L137+M137+N137+O137</f>
        <v>124.2</v>
      </c>
      <c r="J137" s="16">
        <v>124.2</v>
      </c>
      <c r="K137" s="13"/>
      <c r="L137" s="13"/>
      <c r="M137" s="13"/>
      <c r="N137" s="13"/>
      <c r="O137" s="13"/>
      <c r="P137" s="3"/>
    </row>
    <row r="138" spans="1:16" ht="15">
      <c r="A138" s="25" t="s">
        <v>28</v>
      </c>
      <c r="B138" s="27">
        <f>SUM(B136:B137)</f>
        <v>585.6</v>
      </c>
      <c r="C138" s="27">
        <f aca="true" t="shared" si="20" ref="C138:O138">SUM(C136:C137)</f>
        <v>585.6</v>
      </c>
      <c r="D138" s="27">
        <f t="shared" si="20"/>
        <v>0</v>
      </c>
      <c r="E138" s="27">
        <f t="shared" si="20"/>
        <v>0</v>
      </c>
      <c r="F138" s="27">
        <f t="shared" si="20"/>
        <v>0</v>
      </c>
      <c r="G138" s="27">
        <f t="shared" si="20"/>
        <v>0</v>
      </c>
      <c r="H138" s="27">
        <f t="shared" si="20"/>
        <v>0</v>
      </c>
      <c r="I138" s="27">
        <f t="shared" si="20"/>
        <v>307.9</v>
      </c>
      <c r="J138" s="27">
        <f t="shared" si="20"/>
        <v>307.9</v>
      </c>
      <c r="K138" s="27">
        <f t="shared" si="20"/>
        <v>0</v>
      </c>
      <c r="L138" s="27">
        <f t="shared" si="20"/>
        <v>0</v>
      </c>
      <c r="M138" s="27">
        <f t="shared" si="20"/>
        <v>0</v>
      </c>
      <c r="N138" s="27">
        <f t="shared" si="20"/>
        <v>0</v>
      </c>
      <c r="O138" s="27">
        <f t="shared" si="20"/>
        <v>0</v>
      </c>
      <c r="P138" s="36">
        <f>I138/B138*100</f>
        <v>52.57855191256831</v>
      </c>
    </row>
    <row r="139" spans="1:16" ht="15.75">
      <c r="A139" s="116" t="s">
        <v>131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1:16" ht="21" customHeight="1">
      <c r="A140" s="72" t="s">
        <v>130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1"/>
    </row>
    <row r="141" spans="1:16" ht="26.25">
      <c r="A141" s="9" t="s">
        <v>133</v>
      </c>
      <c r="B141" s="13">
        <f aca="true" t="shared" si="21" ref="B141:B147">C141+D141+E141+F141+G141+H141</f>
        <v>68837.8</v>
      </c>
      <c r="C141" s="13">
        <f>68000-10495.2</f>
        <v>57504.8</v>
      </c>
      <c r="D141" s="13">
        <v>3300</v>
      </c>
      <c r="E141" s="13"/>
      <c r="F141" s="13"/>
      <c r="G141" s="13">
        <f>17825-9792</f>
        <v>8033</v>
      </c>
      <c r="H141" s="13"/>
      <c r="I141" s="13">
        <f aca="true" t="shared" si="22" ref="I141:I147">J141+K141+L141+M141+N141+O141</f>
        <v>54333.4</v>
      </c>
      <c r="J141" s="14">
        <v>45018</v>
      </c>
      <c r="K141" s="13">
        <v>1284.1</v>
      </c>
      <c r="L141" s="13"/>
      <c r="M141" s="13"/>
      <c r="N141" s="13">
        <v>8031.3</v>
      </c>
      <c r="O141" s="13"/>
      <c r="P141" s="69"/>
    </row>
    <row r="142" spans="1:16" ht="26.25">
      <c r="A142" s="9" t="s">
        <v>134</v>
      </c>
      <c r="B142" s="13">
        <f t="shared" si="21"/>
        <v>5197.5</v>
      </c>
      <c r="C142" s="13">
        <f>5500-1102.5</f>
        <v>4397.5</v>
      </c>
      <c r="D142" s="13">
        <v>800</v>
      </c>
      <c r="E142" s="13"/>
      <c r="F142" s="13"/>
      <c r="G142" s="13"/>
      <c r="H142" s="13"/>
      <c r="I142" s="13">
        <f t="shared" si="22"/>
        <v>2403.4</v>
      </c>
      <c r="J142" s="14">
        <v>2292.3</v>
      </c>
      <c r="K142" s="13">
        <v>111.1</v>
      </c>
      <c r="L142" s="13"/>
      <c r="M142" s="13"/>
      <c r="N142" s="13"/>
      <c r="O142" s="13"/>
      <c r="P142" s="69"/>
    </row>
    <row r="143" spans="1:16" ht="26.25">
      <c r="A143" s="9" t="s">
        <v>135</v>
      </c>
      <c r="B143" s="13">
        <f t="shared" si="21"/>
        <v>16602.1</v>
      </c>
      <c r="C143" s="13">
        <f>12200-1724.9</f>
        <v>10475.1</v>
      </c>
      <c r="D143" s="13">
        <v>4200</v>
      </c>
      <c r="E143" s="13"/>
      <c r="F143" s="13"/>
      <c r="G143" s="13">
        <v>1927</v>
      </c>
      <c r="H143" s="13"/>
      <c r="I143" s="13">
        <f t="shared" si="22"/>
        <v>9301.3</v>
      </c>
      <c r="J143" s="14">
        <v>7230.3</v>
      </c>
      <c r="K143" s="13">
        <f>3778.2-K141-K142-L145-O145-K145</f>
        <v>2071</v>
      </c>
      <c r="L143" s="13"/>
      <c r="M143" s="13"/>
      <c r="N143" s="13"/>
      <c r="O143" s="13"/>
      <c r="P143" s="69"/>
    </row>
    <row r="144" spans="1:16" ht="15">
      <c r="A144" s="59" t="s">
        <v>136</v>
      </c>
      <c r="B144" s="13">
        <f t="shared" si="21"/>
        <v>11598.6</v>
      </c>
      <c r="C144" s="13">
        <f>14300-2701.4</f>
        <v>11598.6</v>
      </c>
      <c r="D144" s="13"/>
      <c r="E144" s="13"/>
      <c r="F144" s="13"/>
      <c r="G144" s="13"/>
      <c r="H144" s="13"/>
      <c r="I144" s="13">
        <f t="shared" si="22"/>
        <v>7495.8</v>
      </c>
      <c r="J144" s="14">
        <v>7495.8</v>
      </c>
      <c r="K144" s="13"/>
      <c r="L144" s="13"/>
      <c r="M144" s="13"/>
      <c r="N144" s="13"/>
      <c r="O144" s="13"/>
      <c r="P144" s="69"/>
    </row>
    <row r="145" spans="1:16" ht="26.25">
      <c r="A145" s="9" t="s">
        <v>59</v>
      </c>
      <c r="B145" s="13">
        <f t="shared" si="21"/>
        <v>484</v>
      </c>
      <c r="C145" s="13"/>
      <c r="D145" s="13">
        <v>180</v>
      </c>
      <c r="E145" s="13"/>
      <c r="F145" s="13"/>
      <c r="G145" s="13"/>
      <c r="H145" s="13">
        <v>304</v>
      </c>
      <c r="I145" s="13">
        <f t="shared" si="22"/>
        <v>312</v>
      </c>
      <c r="J145" s="14"/>
      <c r="K145" s="13">
        <v>8</v>
      </c>
      <c r="L145" s="13"/>
      <c r="M145" s="13"/>
      <c r="N145" s="13"/>
      <c r="O145" s="13">
        <v>304</v>
      </c>
      <c r="P145" s="69"/>
    </row>
    <row r="146" spans="1:17" ht="15">
      <c r="A146" s="82" t="s">
        <v>151</v>
      </c>
      <c r="B146" s="13">
        <f t="shared" si="21"/>
        <v>0</v>
      </c>
      <c r="C146" s="13"/>
      <c r="D146" s="13"/>
      <c r="E146" s="13"/>
      <c r="F146" s="13"/>
      <c r="G146" s="13"/>
      <c r="H146" s="13"/>
      <c r="I146" s="13">
        <f t="shared" si="22"/>
        <v>0</v>
      </c>
      <c r="J146" s="14"/>
      <c r="K146" s="13"/>
      <c r="L146" s="13"/>
      <c r="M146" s="13"/>
      <c r="N146" s="13"/>
      <c r="O146" s="13"/>
      <c r="P146" s="69"/>
      <c r="Q146" s="87"/>
    </row>
    <row r="147" spans="1:16" ht="57.75" customHeight="1">
      <c r="A147" s="98" t="s">
        <v>168</v>
      </c>
      <c r="B147" s="13">
        <f t="shared" si="21"/>
        <v>26212.3</v>
      </c>
      <c r="C147" s="13">
        <f>16024+50</f>
        <v>16074</v>
      </c>
      <c r="D147" s="13"/>
      <c r="E147" s="13"/>
      <c r="F147" s="13"/>
      <c r="G147" s="13">
        <f>9792+346.3</f>
        <v>10138.3</v>
      </c>
      <c r="H147" s="13"/>
      <c r="I147" s="13">
        <f t="shared" si="22"/>
        <v>21080.9</v>
      </c>
      <c r="J147" s="14">
        <v>16074</v>
      </c>
      <c r="K147" s="13"/>
      <c r="L147" s="13"/>
      <c r="M147" s="13"/>
      <c r="N147" s="13">
        <v>5006.9</v>
      </c>
      <c r="O147" s="13"/>
      <c r="P147" s="69"/>
    </row>
    <row r="148" spans="1:16" ht="15" customHeight="1">
      <c r="A148" s="25" t="s">
        <v>31</v>
      </c>
      <c r="B148" s="27">
        <f aca="true" t="shared" si="23" ref="B148:O148">SUM(B141:B147)</f>
        <v>128932.3</v>
      </c>
      <c r="C148" s="27">
        <f t="shared" si="23"/>
        <v>100050.00000000001</v>
      </c>
      <c r="D148" s="27">
        <f t="shared" si="23"/>
        <v>8480</v>
      </c>
      <c r="E148" s="27">
        <f t="shared" si="23"/>
        <v>0</v>
      </c>
      <c r="F148" s="27">
        <f t="shared" si="23"/>
        <v>0</v>
      </c>
      <c r="G148" s="27">
        <f t="shared" si="23"/>
        <v>20098.3</v>
      </c>
      <c r="H148" s="27">
        <f t="shared" si="23"/>
        <v>304</v>
      </c>
      <c r="I148" s="27">
        <f>SUM(I141:I147)</f>
        <v>94926.80000000002</v>
      </c>
      <c r="J148" s="27">
        <f t="shared" si="23"/>
        <v>78110.40000000001</v>
      </c>
      <c r="K148" s="27">
        <f t="shared" si="23"/>
        <v>3474.2</v>
      </c>
      <c r="L148" s="27">
        <f t="shared" si="23"/>
        <v>0</v>
      </c>
      <c r="M148" s="27">
        <f t="shared" si="23"/>
        <v>0</v>
      </c>
      <c r="N148" s="27">
        <f t="shared" si="23"/>
        <v>13038.2</v>
      </c>
      <c r="O148" s="27">
        <f t="shared" si="23"/>
        <v>304</v>
      </c>
      <c r="P148" s="36">
        <f>I148/B148*100</f>
        <v>73.62530568368052</v>
      </c>
    </row>
    <row r="149" spans="1:16" ht="15.75">
      <c r="A149" s="116" t="s">
        <v>132</v>
      </c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</row>
    <row r="150" spans="1:16" ht="26.25">
      <c r="A150" s="15" t="s">
        <v>29</v>
      </c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26.25">
      <c r="A151" s="46" t="s">
        <v>144</v>
      </c>
      <c r="B151" s="41">
        <f>C151+D151+E151+F151+G151+H151</f>
        <v>0</v>
      </c>
      <c r="C151" s="42"/>
      <c r="D151" s="41"/>
      <c r="E151" s="41"/>
      <c r="F151" s="41"/>
      <c r="G151" s="41"/>
      <c r="H151" s="41"/>
      <c r="I151" s="41">
        <f>J151+K151+L151+M151+N151+O151</f>
        <v>0</v>
      </c>
      <c r="J151" s="41"/>
      <c r="K151" s="41"/>
      <c r="L151" s="41"/>
      <c r="M151" s="41"/>
      <c r="N151" s="41"/>
      <c r="O151" s="41"/>
      <c r="P151" s="45"/>
    </row>
    <row r="152" spans="1:16" ht="26.25">
      <c r="A152" s="46" t="s">
        <v>166</v>
      </c>
      <c r="B152" s="41">
        <f>C152+D152+E152+F152+G152+H152</f>
        <v>3761.6</v>
      </c>
      <c r="C152" s="42"/>
      <c r="D152" s="41">
        <f>7.6+23.4+200</f>
        <v>231</v>
      </c>
      <c r="E152" s="41"/>
      <c r="F152" s="41"/>
      <c r="G152" s="41"/>
      <c r="H152" s="41">
        <f>250.1+3280.5</f>
        <v>3530.6</v>
      </c>
      <c r="I152" s="41">
        <f>J152+K152+L152+M152+N152+O152</f>
        <v>3722.7</v>
      </c>
      <c r="J152" s="41"/>
      <c r="K152" s="41">
        <v>229.1</v>
      </c>
      <c r="L152" s="41"/>
      <c r="M152" s="41"/>
      <c r="N152" s="41"/>
      <c r="O152" s="41">
        <v>3493.6</v>
      </c>
      <c r="P152" s="45"/>
    </row>
    <row r="153" spans="1:16" ht="39">
      <c r="A153" s="6" t="s">
        <v>167</v>
      </c>
      <c r="B153" s="41">
        <f>C153+D153+E153+F153+G153+H153</f>
        <v>2767.6</v>
      </c>
      <c r="C153" s="42"/>
      <c r="D153" s="41">
        <v>1015</v>
      </c>
      <c r="E153" s="41"/>
      <c r="F153" s="41"/>
      <c r="G153" s="41"/>
      <c r="H153" s="41">
        <v>1752.6</v>
      </c>
      <c r="I153" s="41">
        <f>J153+K153+L153+M153+N153+O153</f>
        <v>2206.3999999999996</v>
      </c>
      <c r="J153" s="41"/>
      <c r="K153" s="41">
        <v>1002.3</v>
      </c>
      <c r="L153" s="41"/>
      <c r="M153" s="41"/>
      <c r="N153" s="41"/>
      <c r="O153" s="41">
        <v>1204.1</v>
      </c>
      <c r="P153" s="45"/>
    </row>
    <row r="154" spans="1:16" ht="15">
      <c r="A154" s="25" t="s">
        <v>142</v>
      </c>
      <c r="B154" s="27">
        <f aca="true" t="shared" si="24" ref="B154:O154">SUM(B151:B153)</f>
        <v>6529.2</v>
      </c>
      <c r="C154" s="27">
        <f t="shared" si="24"/>
        <v>0</v>
      </c>
      <c r="D154" s="27">
        <f>SUM(D151:D153)</f>
        <v>1246</v>
      </c>
      <c r="E154" s="27">
        <f t="shared" si="24"/>
        <v>0</v>
      </c>
      <c r="F154" s="27">
        <f t="shared" si="24"/>
        <v>0</v>
      </c>
      <c r="G154" s="27">
        <f t="shared" si="24"/>
        <v>0</v>
      </c>
      <c r="H154" s="27">
        <f t="shared" si="24"/>
        <v>5283.2</v>
      </c>
      <c r="I154" s="27">
        <f t="shared" si="24"/>
        <v>5929.099999999999</v>
      </c>
      <c r="J154" s="27">
        <f t="shared" si="24"/>
        <v>0</v>
      </c>
      <c r="K154" s="27">
        <f t="shared" si="24"/>
        <v>1231.3999999999999</v>
      </c>
      <c r="L154" s="27">
        <f t="shared" si="24"/>
        <v>0</v>
      </c>
      <c r="M154" s="27">
        <f t="shared" si="24"/>
        <v>0</v>
      </c>
      <c r="N154" s="27">
        <f t="shared" si="24"/>
        <v>0</v>
      </c>
      <c r="O154" s="27">
        <f t="shared" si="24"/>
        <v>4697.7</v>
      </c>
      <c r="P154" s="36">
        <f>I154/B154*100</f>
        <v>90.8089811921828</v>
      </c>
    </row>
    <row r="155" spans="1:16" ht="15.75">
      <c r="A155" s="116" t="s">
        <v>137</v>
      </c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</row>
    <row r="156" spans="1:16" ht="33.75" customHeight="1">
      <c r="A156" s="15" t="s">
        <v>138</v>
      </c>
      <c r="B156" s="11"/>
      <c r="C156" s="16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7"/>
    </row>
    <row r="157" spans="1:16" ht="26.25">
      <c r="A157" s="9" t="s">
        <v>139</v>
      </c>
      <c r="B157" s="13">
        <f>C157+D157+E157+F157+G157+H157</f>
        <v>1493.7</v>
      </c>
      <c r="C157" s="14">
        <v>257.3</v>
      </c>
      <c r="D157" s="13"/>
      <c r="E157" s="13"/>
      <c r="F157" s="13"/>
      <c r="G157" s="13">
        <v>1236.4</v>
      </c>
      <c r="H157" s="13"/>
      <c r="I157" s="13">
        <f>J157+K157+L157+M157+N157+O157</f>
        <v>728.1</v>
      </c>
      <c r="J157" s="13"/>
      <c r="K157" s="13"/>
      <c r="L157" s="13"/>
      <c r="M157" s="13"/>
      <c r="N157" s="13">
        <v>728.1</v>
      </c>
      <c r="O157" s="13"/>
      <c r="P157" s="3"/>
    </row>
    <row r="158" spans="1:16" ht="15">
      <c r="A158" s="59" t="s">
        <v>140</v>
      </c>
      <c r="B158" s="13">
        <f>C158+D158+E158+F158+G158+H158</f>
        <v>156</v>
      </c>
      <c r="C158" s="14">
        <v>156</v>
      </c>
      <c r="D158" s="13"/>
      <c r="E158" s="13"/>
      <c r="F158" s="13"/>
      <c r="G158" s="13"/>
      <c r="H158" s="13"/>
      <c r="I158" s="13">
        <f>J158+K158+L158+M158+N158+O158</f>
        <v>73.1</v>
      </c>
      <c r="J158" s="13">
        <v>73.1</v>
      </c>
      <c r="K158" s="13"/>
      <c r="L158" s="13"/>
      <c r="M158" s="13"/>
      <c r="N158" s="13"/>
      <c r="O158" s="13"/>
      <c r="P158" s="3"/>
    </row>
    <row r="159" spans="1:16" ht="26.25">
      <c r="A159" s="9" t="s">
        <v>141</v>
      </c>
      <c r="B159" s="13">
        <f>C159+D159+E159+F159+G159+H159</f>
        <v>32</v>
      </c>
      <c r="C159" s="14"/>
      <c r="D159" s="13">
        <v>32</v>
      </c>
      <c r="E159" s="13"/>
      <c r="F159" s="13"/>
      <c r="G159" s="13"/>
      <c r="H159" s="13"/>
      <c r="I159" s="13">
        <f>J159+K159+L159+M159+N159+O159</f>
        <v>0</v>
      </c>
      <c r="J159" s="13"/>
      <c r="K159" s="13"/>
      <c r="L159" s="13"/>
      <c r="M159" s="13"/>
      <c r="N159" s="13"/>
      <c r="O159" s="13"/>
      <c r="P159" s="3"/>
    </row>
    <row r="160" spans="1:16" ht="15">
      <c r="A160" s="25" t="s">
        <v>143</v>
      </c>
      <c r="B160" s="27">
        <f>SUM(B157:B159)</f>
        <v>1681.7</v>
      </c>
      <c r="C160" s="27">
        <f aca="true" t="shared" si="25" ref="C160:N160">SUM(C157:C159)</f>
        <v>413.3</v>
      </c>
      <c r="D160" s="27">
        <f t="shared" si="25"/>
        <v>32</v>
      </c>
      <c r="E160" s="27">
        <f t="shared" si="25"/>
        <v>0</v>
      </c>
      <c r="F160" s="27">
        <f t="shared" si="25"/>
        <v>0</v>
      </c>
      <c r="G160" s="27">
        <f t="shared" si="25"/>
        <v>1236.4</v>
      </c>
      <c r="H160" s="27">
        <f t="shared" si="25"/>
        <v>0</v>
      </c>
      <c r="I160" s="27">
        <f t="shared" si="25"/>
        <v>801.2</v>
      </c>
      <c r="J160" s="27">
        <f t="shared" si="25"/>
        <v>73.1</v>
      </c>
      <c r="K160" s="27">
        <f t="shared" si="25"/>
        <v>0</v>
      </c>
      <c r="L160" s="27">
        <f t="shared" si="25"/>
        <v>0</v>
      </c>
      <c r="M160" s="27">
        <f t="shared" si="25"/>
        <v>0</v>
      </c>
      <c r="N160" s="27">
        <f t="shared" si="25"/>
        <v>728.1</v>
      </c>
      <c r="O160" s="27">
        <f>SUM(O157:O159)</f>
        <v>0</v>
      </c>
      <c r="P160" s="36">
        <f>I160/B160*100</f>
        <v>47.64226675388</v>
      </c>
    </row>
    <row r="161" spans="1:16" ht="15.75">
      <c r="A161" s="109" t="s">
        <v>149</v>
      </c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1"/>
    </row>
    <row r="162" spans="1:16" ht="26.25">
      <c r="A162" s="61" t="s">
        <v>145</v>
      </c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1"/>
    </row>
    <row r="163" spans="1:16" ht="26.25">
      <c r="A163" s="9" t="s">
        <v>147</v>
      </c>
      <c r="B163" s="13">
        <f>C163+D163+E163+F163+G163+H163</f>
        <v>0</v>
      </c>
      <c r="C163" s="39"/>
      <c r="D163" s="39"/>
      <c r="E163" s="39"/>
      <c r="F163" s="39"/>
      <c r="G163" s="39"/>
      <c r="H163" s="39"/>
      <c r="I163" s="13">
        <f>J163+K163+L163+M163+N163+O163</f>
        <v>0</v>
      </c>
      <c r="J163" s="79"/>
      <c r="K163" s="79"/>
      <c r="L163" s="79"/>
      <c r="M163" s="79"/>
      <c r="N163" s="79"/>
      <c r="O163" s="79"/>
      <c r="P163" s="69"/>
    </row>
    <row r="164" spans="1:16" ht="26.25">
      <c r="A164" s="9" t="s">
        <v>148</v>
      </c>
      <c r="B164" s="13">
        <f>C164+D164+E164+F164+G164+H164</f>
        <v>0</v>
      </c>
      <c r="C164" s="39"/>
      <c r="D164" s="39"/>
      <c r="E164" s="39"/>
      <c r="F164" s="39"/>
      <c r="G164" s="39"/>
      <c r="H164" s="39"/>
      <c r="I164" s="13">
        <f>J164+K164+L164+M164+N164+O164</f>
        <v>0</v>
      </c>
      <c r="J164" s="79"/>
      <c r="K164" s="79"/>
      <c r="L164" s="79"/>
      <c r="M164" s="79"/>
      <c r="N164" s="79"/>
      <c r="O164" s="79"/>
      <c r="P164" s="69"/>
    </row>
    <row r="165" spans="1:16" ht="26.25">
      <c r="A165" s="9" t="s">
        <v>164</v>
      </c>
      <c r="B165" s="13">
        <f>C165+D165+E165+F165+G165+H165</f>
        <v>23150</v>
      </c>
      <c r="C165" s="39"/>
      <c r="D165" s="39">
        <f>23150</f>
        <v>23150</v>
      </c>
      <c r="E165" s="39"/>
      <c r="F165" s="39"/>
      <c r="G165" s="39"/>
      <c r="H165" s="39"/>
      <c r="I165" s="13">
        <f>J165+K165+L165+M165+N165+O165</f>
        <v>18805.5</v>
      </c>
      <c r="J165" s="79"/>
      <c r="K165" s="39">
        <f>22986.1-K166</f>
        <v>18805.5</v>
      </c>
      <c r="L165" s="79"/>
      <c r="M165" s="79"/>
      <c r="N165" s="79"/>
      <c r="O165" s="79"/>
      <c r="P165" s="69"/>
    </row>
    <row r="166" spans="1:16" ht="64.5">
      <c r="A166" s="9" t="s">
        <v>165</v>
      </c>
      <c r="B166" s="13">
        <f>C166+D166+E166+F166+G166+H166</f>
        <v>4200</v>
      </c>
      <c r="C166" s="39"/>
      <c r="D166" s="39">
        <v>4200</v>
      </c>
      <c r="E166" s="39"/>
      <c r="F166" s="39"/>
      <c r="G166" s="39"/>
      <c r="H166" s="39"/>
      <c r="I166" s="13">
        <f>J166+K166+L166+M166+N166+O166</f>
        <v>4180.6</v>
      </c>
      <c r="J166" s="79"/>
      <c r="K166" s="39">
        <v>4180.6</v>
      </c>
      <c r="L166" s="79"/>
      <c r="M166" s="79"/>
      <c r="N166" s="79"/>
      <c r="O166" s="79"/>
      <c r="P166" s="69"/>
    </row>
    <row r="167" spans="1:16" ht="15">
      <c r="A167" s="25" t="s">
        <v>146</v>
      </c>
      <c r="B167" s="27">
        <f>SUM(B163:B166)</f>
        <v>27350</v>
      </c>
      <c r="C167" s="27">
        <f>SUM(C163:C166)</f>
        <v>0</v>
      </c>
      <c r="D167" s="27">
        <f aca="true" t="shared" si="26" ref="D167:O167">SUM(D163:D166)</f>
        <v>27350</v>
      </c>
      <c r="E167" s="27">
        <f t="shared" si="26"/>
        <v>0</v>
      </c>
      <c r="F167" s="27">
        <f t="shared" si="26"/>
        <v>0</v>
      </c>
      <c r="G167" s="27">
        <f t="shared" si="26"/>
        <v>0</v>
      </c>
      <c r="H167" s="27">
        <f t="shared" si="26"/>
        <v>0</v>
      </c>
      <c r="I167" s="27">
        <f t="shared" si="26"/>
        <v>22986.1</v>
      </c>
      <c r="J167" s="27">
        <f t="shared" si="26"/>
        <v>0</v>
      </c>
      <c r="K167" s="27">
        <f>SUM(K163:K166)</f>
        <v>22986.1</v>
      </c>
      <c r="L167" s="27">
        <f t="shared" si="26"/>
        <v>0</v>
      </c>
      <c r="M167" s="27">
        <f t="shared" si="26"/>
        <v>0</v>
      </c>
      <c r="N167" s="27">
        <f t="shared" si="26"/>
        <v>0</v>
      </c>
      <c r="O167" s="27">
        <f t="shared" si="26"/>
        <v>0</v>
      </c>
      <c r="P167" s="36"/>
    </row>
    <row r="168" spans="1:16" ht="15">
      <c r="A168" s="119" t="s">
        <v>152</v>
      </c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1"/>
    </row>
    <row r="169" spans="1:16" ht="25.5">
      <c r="A169" s="18" t="s">
        <v>153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1"/>
    </row>
    <row r="170" spans="1:16" ht="36.75" customHeight="1">
      <c r="A170" s="99" t="s">
        <v>154</v>
      </c>
      <c r="B170" s="13">
        <f>C170+D170+E170+F170+G170+H170</f>
        <v>0</v>
      </c>
      <c r="C170" s="79"/>
      <c r="D170" s="79"/>
      <c r="E170" s="79"/>
      <c r="F170" s="79"/>
      <c r="G170" s="79"/>
      <c r="H170" s="79"/>
      <c r="I170" s="83"/>
      <c r="J170" s="83"/>
      <c r="K170" s="83"/>
      <c r="L170" s="83"/>
      <c r="M170" s="83"/>
      <c r="N170" s="83"/>
      <c r="O170" s="83"/>
      <c r="P170" s="84"/>
    </row>
    <row r="171" spans="1:16" ht="15">
      <c r="A171" s="25" t="s">
        <v>155</v>
      </c>
      <c r="B171" s="27">
        <f>B170</f>
        <v>0</v>
      </c>
      <c r="C171" s="27">
        <f>C170</f>
        <v>0</v>
      </c>
      <c r="D171" s="27">
        <f>D170</f>
        <v>0</v>
      </c>
      <c r="E171" s="27">
        <f aca="true" t="shared" si="27" ref="E171:O171">E170</f>
        <v>0</v>
      </c>
      <c r="F171" s="27">
        <f t="shared" si="27"/>
        <v>0</v>
      </c>
      <c r="G171" s="27">
        <f t="shared" si="27"/>
        <v>0</v>
      </c>
      <c r="H171" s="27">
        <f t="shared" si="27"/>
        <v>0</v>
      </c>
      <c r="I171" s="27">
        <f t="shared" si="27"/>
        <v>0</v>
      </c>
      <c r="J171" s="27">
        <f t="shared" si="27"/>
        <v>0</v>
      </c>
      <c r="K171" s="27">
        <f t="shared" si="27"/>
        <v>0</v>
      </c>
      <c r="L171" s="27">
        <f t="shared" si="27"/>
        <v>0</v>
      </c>
      <c r="M171" s="27">
        <f t="shared" si="27"/>
        <v>0</v>
      </c>
      <c r="N171" s="27">
        <f t="shared" si="27"/>
        <v>0</v>
      </c>
      <c r="O171" s="27">
        <f t="shared" si="27"/>
        <v>0</v>
      </c>
      <c r="P171" s="36"/>
    </row>
    <row r="172" spans="1:16" ht="15">
      <c r="A172" s="119" t="s">
        <v>169</v>
      </c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1"/>
    </row>
    <row r="173" spans="1:16" ht="25.5">
      <c r="A173" s="18" t="s">
        <v>153</v>
      </c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1"/>
    </row>
    <row r="174" spans="1:16" ht="35.25" customHeight="1">
      <c r="A174" s="100" t="s">
        <v>170</v>
      </c>
      <c r="B174" s="13">
        <f>C174+D174+E174+F174+G174+H174</f>
        <v>2081</v>
      </c>
      <c r="C174" s="79"/>
      <c r="D174" s="39">
        <v>900</v>
      </c>
      <c r="E174" s="79"/>
      <c r="F174" s="79"/>
      <c r="G174" s="79"/>
      <c r="H174" s="39">
        <v>1181</v>
      </c>
      <c r="I174" s="13">
        <f>J174+K174+L174+M174+N174+O174</f>
        <v>2080.3</v>
      </c>
      <c r="J174" s="79"/>
      <c r="K174" s="39">
        <v>899.3</v>
      </c>
      <c r="L174" s="79"/>
      <c r="M174" s="79"/>
      <c r="N174" s="79"/>
      <c r="O174" s="39">
        <v>1181</v>
      </c>
      <c r="P174" s="69"/>
    </row>
    <row r="175" spans="1:16" ht="15" customHeight="1">
      <c r="A175" s="25" t="s">
        <v>171</v>
      </c>
      <c r="B175" s="27">
        <f>B174</f>
        <v>2081</v>
      </c>
      <c r="C175" s="27">
        <f aca="true" t="shared" si="28" ref="C175:P175">C174</f>
        <v>0</v>
      </c>
      <c r="D175" s="27">
        <f t="shared" si="28"/>
        <v>900</v>
      </c>
      <c r="E175" s="27">
        <f t="shared" si="28"/>
        <v>0</v>
      </c>
      <c r="F175" s="27">
        <f t="shared" si="28"/>
        <v>0</v>
      </c>
      <c r="G175" s="27">
        <f t="shared" si="28"/>
        <v>0</v>
      </c>
      <c r="H175" s="27">
        <f t="shared" si="28"/>
        <v>1181</v>
      </c>
      <c r="I175" s="27">
        <f t="shared" si="28"/>
        <v>2080.3</v>
      </c>
      <c r="J175" s="27">
        <f t="shared" si="28"/>
        <v>0</v>
      </c>
      <c r="K175" s="27">
        <f t="shared" si="28"/>
        <v>899.3</v>
      </c>
      <c r="L175" s="27">
        <f t="shared" si="28"/>
        <v>0</v>
      </c>
      <c r="M175" s="27">
        <f t="shared" si="28"/>
        <v>0</v>
      </c>
      <c r="N175" s="27">
        <f t="shared" si="28"/>
        <v>0</v>
      </c>
      <c r="O175" s="27">
        <f t="shared" si="28"/>
        <v>1181</v>
      </c>
      <c r="P175" s="27">
        <f t="shared" si="28"/>
        <v>0</v>
      </c>
    </row>
    <row r="176" spans="1:16" ht="47.25">
      <c r="A176" s="24" t="s">
        <v>150</v>
      </c>
      <c r="B176" s="37">
        <f>B57+B79+B84+B94+B103+B107+B111+B115+B120+B133+B138+B148+B154+B160+B167+B171+B175</f>
        <v>1040608.0000000001</v>
      </c>
      <c r="C176" s="37">
        <f>C57+C79+C84+C94+C103+C107+C111+C115+C120+C133+C138+C148+C154+C160+C167+C171+C175</f>
        <v>569137.5000000001</v>
      </c>
      <c r="D176" s="37">
        <f aca="true" t="shared" si="29" ref="D176:O176">D57+D79+D84+D94+D103+D107+D111+D115+D120+D133+D138+D148+D154+D160+D167+D171+D175</f>
        <v>65241.7</v>
      </c>
      <c r="E176" s="37">
        <f t="shared" si="29"/>
        <v>272.7</v>
      </c>
      <c r="F176" s="37">
        <f t="shared" si="29"/>
        <v>83</v>
      </c>
      <c r="G176" s="37">
        <f t="shared" si="29"/>
        <v>396889.0000000001</v>
      </c>
      <c r="H176" s="37">
        <f t="shared" si="29"/>
        <v>8984.1</v>
      </c>
      <c r="I176" s="37">
        <f t="shared" si="29"/>
        <v>967978.1000000001</v>
      </c>
      <c r="J176" s="37">
        <f t="shared" si="29"/>
        <v>522789.80000000005</v>
      </c>
      <c r="K176" s="37">
        <f t="shared" si="29"/>
        <v>49691.3</v>
      </c>
      <c r="L176" s="37">
        <f t="shared" si="29"/>
        <v>0</v>
      </c>
      <c r="M176" s="37">
        <f t="shared" si="29"/>
        <v>0</v>
      </c>
      <c r="N176" s="37">
        <f t="shared" si="29"/>
        <v>387106</v>
      </c>
      <c r="O176" s="37">
        <f t="shared" si="29"/>
        <v>8391</v>
      </c>
      <c r="P176" s="38">
        <f>I176/B176*100</f>
        <v>93.02043612964728</v>
      </c>
    </row>
    <row r="177" spans="1:16" s="107" customFormat="1" ht="15" hidden="1">
      <c r="A177" s="77"/>
      <c r="B177" s="77"/>
      <c r="C177" s="76">
        <f>C176+D176</f>
        <v>634379.2000000001</v>
      </c>
      <c r="D177" s="77"/>
      <c r="E177" s="76">
        <f>E176+F176</f>
        <v>355.7</v>
      </c>
      <c r="F177" s="77"/>
      <c r="G177" s="76">
        <f>G176+H176</f>
        <v>405873.1000000001</v>
      </c>
      <c r="H177" s="77"/>
      <c r="I177" s="77"/>
      <c r="J177" s="77"/>
      <c r="K177" s="77"/>
      <c r="L177" s="77"/>
      <c r="M177" s="77"/>
      <c r="N177" s="77"/>
      <c r="O177" s="77"/>
      <c r="P177" s="77"/>
    </row>
    <row r="178" spans="1:16" s="107" customFormat="1" ht="15" hidden="1">
      <c r="A178" s="77"/>
      <c r="B178" s="76">
        <f>C178+D178</f>
        <v>1040608.0000000002</v>
      </c>
      <c r="C178" s="76">
        <f>C176+E176+G176</f>
        <v>966299.2000000002</v>
      </c>
      <c r="D178" s="76">
        <f>D176+F176+H176</f>
        <v>74308.8</v>
      </c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</row>
    <row r="179" spans="1:16" s="107" customFormat="1" ht="18.75">
      <c r="A179" s="108"/>
      <c r="B179" s="77"/>
      <c r="C179" s="76"/>
      <c r="D179" s="76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</row>
    <row r="180" spans="1:16" ht="18.75">
      <c r="A180" s="51" t="s">
        <v>48</v>
      </c>
      <c r="B180" s="50"/>
      <c r="C180" s="50"/>
      <c r="D180" s="50"/>
      <c r="E180" s="50"/>
      <c r="F180" s="50"/>
      <c r="G180" s="50"/>
      <c r="H180" s="50"/>
      <c r="I180" s="50"/>
      <c r="J180" s="50"/>
      <c r="K180" s="118" t="s">
        <v>49</v>
      </c>
      <c r="L180" s="118"/>
      <c r="M180" s="118"/>
      <c r="N180" s="118"/>
      <c r="O180" s="50"/>
      <c r="P180" s="50"/>
    </row>
    <row r="181" spans="1:16" ht="15.75">
      <c r="A181" s="52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</row>
    <row r="182" spans="1:16" ht="15.75">
      <c r="A182" s="52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</row>
    <row r="183" ht="15.75">
      <c r="A183" s="52" t="s">
        <v>46</v>
      </c>
    </row>
    <row r="184" ht="15.75">
      <c r="A184" s="52" t="s">
        <v>188</v>
      </c>
    </row>
  </sheetData>
  <sheetProtection/>
  <mergeCells count="48">
    <mergeCell ref="A172:P172"/>
    <mergeCell ref="D9:J9"/>
    <mergeCell ref="A168:P168"/>
    <mergeCell ref="K180:N180"/>
    <mergeCell ref="A116:P116"/>
    <mergeCell ref="A134:P134"/>
    <mergeCell ref="A139:P139"/>
    <mergeCell ref="A149:P149"/>
    <mergeCell ref="A155:P155"/>
    <mergeCell ref="A161:P161"/>
    <mergeCell ref="A121:P121"/>
    <mergeCell ref="A32:A37"/>
    <mergeCell ref="B32:H32"/>
    <mergeCell ref="I32:O32"/>
    <mergeCell ref="J35:M35"/>
    <mergeCell ref="N35:O36"/>
    <mergeCell ref="B34:B37"/>
    <mergeCell ref="C34:H34"/>
    <mergeCell ref="A104:P104"/>
    <mergeCell ref="A108:P108"/>
    <mergeCell ref="P32:P33"/>
    <mergeCell ref="B33:H33"/>
    <mergeCell ref="I33:O33"/>
    <mergeCell ref="N1:P1"/>
    <mergeCell ref="N2:P2"/>
    <mergeCell ref="A5:P5"/>
    <mergeCell ref="A6:P6"/>
    <mergeCell ref="D8:J8"/>
    <mergeCell ref="D10:J10"/>
    <mergeCell ref="D11:J11"/>
    <mergeCell ref="A80:P80"/>
    <mergeCell ref="A85:P85"/>
    <mergeCell ref="A95:P95"/>
    <mergeCell ref="C36:D36"/>
    <mergeCell ref="E36:F36"/>
    <mergeCell ref="J36:K36"/>
    <mergeCell ref="I34:I37"/>
    <mergeCell ref="J34:O34"/>
    <mergeCell ref="D12:P12"/>
    <mergeCell ref="D13:P13"/>
    <mergeCell ref="D14:P14"/>
    <mergeCell ref="A112:P112"/>
    <mergeCell ref="P34:P37"/>
    <mergeCell ref="C35:F35"/>
    <mergeCell ref="G35:H36"/>
    <mergeCell ref="L36:M36"/>
    <mergeCell ref="A39:P39"/>
    <mergeCell ref="A58:P58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0"/>
  <sheetViews>
    <sheetView zoomScale="84" zoomScaleNormal="84" zoomScalePageLayoutView="0" workbookViewId="0" topLeftCell="A161">
      <selection activeCell="D163" sqref="D163"/>
    </sheetView>
  </sheetViews>
  <sheetFormatPr defaultColWidth="9.140625" defaultRowHeight="15"/>
  <cols>
    <col min="1" max="1" width="46.8515625" style="0" customWidth="1"/>
    <col min="2" max="2" width="11.8515625" style="0" customWidth="1"/>
    <col min="3" max="3" width="9.57421875" style="0" bestFit="1" customWidth="1"/>
    <col min="16" max="16" width="18.7109375" style="0" customWidth="1"/>
    <col min="17" max="18" width="14.57421875" style="0" customWidth="1"/>
  </cols>
  <sheetData>
    <row r="1" spans="14:16" ht="15.75">
      <c r="N1" s="124" t="s">
        <v>32</v>
      </c>
      <c r="O1" s="124"/>
      <c r="P1" s="124"/>
    </row>
    <row r="2" spans="14:16" ht="60" customHeight="1">
      <c r="N2" s="125" t="s">
        <v>50</v>
      </c>
      <c r="O2" s="125"/>
      <c r="P2" s="125"/>
    </row>
    <row r="3" spans="14:16" ht="15.75">
      <c r="N3" s="29" t="s">
        <v>33</v>
      </c>
      <c r="O3" s="29"/>
      <c r="P3" s="29"/>
    </row>
    <row r="4" spans="14:16" ht="15.75">
      <c r="N4" s="29"/>
      <c r="O4" s="29"/>
      <c r="P4" s="29"/>
    </row>
    <row r="5" spans="1:16" ht="18.75">
      <c r="A5" s="126" t="s">
        <v>34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ht="38.25" customHeight="1">
      <c r="A6" s="127" t="s">
        <v>175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18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6" ht="18.75">
      <c r="A8" s="102" t="s">
        <v>35</v>
      </c>
      <c r="B8" s="102">
        <v>10</v>
      </c>
      <c r="C8" s="102"/>
      <c r="D8" s="122" t="s">
        <v>36</v>
      </c>
      <c r="E8" s="122"/>
      <c r="F8" s="122"/>
      <c r="G8" s="122"/>
      <c r="H8" s="122"/>
      <c r="I8" s="122"/>
      <c r="J8" s="122"/>
      <c r="K8" s="102"/>
      <c r="L8" s="102"/>
      <c r="M8" s="102"/>
      <c r="N8" s="102"/>
      <c r="O8" s="102"/>
      <c r="P8" s="102"/>
    </row>
    <row r="9" spans="1:16" ht="18.75">
      <c r="A9" s="102"/>
      <c r="B9" s="102" t="s">
        <v>37</v>
      </c>
      <c r="C9" s="102"/>
      <c r="D9" s="128" t="s">
        <v>38</v>
      </c>
      <c r="E9" s="128"/>
      <c r="F9" s="128"/>
      <c r="G9" s="128"/>
      <c r="H9" s="128"/>
      <c r="I9" s="128"/>
      <c r="J9" s="128"/>
      <c r="K9" s="102"/>
      <c r="L9" s="102"/>
      <c r="M9" s="102"/>
      <c r="N9" s="102"/>
      <c r="O9" s="102"/>
      <c r="P9" s="102"/>
    </row>
    <row r="10" spans="1:16" ht="18.75">
      <c r="A10" s="102" t="s">
        <v>39</v>
      </c>
      <c r="B10" s="102"/>
      <c r="C10" s="102"/>
      <c r="D10" s="122" t="s">
        <v>36</v>
      </c>
      <c r="E10" s="122"/>
      <c r="F10" s="122"/>
      <c r="G10" s="122"/>
      <c r="H10" s="122"/>
      <c r="I10" s="122"/>
      <c r="J10" s="122"/>
      <c r="K10" s="102"/>
      <c r="L10" s="102"/>
      <c r="M10" s="102"/>
      <c r="N10" s="102"/>
      <c r="O10" s="102"/>
      <c r="P10" s="102"/>
    </row>
    <row r="11" spans="4:10" ht="15">
      <c r="D11" s="114" t="s">
        <v>40</v>
      </c>
      <c r="E11" s="114"/>
      <c r="F11" s="114"/>
      <c r="G11" s="114"/>
      <c r="H11" s="114"/>
      <c r="I11" s="114"/>
      <c r="J11" s="114"/>
    </row>
    <row r="12" spans="1:13" ht="18.75">
      <c r="A12" s="103" t="s">
        <v>41</v>
      </c>
      <c r="B12" s="34">
        <v>611010</v>
      </c>
      <c r="D12" s="113" t="s">
        <v>42</v>
      </c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ht="15.75">
      <c r="A13" s="28"/>
      <c r="B13" s="34">
        <v>611020</v>
      </c>
      <c r="D13" s="123" t="s">
        <v>43</v>
      </c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13" ht="15">
      <c r="A14" s="28"/>
      <c r="B14" s="34">
        <v>611030</v>
      </c>
      <c r="D14" s="114" t="s">
        <v>44</v>
      </c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2" ht="15">
      <c r="A15" s="28"/>
      <c r="B15" s="34">
        <v>611070</v>
      </c>
    </row>
    <row r="16" spans="1:2" ht="15">
      <c r="A16" s="28"/>
      <c r="B16" s="34">
        <v>611090</v>
      </c>
    </row>
    <row r="17" spans="1:2" ht="15">
      <c r="A17" s="28"/>
      <c r="B17" s="34">
        <v>611150</v>
      </c>
    </row>
    <row r="18" spans="1:2" ht="15">
      <c r="A18" s="28"/>
      <c r="B18" s="34">
        <v>611160</v>
      </c>
    </row>
    <row r="19" spans="1:2" ht="15">
      <c r="A19" s="28"/>
      <c r="B19" s="35">
        <v>617363</v>
      </c>
    </row>
    <row r="20" ht="15">
      <c r="B20" s="33" t="s">
        <v>45</v>
      </c>
    </row>
    <row r="22" spans="1:16" ht="22.5" customHeight="1">
      <c r="A22" s="112" t="s">
        <v>0</v>
      </c>
      <c r="B22" s="112" t="s">
        <v>1</v>
      </c>
      <c r="C22" s="112"/>
      <c r="D22" s="112"/>
      <c r="E22" s="112"/>
      <c r="F22" s="112"/>
      <c r="G22" s="112"/>
      <c r="H22" s="112"/>
      <c r="I22" s="112" t="s">
        <v>2</v>
      </c>
      <c r="J22" s="112"/>
      <c r="K22" s="112"/>
      <c r="L22" s="112"/>
      <c r="M22" s="112"/>
      <c r="N22" s="112"/>
      <c r="O22" s="112"/>
      <c r="P22" s="112" t="s">
        <v>3</v>
      </c>
    </row>
    <row r="23" spans="1:16" ht="24.75" customHeight="1">
      <c r="A23" s="112"/>
      <c r="B23" s="112" t="s">
        <v>182</v>
      </c>
      <c r="C23" s="112"/>
      <c r="D23" s="112"/>
      <c r="E23" s="112"/>
      <c r="F23" s="112"/>
      <c r="G23" s="112"/>
      <c r="H23" s="112"/>
      <c r="I23" s="112" t="s">
        <v>182</v>
      </c>
      <c r="J23" s="112"/>
      <c r="K23" s="112"/>
      <c r="L23" s="112"/>
      <c r="M23" s="112"/>
      <c r="N23" s="112"/>
      <c r="O23" s="112"/>
      <c r="P23" s="112"/>
    </row>
    <row r="24" spans="1:16" ht="15.75" customHeight="1">
      <c r="A24" s="112"/>
      <c r="B24" s="115" t="s">
        <v>4</v>
      </c>
      <c r="C24" s="112" t="s">
        <v>5</v>
      </c>
      <c r="D24" s="112"/>
      <c r="E24" s="112"/>
      <c r="F24" s="112"/>
      <c r="G24" s="112"/>
      <c r="H24" s="112"/>
      <c r="I24" s="112" t="s">
        <v>4</v>
      </c>
      <c r="J24" s="112" t="s">
        <v>5</v>
      </c>
      <c r="K24" s="112"/>
      <c r="L24" s="112"/>
      <c r="M24" s="112"/>
      <c r="N24" s="112"/>
      <c r="O24" s="112"/>
      <c r="P24" s="112"/>
    </row>
    <row r="25" spans="1:16" ht="22.5" customHeight="1">
      <c r="A25" s="112"/>
      <c r="B25" s="115"/>
      <c r="C25" s="112" t="s">
        <v>10</v>
      </c>
      <c r="D25" s="112"/>
      <c r="E25" s="112"/>
      <c r="F25" s="112"/>
      <c r="G25" s="112" t="s">
        <v>11</v>
      </c>
      <c r="H25" s="112"/>
      <c r="I25" s="112"/>
      <c r="J25" s="112" t="s">
        <v>10</v>
      </c>
      <c r="K25" s="112"/>
      <c r="L25" s="112"/>
      <c r="M25" s="112"/>
      <c r="N25" s="112" t="s">
        <v>11</v>
      </c>
      <c r="O25" s="112"/>
      <c r="P25" s="112"/>
    </row>
    <row r="26" spans="1:16" ht="15">
      <c r="A26" s="112"/>
      <c r="B26" s="115"/>
      <c r="C26" s="112" t="s">
        <v>157</v>
      </c>
      <c r="D26" s="112"/>
      <c r="E26" s="112" t="s">
        <v>7</v>
      </c>
      <c r="F26" s="112"/>
      <c r="G26" s="112"/>
      <c r="H26" s="112"/>
      <c r="I26" s="112"/>
      <c r="J26" s="112" t="s">
        <v>6</v>
      </c>
      <c r="K26" s="112"/>
      <c r="L26" s="112" t="s">
        <v>7</v>
      </c>
      <c r="M26" s="112"/>
      <c r="N26" s="112"/>
      <c r="O26" s="112"/>
      <c r="P26" s="112"/>
    </row>
    <row r="27" spans="1:16" ht="45.75" customHeight="1">
      <c r="A27" s="112"/>
      <c r="B27" s="115"/>
      <c r="C27" s="104" t="s">
        <v>8</v>
      </c>
      <c r="D27" s="104" t="s">
        <v>9</v>
      </c>
      <c r="E27" s="104" t="s">
        <v>8</v>
      </c>
      <c r="F27" s="104" t="s">
        <v>9</v>
      </c>
      <c r="G27" s="104" t="s">
        <v>8</v>
      </c>
      <c r="H27" s="104" t="s">
        <v>9</v>
      </c>
      <c r="I27" s="112"/>
      <c r="J27" s="104" t="s">
        <v>8</v>
      </c>
      <c r="K27" s="104" t="s">
        <v>9</v>
      </c>
      <c r="L27" s="104" t="s">
        <v>8</v>
      </c>
      <c r="M27" s="104" t="s">
        <v>9</v>
      </c>
      <c r="N27" s="104" t="s">
        <v>8</v>
      </c>
      <c r="O27" s="104" t="s">
        <v>9</v>
      </c>
      <c r="P27" s="112"/>
    </row>
    <row r="28" spans="1:16" ht="15">
      <c r="A28" s="2">
        <v>1</v>
      </c>
      <c r="B28" s="2">
        <v>2</v>
      </c>
      <c r="C28" s="2">
        <v>3</v>
      </c>
      <c r="D28" s="2">
        <v>4</v>
      </c>
      <c r="E28" s="2">
        <v>5</v>
      </c>
      <c r="F28" s="2">
        <v>6</v>
      </c>
      <c r="G28" s="2">
        <v>7</v>
      </c>
      <c r="H28" s="2">
        <v>8</v>
      </c>
      <c r="I28" s="2">
        <v>9</v>
      </c>
      <c r="J28" s="2">
        <v>10</v>
      </c>
      <c r="K28" s="2">
        <v>11</v>
      </c>
      <c r="L28" s="2">
        <v>12</v>
      </c>
      <c r="M28" s="2">
        <v>13</v>
      </c>
      <c r="N28" s="2">
        <v>14</v>
      </c>
      <c r="O28" s="2">
        <v>15</v>
      </c>
      <c r="P28" s="2">
        <v>16</v>
      </c>
    </row>
    <row r="29" spans="1:16" ht="15">
      <c r="A29" s="117" t="s">
        <v>53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1:16" ht="17.25" customHeight="1">
      <c r="A30" s="15" t="s">
        <v>54</v>
      </c>
      <c r="B30" s="11">
        <f>C30+D30+E30+F30+G30+H30</f>
        <v>0</v>
      </c>
      <c r="C30" s="11"/>
      <c r="D30" s="11"/>
      <c r="E30" s="11"/>
      <c r="F30" s="11"/>
      <c r="G30" s="11"/>
      <c r="H30" s="11"/>
      <c r="I30" s="11">
        <f aca="true" t="shared" si="0" ref="I30:I41">J30+K30+L30+M30+N30+O30</f>
        <v>0</v>
      </c>
      <c r="J30" s="11"/>
      <c r="K30" s="11"/>
      <c r="L30" s="11"/>
      <c r="M30" s="11"/>
      <c r="N30" s="11"/>
      <c r="O30" s="11"/>
      <c r="P30" s="17"/>
    </row>
    <row r="31" spans="1:16" ht="30.75" customHeight="1">
      <c r="A31" s="6" t="s">
        <v>55</v>
      </c>
      <c r="B31" s="10">
        <f aca="true" t="shared" si="1" ref="B31:B47">C31+D31+E31+F31+G31+H31</f>
        <v>250263.69999999998</v>
      </c>
      <c r="C31" s="10">
        <v>249968.8</v>
      </c>
      <c r="D31" s="10"/>
      <c r="E31" s="10"/>
      <c r="F31" s="10"/>
      <c r="G31" s="10">
        <f>186.9+108</f>
        <v>294.9</v>
      </c>
      <c r="H31" s="10"/>
      <c r="I31" s="10">
        <f t="shared" si="0"/>
        <v>0</v>
      </c>
      <c r="J31" s="10"/>
      <c r="K31" s="10"/>
      <c r="L31" s="10"/>
      <c r="M31" s="10"/>
      <c r="N31" s="10"/>
      <c r="O31" s="10"/>
      <c r="P31" s="6"/>
    </row>
    <row r="32" spans="1:16" ht="30.75" customHeight="1">
      <c r="A32" s="6" t="s">
        <v>56</v>
      </c>
      <c r="B32" s="10">
        <f t="shared" si="1"/>
        <v>35093.100000000006</v>
      </c>
      <c r="C32" s="10">
        <v>16801.9</v>
      </c>
      <c r="D32" s="10">
        <v>18291.2</v>
      </c>
      <c r="E32" s="10"/>
      <c r="F32" s="10"/>
      <c r="G32" s="10"/>
      <c r="H32" s="10"/>
      <c r="I32" s="10">
        <f t="shared" si="0"/>
        <v>0</v>
      </c>
      <c r="J32" s="10"/>
      <c r="K32" s="10"/>
      <c r="L32" s="10"/>
      <c r="M32" s="10"/>
      <c r="N32" s="10"/>
      <c r="O32" s="10"/>
      <c r="P32" s="6"/>
    </row>
    <row r="33" spans="1:16" ht="30.75" customHeight="1">
      <c r="A33" s="6" t="s">
        <v>57</v>
      </c>
      <c r="B33" s="10">
        <f t="shared" si="1"/>
        <v>38587.4</v>
      </c>
      <c r="C33" s="10">
        <v>38412.4</v>
      </c>
      <c r="D33" s="10"/>
      <c r="E33" s="10">
        <v>175</v>
      </c>
      <c r="F33" s="10"/>
      <c r="G33" s="10"/>
      <c r="H33" s="10"/>
      <c r="I33" s="10">
        <f t="shared" si="0"/>
        <v>0</v>
      </c>
      <c r="J33" s="10"/>
      <c r="K33" s="10"/>
      <c r="L33" s="10"/>
      <c r="M33" s="10"/>
      <c r="N33" s="10"/>
      <c r="O33" s="10"/>
      <c r="P33" s="6"/>
    </row>
    <row r="34" spans="1:16" ht="30.75" customHeight="1">
      <c r="A34" s="5" t="s">
        <v>58</v>
      </c>
      <c r="B34" s="10">
        <f t="shared" si="1"/>
        <v>531.3</v>
      </c>
      <c r="C34" s="10">
        <v>531.3</v>
      </c>
      <c r="D34" s="10"/>
      <c r="E34" s="10"/>
      <c r="F34" s="10"/>
      <c r="G34" s="10"/>
      <c r="H34" s="10"/>
      <c r="I34" s="10">
        <f t="shared" si="0"/>
        <v>0</v>
      </c>
      <c r="J34" s="10"/>
      <c r="K34" s="10"/>
      <c r="L34" s="10"/>
      <c r="M34" s="10"/>
      <c r="N34" s="10"/>
      <c r="O34" s="10"/>
      <c r="P34" s="6"/>
    </row>
    <row r="35" spans="1:16" ht="30.75" customHeight="1">
      <c r="A35" s="6" t="s">
        <v>59</v>
      </c>
      <c r="B35" s="10">
        <f t="shared" si="1"/>
        <v>1863</v>
      </c>
      <c r="C35" s="10"/>
      <c r="D35" s="10">
        <v>1700</v>
      </c>
      <c r="E35" s="10"/>
      <c r="F35" s="10">
        <v>50</v>
      </c>
      <c r="G35" s="10"/>
      <c r="H35" s="10">
        <v>113</v>
      </c>
      <c r="I35" s="10">
        <f t="shared" si="0"/>
        <v>0</v>
      </c>
      <c r="J35" s="10"/>
      <c r="K35" s="10"/>
      <c r="L35" s="10"/>
      <c r="M35" s="10"/>
      <c r="N35" s="10"/>
      <c r="O35" s="10"/>
      <c r="P35" s="6"/>
    </row>
    <row r="36" spans="1:16" ht="30.75" customHeight="1">
      <c r="A36" s="6" t="s">
        <v>60</v>
      </c>
      <c r="B36" s="10">
        <f t="shared" si="1"/>
        <v>0</v>
      </c>
      <c r="C36" s="10"/>
      <c r="D36" s="10">
        <f>6000-6000</f>
        <v>0</v>
      </c>
      <c r="E36" s="10"/>
      <c r="F36" s="10"/>
      <c r="G36" s="10"/>
      <c r="H36" s="10"/>
      <c r="I36" s="10">
        <f t="shared" si="0"/>
        <v>0</v>
      </c>
      <c r="J36" s="10"/>
      <c r="K36" s="10"/>
      <c r="L36" s="10"/>
      <c r="M36" s="10"/>
      <c r="N36" s="10"/>
      <c r="O36" s="10"/>
      <c r="P36" s="6"/>
    </row>
    <row r="37" spans="1:16" ht="30.75" customHeight="1">
      <c r="A37" s="6" t="s">
        <v>61</v>
      </c>
      <c r="B37" s="10">
        <f t="shared" si="1"/>
        <v>0</v>
      </c>
      <c r="C37" s="10"/>
      <c r="D37" s="10">
        <f>700-700</f>
        <v>0</v>
      </c>
      <c r="E37" s="10"/>
      <c r="F37" s="10"/>
      <c r="G37" s="10"/>
      <c r="H37" s="10"/>
      <c r="I37" s="10">
        <f t="shared" si="0"/>
        <v>0</v>
      </c>
      <c r="J37" s="10"/>
      <c r="K37" s="10"/>
      <c r="L37" s="10"/>
      <c r="M37" s="10"/>
      <c r="N37" s="10"/>
      <c r="O37" s="10"/>
      <c r="P37" s="6"/>
    </row>
    <row r="38" spans="1:16" ht="39.75" customHeight="1">
      <c r="A38" s="15" t="s">
        <v>62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58"/>
    </row>
    <row r="39" spans="1:16" ht="40.5" customHeight="1">
      <c r="A39" s="6" t="s">
        <v>70</v>
      </c>
      <c r="B39" s="10">
        <f t="shared" si="1"/>
        <v>0</v>
      </c>
      <c r="C39" s="10">
        <v>0</v>
      </c>
      <c r="D39" s="10"/>
      <c r="E39" s="10"/>
      <c r="F39" s="10"/>
      <c r="G39" s="10"/>
      <c r="H39" s="10"/>
      <c r="I39" s="10">
        <f t="shared" si="0"/>
        <v>0</v>
      </c>
      <c r="J39" s="10"/>
      <c r="K39" s="10"/>
      <c r="L39" s="10"/>
      <c r="M39" s="10"/>
      <c r="N39" s="10"/>
      <c r="O39" s="10"/>
      <c r="P39" s="6"/>
    </row>
    <row r="40" spans="1:16" ht="49.5" customHeight="1">
      <c r="A40" s="18" t="s">
        <v>63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58"/>
    </row>
    <row r="41" spans="1:16" ht="66" customHeight="1">
      <c r="A41" s="57" t="s">
        <v>64</v>
      </c>
      <c r="B41" s="10">
        <f t="shared" si="1"/>
        <v>0</v>
      </c>
      <c r="C41" s="10">
        <v>0</v>
      </c>
      <c r="D41" s="10"/>
      <c r="E41" s="10"/>
      <c r="F41" s="10"/>
      <c r="G41" s="10"/>
      <c r="H41" s="10"/>
      <c r="I41" s="10">
        <f t="shared" si="0"/>
        <v>0</v>
      </c>
      <c r="J41" s="10"/>
      <c r="K41" s="10"/>
      <c r="L41" s="10"/>
      <c r="M41" s="10"/>
      <c r="N41" s="10"/>
      <c r="O41" s="10"/>
      <c r="P41" s="6"/>
    </row>
    <row r="42" spans="1:16" ht="24.75" customHeight="1">
      <c r="A42" s="20" t="s">
        <v>65</v>
      </c>
      <c r="B42" s="11">
        <f>C42+D42+E42+F42+G42+H42</f>
        <v>0</v>
      </c>
      <c r="C42" s="11"/>
      <c r="D42" s="11"/>
      <c r="E42" s="11"/>
      <c r="F42" s="11"/>
      <c r="G42" s="11"/>
      <c r="H42" s="11"/>
      <c r="I42" s="11">
        <f>J42+K42+L42+M42+N42+O42</f>
        <v>0</v>
      </c>
      <c r="J42" s="11"/>
      <c r="K42" s="11"/>
      <c r="L42" s="11"/>
      <c r="M42" s="11"/>
      <c r="N42" s="11"/>
      <c r="O42" s="11"/>
      <c r="P42" s="58"/>
    </row>
    <row r="43" spans="1:16" ht="55.5" customHeight="1">
      <c r="A43" s="6" t="s">
        <v>66</v>
      </c>
      <c r="B43" s="10">
        <f>C43+D43+E43+F43+G43+H43</f>
        <v>0</v>
      </c>
      <c r="C43" s="10"/>
      <c r="D43" s="10"/>
      <c r="E43" s="10"/>
      <c r="F43" s="10"/>
      <c r="G43" s="10"/>
      <c r="H43" s="10"/>
      <c r="I43" s="10">
        <f>J43+K43+L43+M43+N43+O43</f>
        <v>0</v>
      </c>
      <c r="J43" s="10"/>
      <c r="K43" s="10"/>
      <c r="L43" s="10"/>
      <c r="M43" s="10"/>
      <c r="N43" s="10"/>
      <c r="O43" s="10"/>
      <c r="P43" s="6"/>
    </row>
    <row r="44" spans="1:16" ht="31.5" customHeight="1">
      <c r="A44" s="6" t="s">
        <v>67</v>
      </c>
      <c r="B44" s="10">
        <f>C44+D44+E44+F44+G44+H44</f>
        <v>0</v>
      </c>
      <c r="C44" s="10"/>
      <c r="D44" s="10"/>
      <c r="E44" s="10"/>
      <c r="F44" s="10"/>
      <c r="G44" s="10"/>
      <c r="H44" s="10"/>
      <c r="I44" s="10">
        <f>J44+K44+L44+M44+N44+O44</f>
        <v>0</v>
      </c>
      <c r="J44" s="10"/>
      <c r="K44" s="10"/>
      <c r="L44" s="10"/>
      <c r="M44" s="10"/>
      <c r="N44" s="10"/>
      <c r="O44" s="10"/>
      <c r="P44" s="6"/>
    </row>
    <row r="45" spans="1:16" ht="45" customHeight="1">
      <c r="A45" s="6" t="s">
        <v>68</v>
      </c>
      <c r="B45" s="10">
        <f t="shared" si="1"/>
        <v>0</v>
      </c>
      <c r="C45" s="10"/>
      <c r="D45" s="10"/>
      <c r="E45" s="10"/>
      <c r="F45" s="10"/>
      <c r="G45" s="10"/>
      <c r="H45" s="10"/>
      <c r="I45" s="10">
        <f>J45+K45+L45+M45+N45+O45</f>
        <v>0</v>
      </c>
      <c r="J45" s="10"/>
      <c r="K45" s="10"/>
      <c r="L45" s="10"/>
      <c r="M45" s="10"/>
      <c r="N45" s="10"/>
      <c r="O45" s="10"/>
      <c r="P45" s="55"/>
    </row>
    <row r="46" spans="1:16" ht="59.25" customHeight="1">
      <c r="A46" s="6" t="s">
        <v>69</v>
      </c>
      <c r="B46" s="10">
        <f t="shared" si="1"/>
        <v>0</v>
      </c>
      <c r="C46" s="10"/>
      <c r="D46" s="10"/>
      <c r="E46" s="10"/>
      <c r="F46" s="10"/>
      <c r="G46" s="10"/>
      <c r="H46" s="10"/>
      <c r="I46" s="10">
        <f>J46+K46+L46+M46+N46+O46</f>
        <v>0</v>
      </c>
      <c r="J46" s="10"/>
      <c r="K46" s="10"/>
      <c r="L46" s="10"/>
      <c r="M46" s="10"/>
      <c r="N46" s="10"/>
      <c r="O46" s="10"/>
      <c r="P46" s="6"/>
    </row>
    <row r="47" spans="1:18" ht="15">
      <c r="A47" s="25" t="s">
        <v>12</v>
      </c>
      <c r="B47" s="27">
        <f t="shared" si="1"/>
        <v>326338.50000000006</v>
      </c>
      <c r="C47" s="27">
        <f aca="true" t="shared" si="2" ref="C47:O47">SUM(C30:C46)</f>
        <v>305714.4</v>
      </c>
      <c r="D47" s="27">
        <f t="shared" si="2"/>
        <v>19991.2</v>
      </c>
      <c r="E47" s="27">
        <f t="shared" si="2"/>
        <v>175</v>
      </c>
      <c r="F47" s="27">
        <f t="shared" si="2"/>
        <v>50</v>
      </c>
      <c r="G47" s="27">
        <f t="shared" si="2"/>
        <v>294.9</v>
      </c>
      <c r="H47" s="27">
        <f t="shared" si="2"/>
        <v>113</v>
      </c>
      <c r="I47" s="27">
        <f t="shared" si="2"/>
        <v>0</v>
      </c>
      <c r="J47" s="27">
        <f t="shared" si="2"/>
        <v>0</v>
      </c>
      <c r="K47" s="27">
        <f t="shared" si="2"/>
        <v>0</v>
      </c>
      <c r="L47" s="27">
        <f t="shared" si="2"/>
        <v>0</v>
      </c>
      <c r="M47" s="27">
        <f t="shared" si="2"/>
        <v>0</v>
      </c>
      <c r="N47" s="27">
        <f t="shared" si="2"/>
        <v>0</v>
      </c>
      <c r="O47" s="27">
        <f t="shared" si="2"/>
        <v>0</v>
      </c>
      <c r="P47" s="36">
        <f>I47/B47*100</f>
        <v>0</v>
      </c>
      <c r="Q47" s="87">
        <f>C47+E47+G47</f>
        <v>306184.30000000005</v>
      </c>
      <c r="R47" s="87">
        <f>D47+F47+H47</f>
        <v>20154.2</v>
      </c>
    </row>
    <row r="48" spans="1:16" ht="15.75">
      <c r="A48" s="116" t="s">
        <v>71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</row>
    <row r="49" spans="1:16" ht="21" customHeight="1">
      <c r="A49" s="15" t="s">
        <v>72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30.75" customHeight="1">
      <c r="A50" s="73" t="s">
        <v>73</v>
      </c>
      <c r="B50" s="39">
        <f aca="true" t="shared" si="3" ref="B50:B63">C50+D50+E50+F50+G50+H50</f>
        <v>635612.7</v>
      </c>
      <c r="C50" s="39">
        <v>163882</v>
      </c>
      <c r="D50" s="39">
        <v>2767.8</v>
      </c>
      <c r="E50" s="40"/>
      <c r="F50" s="40"/>
      <c r="G50" s="39">
        <f>448743.6+2079.4+18139.9</f>
        <v>468962.9</v>
      </c>
      <c r="H50" s="40"/>
      <c r="I50" s="10">
        <f aca="true" t="shared" si="4" ref="I50:I63">J50+K50+L50+M50+N50+O50</f>
        <v>0</v>
      </c>
      <c r="J50" s="10"/>
      <c r="K50" s="3"/>
      <c r="L50" s="3"/>
      <c r="M50" s="3"/>
      <c r="N50" s="3"/>
      <c r="O50" s="3"/>
      <c r="P50" s="6"/>
    </row>
    <row r="51" spans="1:16" ht="41.25" customHeight="1">
      <c r="A51" s="73" t="s">
        <v>74</v>
      </c>
      <c r="B51" s="39">
        <f>C51+D51+E51+F51+G51+H51</f>
        <v>2660.3</v>
      </c>
      <c r="C51" s="39"/>
      <c r="D51" s="40"/>
      <c r="E51" s="40"/>
      <c r="F51" s="40"/>
      <c r="G51" s="39">
        <f>1594+1066.3</f>
        <v>2660.3</v>
      </c>
      <c r="H51" s="40"/>
      <c r="I51" s="10">
        <f>J51+K51+L51+M51+N51+O51</f>
        <v>0</v>
      </c>
      <c r="J51" s="10"/>
      <c r="K51" s="3"/>
      <c r="L51" s="3"/>
      <c r="M51" s="3"/>
      <c r="N51" s="3"/>
      <c r="O51" s="3"/>
      <c r="P51" s="6"/>
    </row>
    <row r="52" spans="1:16" ht="44.25" customHeight="1">
      <c r="A52" s="73" t="s">
        <v>75</v>
      </c>
      <c r="B52" s="39">
        <f>C52+D52+E52+F52+G52+H52</f>
        <v>39623.3</v>
      </c>
      <c r="C52" s="39">
        <v>19561</v>
      </c>
      <c r="D52" s="40">
        <v>20062.3</v>
      </c>
      <c r="E52" s="40"/>
      <c r="F52" s="40"/>
      <c r="G52" s="40"/>
      <c r="H52" s="40"/>
      <c r="I52" s="10">
        <f>J52+K52+L52+M52+N52+O52</f>
        <v>0</v>
      </c>
      <c r="J52" s="10"/>
      <c r="K52" s="3"/>
      <c r="L52" s="3"/>
      <c r="M52" s="3"/>
      <c r="N52" s="3"/>
      <c r="O52" s="3"/>
      <c r="P52" s="6"/>
    </row>
    <row r="53" spans="1:16" ht="27.75" customHeight="1">
      <c r="A53" s="48" t="s">
        <v>76</v>
      </c>
      <c r="B53" s="39">
        <f>C53+D53+E53+F53+G53+H53</f>
        <v>69194.2</v>
      </c>
      <c r="C53" s="39">
        <v>62859.4</v>
      </c>
      <c r="D53" s="40">
        <v>54.2</v>
      </c>
      <c r="E53" s="40">
        <v>112.6</v>
      </c>
      <c r="F53" s="40"/>
      <c r="G53" s="39">
        <f>6168</f>
        <v>6168</v>
      </c>
      <c r="H53" s="40"/>
      <c r="I53" s="10">
        <f>J53+K53+L53+M53+N53+O53</f>
        <v>0</v>
      </c>
      <c r="J53" s="10"/>
      <c r="K53" s="3"/>
      <c r="L53" s="3"/>
      <c r="M53" s="3"/>
      <c r="N53" s="3"/>
      <c r="O53" s="3"/>
      <c r="P53" s="6"/>
    </row>
    <row r="54" spans="1:16" ht="20.25" customHeight="1">
      <c r="A54" s="74" t="s">
        <v>77</v>
      </c>
      <c r="B54" s="39">
        <f>C54+D54+E54+F54+G54+H54</f>
        <v>927.6</v>
      </c>
      <c r="C54" s="39">
        <v>927.6</v>
      </c>
      <c r="D54" s="40"/>
      <c r="E54" s="40"/>
      <c r="F54" s="40"/>
      <c r="G54" s="40"/>
      <c r="H54" s="40"/>
      <c r="I54" s="10">
        <f>J54+K54+L54+M54+N54+O54</f>
        <v>0</v>
      </c>
      <c r="J54" s="10"/>
      <c r="K54" s="3"/>
      <c r="L54" s="3"/>
      <c r="M54" s="3"/>
      <c r="N54" s="3"/>
      <c r="O54" s="3"/>
      <c r="P54" s="6"/>
    </row>
    <row r="55" spans="1:16" ht="30.75" customHeight="1">
      <c r="A55" s="73" t="s">
        <v>78</v>
      </c>
      <c r="B55" s="39">
        <f>C55+D55+E55+F55+G55+H55</f>
        <v>2485.9</v>
      </c>
      <c r="C55" s="39"/>
      <c r="D55" s="39">
        <v>1655</v>
      </c>
      <c r="E55" s="39"/>
      <c r="F55" s="39">
        <v>40</v>
      </c>
      <c r="G55" s="39"/>
      <c r="H55" s="39">
        <v>790.9</v>
      </c>
      <c r="I55" s="10">
        <f>J55+K55+L55+M55+N55+O55</f>
        <v>0</v>
      </c>
      <c r="J55" s="10"/>
      <c r="K55" s="3"/>
      <c r="L55" s="3"/>
      <c r="M55" s="3"/>
      <c r="N55" s="3"/>
      <c r="O55" s="3"/>
      <c r="P55" s="6"/>
    </row>
    <row r="56" spans="1:16" ht="21.75" customHeight="1">
      <c r="A56" s="75" t="s">
        <v>79</v>
      </c>
      <c r="B56" s="39">
        <f t="shared" si="3"/>
        <v>0</v>
      </c>
      <c r="C56" s="39"/>
      <c r="D56" s="39">
        <f>12572.6-12572.6</f>
        <v>0</v>
      </c>
      <c r="E56" s="39"/>
      <c r="F56" s="39"/>
      <c r="G56" s="39"/>
      <c r="H56" s="39"/>
      <c r="I56" s="10">
        <f t="shared" si="4"/>
        <v>0</v>
      </c>
      <c r="J56" s="3"/>
      <c r="K56" s="3"/>
      <c r="L56" s="3"/>
      <c r="M56" s="3"/>
      <c r="N56" s="3"/>
      <c r="O56" s="3"/>
      <c r="P56" s="6"/>
    </row>
    <row r="57" spans="1:16" ht="30.75" customHeight="1">
      <c r="A57" s="48" t="s">
        <v>80</v>
      </c>
      <c r="B57" s="39">
        <f t="shared" si="3"/>
        <v>377.2</v>
      </c>
      <c r="C57" s="39"/>
      <c r="D57" s="39">
        <f>5517.4-5517.4</f>
        <v>0</v>
      </c>
      <c r="E57" s="40"/>
      <c r="F57" s="40"/>
      <c r="G57" s="40"/>
      <c r="H57" s="40">
        <v>377.2</v>
      </c>
      <c r="I57" s="10">
        <f t="shared" si="4"/>
        <v>0</v>
      </c>
      <c r="J57" s="8"/>
      <c r="K57" s="3"/>
      <c r="L57" s="3"/>
      <c r="M57" s="3"/>
      <c r="N57" s="3"/>
      <c r="O57" s="3"/>
      <c r="P57" s="6"/>
    </row>
    <row r="58" spans="1:16" ht="42" customHeight="1">
      <c r="A58" s="15" t="s">
        <v>62</v>
      </c>
      <c r="B58" s="12"/>
      <c r="C58" s="12"/>
      <c r="D58" s="17"/>
      <c r="E58" s="17"/>
      <c r="F58" s="17"/>
      <c r="G58" s="17"/>
      <c r="H58" s="17"/>
      <c r="I58" s="12"/>
      <c r="J58" s="17"/>
      <c r="K58" s="17"/>
      <c r="L58" s="17"/>
      <c r="M58" s="17"/>
      <c r="N58" s="17"/>
      <c r="O58" s="17"/>
      <c r="P58" s="17"/>
    </row>
    <row r="59" spans="1:16" ht="42.75" customHeight="1">
      <c r="A59" s="6" t="s">
        <v>81</v>
      </c>
      <c r="B59" s="10">
        <f t="shared" si="3"/>
        <v>0</v>
      </c>
      <c r="C59" s="10">
        <v>0</v>
      </c>
      <c r="D59" s="8"/>
      <c r="E59" s="8"/>
      <c r="F59" s="8"/>
      <c r="G59" s="8"/>
      <c r="H59" s="8"/>
      <c r="I59" s="10">
        <f t="shared" si="4"/>
        <v>0</v>
      </c>
      <c r="J59" s="8"/>
      <c r="K59" s="8"/>
      <c r="L59" s="8"/>
      <c r="M59" s="8"/>
      <c r="N59" s="8"/>
      <c r="O59" s="8"/>
      <c r="P59" s="60"/>
    </row>
    <row r="60" spans="1:16" ht="51" customHeight="1">
      <c r="A60" s="15" t="s">
        <v>82</v>
      </c>
      <c r="B60" s="11">
        <f t="shared" si="3"/>
        <v>0</v>
      </c>
      <c r="C60" s="12"/>
      <c r="D60" s="17"/>
      <c r="E60" s="17"/>
      <c r="F60" s="17"/>
      <c r="G60" s="17"/>
      <c r="H60" s="17"/>
      <c r="I60" s="11">
        <f t="shared" si="4"/>
        <v>0</v>
      </c>
      <c r="J60" s="17"/>
      <c r="K60" s="17"/>
      <c r="L60" s="17"/>
      <c r="M60" s="17"/>
      <c r="N60" s="17"/>
      <c r="O60" s="17"/>
      <c r="P60" s="62"/>
    </row>
    <row r="61" spans="1:16" ht="68.25" customHeight="1">
      <c r="A61" s="6" t="s">
        <v>84</v>
      </c>
      <c r="B61" s="10">
        <f t="shared" si="3"/>
        <v>0</v>
      </c>
      <c r="C61" s="10">
        <v>0</v>
      </c>
      <c r="D61" s="8"/>
      <c r="E61" s="8"/>
      <c r="F61" s="8"/>
      <c r="G61" s="8"/>
      <c r="H61" s="8"/>
      <c r="I61" s="10">
        <f t="shared" si="4"/>
        <v>0</v>
      </c>
      <c r="J61" s="8"/>
      <c r="K61" s="8"/>
      <c r="L61" s="8"/>
      <c r="M61" s="8"/>
      <c r="N61" s="8"/>
      <c r="O61" s="8"/>
      <c r="P61" s="60"/>
    </row>
    <row r="62" spans="1:16" ht="50.25" customHeight="1">
      <c r="A62" s="61" t="s">
        <v>85</v>
      </c>
      <c r="B62" s="11"/>
      <c r="C62" s="12"/>
      <c r="D62" s="17"/>
      <c r="E62" s="17"/>
      <c r="F62" s="17"/>
      <c r="G62" s="17"/>
      <c r="H62" s="17"/>
      <c r="I62" s="11"/>
      <c r="J62" s="17"/>
      <c r="K62" s="17"/>
      <c r="L62" s="17"/>
      <c r="M62" s="17"/>
      <c r="N62" s="17"/>
      <c r="O62" s="17"/>
      <c r="P62" s="58"/>
    </row>
    <row r="63" spans="1:16" ht="28.5">
      <c r="A63" s="63" t="s">
        <v>83</v>
      </c>
      <c r="B63" s="10">
        <f t="shared" si="3"/>
        <v>0</v>
      </c>
      <c r="C63" s="10">
        <v>0</v>
      </c>
      <c r="D63" s="10"/>
      <c r="E63" s="10"/>
      <c r="F63" s="10"/>
      <c r="G63" s="10"/>
      <c r="H63" s="10"/>
      <c r="I63" s="10">
        <f t="shared" si="4"/>
        <v>0</v>
      </c>
      <c r="J63" s="10"/>
      <c r="K63" s="10"/>
      <c r="L63" s="10"/>
      <c r="M63" s="10"/>
      <c r="N63" s="10"/>
      <c r="O63" s="10"/>
      <c r="P63" s="60"/>
    </row>
    <row r="64" spans="1:16" ht="38.25">
      <c r="A64" s="65" t="s">
        <v>86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64"/>
    </row>
    <row r="65" spans="1:16" ht="38.25">
      <c r="A65" s="7" t="s">
        <v>87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60"/>
    </row>
    <row r="66" spans="1:16" ht="26.25">
      <c r="A66" s="6" t="s">
        <v>88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60"/>
    </row>
    <row r="67" spans="1:16" ht="31.5" customHeight="1">
      <c r="A67" s="6" t="s">
        <v>89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60"/>
    </row>
    <row r="68" spans="1:16" ht="26.25">
      <c r="A68" s="6" t="s">
        <v>90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60"/>
    </row>
    <row r="69" spans="1:18" ht="20.25" customHeight="1">
      <c r="A69" s="25" t="s">
        <v>13</v>
      </c>
      <c r="B69" s="27">
        <f>C69+D69+E69+F69+G69+H69</f>
        <v>750881.2</v>
      </c>
      <c r="C69" s="27">
        <f aca="true" t="shared" si="5" ref="C69:O69">SUM(C50:C63)</f>
        <v>247230</v>
      </c>
      <c r="D69" s="26">
        <f t="shared" si="5"/>
        <v>24539.3</v>
      </c>
      <c r="E69" s="27">
        <f t="shared" si="5"/>
        <v>112.6</v>
      </c>
      <c r="F69" s="27">
        <f t="shared" si="5"/>
        <v>40</v>
      </c>
      <c r="G69" s="27">
        <f t="shared" si="5"/>
        <v>477791.2</v>
      </c>
      <c r="H69" s="26">
        <f t="shared" si="5"/>
        <v>1168.1</v>
      </c>
      <c r="I69" s="26">
        <f t="shared" si="5"/>
        <v>0</v>
      </c>
      <c r="J69" s="26">
        <f t="shared" si="5"/>
        <v>0</v>
      </c>
      <c r="K69" s="26">
        <f t="shared" si="5"/>
        <v>0</v>
      </c>
      <c r="L69" s="26">
        <f t="shared" si="5"/>
        <v>0</v>
      </c>
      <c r="M69" s="26">
        <f t="shared" si="5"/>
        <v>0</v>
      </c>
      <c r="N69" s="26">
        <f t="shared" si="5"/>
        <v>0</v>
      </c>
      <c r="O69" s="26">
        <f t="shared" si="5"/>
        <v>0</v>
      </c>
      <c r="P69" s="36">
        <f>I69/B69*100</f>
        <v>0</v>
      </c>
      <c r="Q69" s="87">
        <f>C69+E69+G69</f>
        <v>725133.8</v>
      </c>
      <c r="R69" s="87">
        <f>D69+F69+H69</f>
        <v>25747.399999999998</v>
      </c>
    </row>
    <row r="70" spans="1:16" ht="15">
      <c r="A70" s="117" t="s">
        <v>91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</row>
    <row r="71" spans="1:16" ht="25.5">
      <c r="A71" s="21" t="s">
        <v>14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26.25">
      <c r="A72" s="9" t="s">
        <v>92</v>
      </c>
      <c r="B72" s="39">
        <f>C72+D72+E72+F72+G72+H72</f>
        <v>0</v>
      </c>
      <c r="C72" s="39"/>
      <c r="D72" s="39"/>
      <c r="E72" s="39"/>
      <c r="F72" s="39"/>
      <c r="G72" s="39"/>
      <c r="H72" s="39"/>
      <c r="I72" s="39">
        <f>J72+K72+L72+M72+N72+O72</f>
        <v>0</v>
      </c>
      <c r="J72" s="39"/>
      <c r="K72" s="39"/>
      <c r="L72" s="39"/>
      <c r="M72" s="39"/>
      <c r="N72" s="39"/>
      <c r="O72" s="39"/>
      <c r="P72" s="6"/>
    </row>
    <row r="73" spans="1:16" ht="30.75" customHeight="1">
      <c r="A73" s="9" t="s">
        <v>93</v>
      </c>
      <c r="B73" s="39">
        <f>C73+D73+E73+F73+G73+H73</f>
        <v>0</v>
      </c>
      <c r="C73" s="39"/>
      <c r="D73" s="39"/>
      <c r="E73" s="39"/>
      <c r="F73" s="39"/>
      <c r="G73" s="39"/>
      <c r="H73" s="39"/>
      <c r="I73" s="39">
        <f>J73+K73+L73+M73+N73+O73</f>
        <v>0</v>
      </c>
      <c r="J73" s="39"/>
      <c r="K73" s="39"/>
      <c r="L73" s="39"/>
      <c r="M73" s="39"/>
      <c r="N73" s="39"/>
      <c r="O73" s="39"/>
      <c r="P73" s="48"/>
    </row>
    <row r="74" spans="1:16" ht="15">
      <c r="A74" s="25" t="s">
        <v>15</v>
      </c>
      <c r="B74" s="27">
        <f>SUM(B72:B73)</f>
        <v>0</v>
      </c>
      <c r="C74" s="27">
        <f aca="true" t="shared" si="6" ref="C74:O74">SUM(C72:C73)</f>
        <v>0</v>
      </c>
      <c r="D74" s="27">
        <f t="shared" si="6"/>
        <v>0</v>
      </c>
      <c r="E74" s="27">
        <f t="shared" si="6"/>
        <v>0</v>
      </c>
      <c r="F74" s="27">
        <f t="shared" si="6"/>
        <v>0</v>
      </c>
      <c r="G74" s="27">
        <f t="shared" si="6"/>
        <v>0</v>
      </c>
      <c r="H74" s="27">
        <f t="shared" si="6"/>
        <v>0</v>
      </c>
      <c r="I74" s="27">
        <f t="shared" si="6"/>
        <v>0</v>
      </c>
      <c r="J74" s="27">
        <f t="shared" si="6"/>
        <v>0</v>
      </c>
      <c r="K74" s="27">
        <f t="shared" si="6"/>
        <v>0</v>
      </c>
      <c r="L74" s="27">
        <f t="shared" si="6"/>
        <v>0</v>
      </c>
      <c r="M74" s="27">
        <f t="shared" si="6"/>
        <v>0</v>
      </c>
      <c r="N74" s="27">
        <f t="shared" si="6"/>
        <v>0</v>
      </c>
      <c r="O74" s="27">
        <f t="shared" si="6"/>
        <v>0</v>
      </c>
      <c r="P74" s="25"/>
    </row>
    <row r="75" spans="1:16" ht="15.75">
      <c r="A75" s="116" t="s">
        <v>94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</row>
    <row r="76" spans="1:16" ht="26.25">
      <c r="A76" s="67" t="s">
        <v>100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</row>
    <row r="77" spans="1:16" ht="27.75" customHeight="1">
      <c r="A77" s="9" t="s">
        <v>95</v>
      </c>
      <c r="B77" s="10">
        <f aca="true" t="shared" si="7" ref="B77:B83">C77+D77+E77+F77+G77+H77</f>
        <v>26334</v>
      </c>
      <c r="C77" s="10">
        <v>10769.5</v>
      </c>
      <c r="D77" s="10"/>
      <c r="E77" s="10"/>
      <c r="F77" s="10"/>
      <c r="G77" s="10">
        <v>15564.5</v>
      </c>
      <c r="H77" s="10"/>
      <c r="I77" s="10">
        <f aca="true" t="shared" si="8" ref="I77:I83">J77+K77+L77+M77+N77+O77</f>
        <v>0</v>
      </c>
      <c r="J77" s="10"/>
      <c r="K77" s="10"/>
      <c r="L77" s="10"/>
      <c r="M77" s="10"/>
      <c r="N77" s="10"/>
      <c r="O77" s="10"/>
      <c r="P77" s="6"/>
    </row>
    <row r="78" spans="1:16" ht="26.25">
      <c r="A78" s="9" t="s">
        <v>96</v>
      </c>
      <c r="B78" s="10">
        <f t="shared" si="7"/>
        <v>1165.8</v>
      </c>
      <c r="C78" s="10">
        <v>1165.8</v>
      </c>
      <c r="D78" s="10"/>
      <c r="E78" s="10"/>
      <c r="F78" s="10"/>
      <c r="G78" s="10"/>
      <c r="H78" s="10"/>
      <c r="I78" s="10">
        <f t="shared" si="8"/>
        <v>0</v>
      </c>
      <c r="J78" s="10"/>
      <c r="K78" s="10"/>
      <c r="L78" s="10"/>
      <c r="M78" s="10"/>
      <c r="N78" s="10"/>
      <c r="O78" s="10"/>
      <c r="P78" s="6"/>
    </row>
    <row r="79" spans="1:16" ht="26.25">
      <c r="A79" s="9" t="s">
        <v>97</v>
      </c>
      <c r="B79" s="10">
        <f t="shared" si="7"/>
        <v>1850</v>
      </c>
      <c r="C79" s="10">
        <f>1700+150</f>
        <v>1850</v>
      </c>
      <c r="D79" s="10"/>
      <c r="E79" s="10"/>
      <c r="F79" s="10"/>
      <c r="G79" s="10"/>
      <c r="H79" s="10"/>
      <c r="I79" s="10">
        <f t="shared" si="8"/>
        <v>0</v>
      </c>
      <c r="J79" s="10"/>
      <c r="K79" s="10"/>
      <c r="L79" s="10"/>
      <c r="M79" s="10"/>
      <c r="N79" s="10"/>
      <c r="O79" s="10"/>
      <c r="P79" s="3"/>
    </row>
    <row r="80" spans="1:16" ht="15">
      <c r="A80" s="59" t="s">
        <v>58</v>
      </c>
      <c r="B80" s="10">
        <f t="shared" si="7"/>
        <v>5.2</v>
      </c>
      <c r="C80" s="10">
        <v>5.2</v>
      </c>
      <c r="D80" s="10"/>
      <c r="E80" s="10"/>
      <c r="F80" s="10"/>
      <c r="G80" s="10"/>
      <c r="H80" s="10"/>
      <c r="I80" s="10">
        <f t="shared" si="8"/>
        <v>0</v>
      </c>
      <c r="J80" s="10"/>
      <c r="K80" s="10"/>
      <c r="L80" s="10"/>
      <c r="M80" s="10"/>
      <c r="N80" s="10"/>
      <c r="O80" s="10"/>
      <c r="P80" s="3"/>
    </row>
    <row r="81" spans="1:16" ht="26.25">
      <c r="A81" s="73" t="s">
        <v>59</v>
      </c>
      <c r="B81" s="39">
        <f t="shared" si="7"/>
        <v>250</v>
      </c>
      <c r="C81" s="39"/>
      <c r="D81" s="39">
        <v>250</v>
      </c>
      <c r="E81" s="10"/>
      <c r="F81" s="10"/>
      <c r="G81" s="10"/>
      <c r="H81" s="10"/>
      <c r="I81" s="10">
        <f t="shared" si="8"/>
        <v>0</v>
      </c>
      <c r="J81" s="10"/>
      <c r="K81" s="10"/>
      <c r="L81" s="10"/>
      <c r="M81" s="10"/>
      <c r="N81" s="10"/>
      <c r="O81" s="10"/>
      <c r="P81" s="3"/>
    </row>
    <row r="82" spans="1:16" ht="15">
      <c r="A82" s="75" t="s">
        <v>98</v>
      </c>
      <c r="B82" s="39">
        <f t="shared" si="7"/>
        <v>0</v>
      </c>
      <c r="C82" s="39"/>
      <c r="D82" s="39">
        <f>150-150</f>
        <v>0</v>
      </c>
      <c r="E82" s="10"/>
      <c r="F82" s="10"/>
      <c r="G82" s="10"/>
      <c r="H82" s="10"/>
      <c r="I82" s="10">
        <f t="shared" si="8"/>
        <v>0</v>
      </c>
      <c r="J82" s="10"/>
      <c r="K82" s="10"/>
      <c r="L82" s="10"/>
      <c r="M82" s="10"/>
      <c r="N82" s="10"/>
      <c r="O82" s="10"/>
      <c r="P82" s="3"/>
    </row>
    <row r="83" spans="1:16" ht="15">
      <c r="A83" s="5" t="s">
        <v>99</v>
      </c>
      <c r="B83" s="10">
        <f t="shared" si="7"/>
        <v>0</v>
      </c>
      <c r="C83" s="10"/>
      <c r="D83" s="10"/>
      <c r="E83" s="10"/>
      <c r="F83" s="10"/>
      <c r="G83" s="10"/>
      <c r="H83" s="10"/>
      <c r="I83" s="10">
        <f t="shared" si="8"/>
        <v>0</v>
      </c>
      <c r="J83" s="10"/>
      <c r="K83" s="10"/>
      <c r="L83" s="10"/>
      <c r="M83" s="10"/>
      <c r="N83" s="10"/>
      <c r="O83" s="10"/>
      <c r="P83" s="3"/>
    </row>
    <row r="84" spans="1:18" ht="15">
      <c r="A84" s="25" t="s">
        <v>17</v>
      </c>
      <c r="B84" s="27">
        <f>SUM(B77:B83)</f>
        <v>29605</v>
      </c>
      <c r="C84" s="27">
        <f aca="true" t="shared" si="9" ref="C84:O84">SUM(C77:C83)</f>
        <v>13790.5</v>
      </c>
      <c r="D84" s="27">
        <f t="shared" si="9"/>
        <v>250</v>
      </c>
      <c r="E84" s="27">
        <f t="shared" si="9"/>
        <v>0</v>
      </c>
      <c r="F84" s="27">
        <f t="shared" si="9"/>
        <v>0</v>
      </c>
      <c r="G84" s="27">
        <f t="shared" si="9"/>
        <v>15564.5</v>
      </c>
      <c r="H84" s="27">
        <f t="shared" si="9"/>
        <v>0</v>
      </c>
      <c r="I84" s="27">
        <f t="shared" si="9"/>
        <v>0</v>
      </c>
      <c r="J84" s="27">
        <f t="shared" si="9"/>
        <v>0</v>
      </c>
      <c r="K84" s="27">
        <f t="shared" si="9"/>
        <v>0</v>
      </c>
      <c r="L84" s="27">
        <f t="shared" si="9"/>
        <v>0</v>
      </c>
      <c r="M84" s="27">
        <f t="shared" si="9"/>
        <v>0</v>
      </c>
      <c r="N84" s="27">
        <f t="shared" si="9"/>
        <v>0</v>
      </c>
      <c r="O84" s="27">
        <f t="shared" si="9"/>
        <v>0</v>
      </c>
      <c r="P84" s="36">
        <f>I84/B84*100</f>
        <v>0</v>
      </c>
      <c r="Q84" s="87">
        <f>C84+E84+G84</f>
        <v>29355</v>
      </c>
      <c r="R84" s="87">
        <f>D84+F84+H84</f>
        <v>250</v>
      </c>
    </row>
    <row r="85" spans="1:16" ht="15.75">
      <c r="A85" s="116" t="s">
        <v>101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</row>
    <row r="86" spans="1:16" ht="15">
      <c r="A86" s="15" t="s">
        <v>102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26.25">
      <c r="A87" s="9" t="s">
        <v>103</v>
      </c>
      <c r="B87" s="39">
        <f aca="true" t="shared" si="10" ref="B87:B92">C87+D87+E87+F87+G87+H87</f>
        <v>31470.9</v>
      </c>
      <c r="C87" s="40">
        <v>31470.9</v>
      </c>
      <c r="D87" s="39"/>
      <c r="E87" s="39"/>
      <c r="F87" s="39"/>
      <c r="G87" s="39"/>
      <c r="H87" s="39"/>
      <c r="I87" s="39">
        <f aca="true" t="shared" si="11" ref="I87:I92">J87+K87+L87+M87+N87+O87</f>
        <v>0</v>
      </c>
      <c r="J87" s="39"/>
      <c r="K87" s="39"/>
      <c r="L87" s="39"/>
      <c r="M87" s="39"/>
      <c r="N87" s="39"/>
      <c r="O87" s="39"/>
      <c r="P87" s="6"/>
    </row>
    <row r="88" spans="1:16" ht="26.25">
      <c r="A88" s="9" t="s">
        <v>104</v>
      </c>
      <c r="B88" s="39">
        <f t="shared" si="10"/>
        <v>4463.7</v>
      </c>
      <c r="C88" s="40">
        <v>4463.7</v>
      </c>
      <c r="D88" s="39"/>
      <c r="E88" s="39"/>
      <c r="F88" s="39"/>
      <c r="G88" s="39"/>
      <c r="H88" s="39"/>
      <c r="I88" s="39">
        <f t="shared" si="11"/>
        <v>0</v>
      </c>
      <c r="J88" s="39"/>
      <c r="K88" s="39"/>
      <c r="L88" s="39"/>
      <c r="M88" s="39"/>
      <c r="N88" s="39"/>
      <c r="O88" s="39"/>
      <c r="P88" s="6"/>
    </row>
    <row r="89" spans="1:16" ht="15">
      <c r="A89" s="59" t="s">
        <v>105</v>
      </c>
      <c r="B89" s="39">
        <f t="shared" si="10"/>
        <v>104.7</v>
      </c>
      <c r="C89" s="39">
        <v>104.7</v>
      </c>
      <c r="D89" s="39"/>
      <c r="E89" s="39"/>
      <c r="F89" s="39"/>
      <c r="G89" s="39"/>
      <c r="H89" s="39"/>
      <c r="I89" s="39">
        <f t="shared" si="11"/>
        <v>0</v>
      </c>
      <c r="J89" s="39"/>
      <c r="K89" s="39"/>
      <c r="L89" s="39"/>
      <c r="M89" s="39"/>
      <c r="N89" s="39"/>
      <c r="O89" s="39"/>
      <c r="P89" s="6"/>
    </row>
    <row r="90" spans="1:16" ht="26.25">
      <c r="A90" s="9" t="s">
        <v>106</v>
      </c>
      <c r="B90" s="39">
        <f t="shared" si="10"/>
        <v>238.6</v>
      </c>
      <c r="C90" s="40"/>
      <c r="D90" s="40">
        <v>238.6</v>
      </c>
      <c r="E90" s="39"/>
      <c r="F90" s="39"/>
      <c r="G90" s="39"/>
      <c r="H90" s="39"/>
      <c r="I90" s="39">
        <f t="shared" si="11"/>
        <v>0</v>
      </c>
      <c r="J90" s="39"/>
      <c r="K90" s="39"/>
      <c r="L90" s="39"/>
      <c r="M90" s="39"/>
      <c r="N90" s="39"/>
      <c r="O90" s="39"/>
      <c r="P90" s="6"/>
    </row>
    <row r="91" spans="1:16" ht="15">
      <c r="A91" s="5" t="s">
        <v>107</v>
      </c>
      <c r="B91" s="39">
        <f t="shared" si="10"/>
        <v>0</v>
      </c>
      <c r="C91" s="39"/>
      <c r="D91" s="39">
        <f>600-600</f>
        <v>0</v>
      </c>
      <c r="E91" s="39"/>
      <c r="F91" s="39"/>
      <c r="G91" s="39"/>
      <c r="H91" s="39"/>
      <c r="I91" s="39">
        <f t="shared" si="11"/>
        <v>0</v>
      </c>
      <c r="J91" s="39"/>
      <c r="K91" s="39"/>
      <c r="L91" s="39"/>
      <c r="M91" s="39"/>
      <c r="N91" s="39"/>
      <c r="O91" s="39"/>
      <c r="P91" s="6"/>
    </row>
    <row r="92" spans="1:16" ht="26.25">
      <c r="A92" s="6" t="s">
        <v>108</v>
      </c>
      <c r="B92" s="39">
        <f t="shared" si="10"/>
        <v>0</v>
      </c>
      <c r="C92" s="40"/>
      <c r="D92" s="40">
        <f>500-500</f>
        <v>0</v>
      </c>
      <c r="E92" s="39"/>
      <c r="F92" s="39"/>
      <c r="G92" s="39"/>
      <c r="H92" s="39"/>
      <c r="I92" s="39">
        <f t="shared" si="11"/>
        <v>0</v>
      </c>
      <c r="J92" s="39"/>
      <c r="K92" s="39"/>
      <c r="L92" s="39"/>
      <c r="M92" s="39"/>
      <c r="N92" s="39"/>
      <c r="O92" s="39"/>
      <c r="P92" s="6"/>
    </row>
    <row r="93" spans="1:18" ht="15">
      <c r="A93" s="25" t="s">
        <v>18</v>
      </c>
      <c r="B93" s="27">
        <f aca="true" t="shared" si="12" ref="B93:O93">SUM(B87:B92)</f>
        <v>36277.899999999994</v>
      </c>
      <c r="C93" s="27">
        <f t="shared" si="12"/>
        <v>36039.299999999996</v>
      </c>
      <c r="D93" s="27">
        <f t="shared" si="12"/>
        <v>238.6</v>
      </c>
      <c r="E93" s="27">
        <f t="shared" si="12"/>
        <v>0</v>
      </c>
      <c r="F93" s="27">
        <f t="shared" si="12"/>
        <v>0</v>
      </c>
      <c r="G93" s="27">
        <f t="shared" si="12"/>
        <v>0</v>
      </c>
      <c r="H93" s="27">
        <f t="shared" si="12"/>
        <v>0</v>
      </c>
      <c r="I93" s="27">
        <f t="shared" si="12"/>
        <v>0</v>
      </c>
      <c r="J93" s="27">
        <f t="shared" si="12"/>
        <v>0</v>
      </c>
      <c r="K93" s="27">
        <f t="shared" si="12"/>
        <v>0</v>
      </c>
      <c r="L93" s="27">
        <f t="shared" si="12"/>
        <v>0</v>
      </c>
      <c r="M93" s="27">
        <f t="shared" si="12"/>
        <v>0</v>
      </c>
      <c r="N93" s="27">
        <f t="shared" si="12"/>
        <v>0</v>
      </c>
      <c r="O93" s="27">
        <f t="shared" si="12"/>
        <v>0</v>
      </c>
      <c r="P93" s="36">
        <f>I93/B93*100</f>
        <v>0</v>
      </c>
      <c r="Q93" s="87">
        <f>C93+E93+G93</f>
        <v>36039.299999999996</v>
      </c>
      <c r="R93" s="87">
        <f>D93+F93+H93</f>
        <v>238.6</v>
      </c>
    </row>
    <row r="94" spans="1:16" ht="15.75">
      <c r="A94" s="116" t="s">
        <v>109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</row>
    <row r="95" spans="1:16" ht="30" customHeight="1">
      <c r="A95" s="15" t="s">
        <v>110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64.5">
      <c r="A96" s="6" t="s">
        <v>111</v>
      </c>
      <c r="B96" s="43">
        <f>C96+D96+E96+F96+G96+H96</f>
        <v>4475</v>
      </c>
      <c r="C96" s="43">
        <v>4453</v>
      </c>
      <c r="D96" s="43">
        <v>22</v>
      </c>
      <c r="E96" s="43"/>
      <c r="F96" s="43"/>
      <c r="G96" s="43"/>
      <c r="H96" s="43"/>
      <c r="I96" s="43">
        <f>J96+K96+L96+M96+N96+O96</f>
        <v>0</v>
      </c>
      <c r="J96" s="43"/>
      <c r="K96" s="43"/>
      <c r="L96" s="43"/>
      <c r="M96" s="43"/>
      <c r="N96" s="43"/>
      <c r="O96" s="43"/>
      <c r="P96" s="6"/>
    </row>
    <row r="97" spans="1:16" ht="15">
      <c r="A97" s="25" t="s">
        <v>19</v>
      </c>
      <c r="B97" s="27">
        <f aca="true" t="shared" si="13" ref="B97:O97">SUM(B96:B96)</f>
        <v>4475</v>
      </c>
      <c r="C97" s="27">
        <f t="shared" si="13"/>
        <v>4453</v>
      </c>
      <c r="D97" s="27">
        <f t="shared" si="13"/>
        <v>22</v>
      </c>
      <c r="E97" s="27">
        <f t="shared" si="13"/>
        <v>0</v>
      </c>
      <c r="F97" s="27">
        <f t="shared" si="13"/>
        <v>0</v>
      </c>
      <c r="G97" s="27">
        <f t="shared" si="13"/>
        <v>0</v>
      </c>
      <c r="H97" s="27">
        <f t="shared" si="13"/>
        <v>0</v>
      </c>
      <c r="I97" s="27">
        <f t="shared" si="13"/>
        <v>0</v>
      </c>
      <c r="J97" s="27">
        <f t="shared" si="13"/>
        <v>0</v>
      </c>
      <c r="K97" s="27">
        <f t="shared" si="13"/>
        <v>0</v>
      </c>
      <c r="L97" s="27">
        <f t="shared" si="13"/>
        <v>0</v>
      </c>
      <c r="M97" s="27">
        <f t="shared" si="13"/>
        <v>0</v>
      </c>
      <c r="N97" s="27">
        <f t="shared" si="13"/>
        <v>0</v>
      </c>
      <c r="O97" s="27">
        <f t="shared" si="13"/>
        <v>0</v>
      </c>
      <c r="P97" s="36">
        <f>I97/B97*100</f>
        <v>0</v>
      </c>
    </row>
    <row r="98" spans="1:16" ht="15.75">
      <c r="A98" s="116" t="s">
        <v>112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</row>
    <row r="99" spans="1:16" ht="26.25">
      <c r="A99" s="15" t="s">
        <v>113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51.75">
      <c r="A100" s="6" t="s">
        <v>114</v>
      </c>
      <c r="B100" s="13">
        <f>C100+D100+E100+F100+G100+H100</f>
        <v>641.1999999999999</v>
      </c>
      <c r="C100" s="43">
        <v>616.4</v>
      </c>
      <c r="D100" s="43">
        <v>24.8</v>
      </c>
      <c r="E100" s="13"/>
      <c r="F100" s="13"/>
      <c r="G100" s="13"/>
      <c r="H100" s="13"/>
      <c r="I100" s="13">
        <f>J100+K100+L100+M100+N100+O100</f>
        <v>0</v>
      </c>
      <c r="J100" s="13"/>
      <c r="K100" s="13"/>
      <c r="L100" s="13"/>
      <c r="M100" s="13"/>
      <c r="N100" s="13"/>
      <c r="O100" s="13"/>
      <c r="P100" s="8"/>
    </row>
    <row r="101" spans="1:18" ht="15">
      <c r="A101" s="25" t="s">
        <v>20</v>
      </c>
      <c r="B101" s="27">
        <f aca="true" t="shared" si="14" ref="B101:O101">SUM(B100:B100)</f>
        <v>641.1999999999999</v>
      </c>
      <c r="C101" s="27">
        <f t="shared" si="14"/>
        <v>616.4</v>
      </c>
      <c r="D101" s="27">
        <f t="shared" si="14"/>
        <v>24.8</v>
      </c>
      <c r="E101" s="27">
        <f t="shared" si="14"/>
        <v>0</v>
      </c>
      <c r="F101" s="27">
        <f t="shared" si="14"/>
        <v>0</v>
      </c>
      <c r="G101" s="27">
        <f t="shared" si="14"/>
        <v>0</v>
      </c>
      <c r="H101" s="27">
        <f t="shared" si="14"/>
        <v>0</v>
      </c>
      <c r="I101" s="27">
        <f t="shared" si="14"/>
        <v>0</v>
      </c>
      <c r="J101" s="27">
        <f t="shared" si="14"/>
        <v>0</v>
      </c>
      <c r="K101" s="27">
        <f t="shared" si="14"/>
        <v>0</v>
      </c>
      <c r="L101" s="27">
        <f t="shared" si="14"/>
        <v>0</v>
      </c>
      <c r="M101" s="27">
        <f t="shared" si="14"/>
        <v>0</v>
      </c>
      <c r="N101" s="27">
        <f t="shared" si="14"/>
        <v>0</v>
      </c>
      <c r="O101" s="27">
        <f t="shared" si="14"/>
        <v>0</v>
      </c>
      <c r="P101" s="36">
        <f>I101/B101*100</f>
        <v>0</v>
      </c>
      <c r="Q101" s="87">
        <f>C101+E101+G101</f>
        <v>616.4</v>
      </c>
      <c r="R101" s="87">
        <f>D101+F101+H101</f>
        <v>24.8</v>
      </c>
    </row>
    <row r="102" spans="1:16" ht="15.75">
      <c r="A102" s="116" t="s">
        <v>115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</row>
    <row r="103" spans="1:16" ht="25.5">
      <c r="A103" s="19" t="s">
        <v>113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39">
      <c r="A104" s="57" t="s">
        <v>116</v>
      </c>
      <c r="B104" s="43">
        <f>C104+D104+E104+F104+G104+H104</f>
        <v>0</v>
      </c>
      <c r="C104" s="43"/>
      <c r="D104" s="43"/>
      <c r="E104" s="43"/>
      <c r="F104" s="43"/>
      <c r="G104" s="43"/>
      <c r="H104" s="43"/>
      <c r="I104" s="43">
        <f>J104+K104+L104+M104+N104+O104</f>
        <v>0</v>
      </c>
      <c r="J104" s="43"/>
      <c r="K104" s="43"/>
      <c r="L104" s="43"/>
      <c r="M104" s="43"/>
      <c r="N104" s="43"/>
      <c r="O104" s="43"/>
      <c r="P104" s="44"/>
    </row>
    <row r="105" spans="1:16" ht="15">
      <c r="A105" s="25" t="s">
        <v>21</v>
      </c>
      <c r="B105" s="27">
        <f aca="true" t="shared" si="15" ref="B105:O105">SUM(B104:B104)</f>
        <v>0</v>
      </c>
      <c r="C105" s="27">
        <f t="shared" si="15"/>
        <v>0</v>
      </c>
      <c r="D105" s="27">
        <f t="shared" si="15"/>
        <v>0</v>
      </c>
      <c r="E105" s="27">
        <f t="shared" si="15"/>
        <v>0</v>
      </c>
      <c r="F105" s="27">
        <f t="shared" si="15"/>
        <v>0</v>
      </c>
      <c r="G105" s="27">
        <f t="shared" si="15"/>
        <v>0</v>
      </c>
      <c r="H105" s="27">
        <f t="shared" si="15"/>
        <v>0</v>
      </c>
      <c r="I105" s="27">
        <f t="shared" si="15"/>
        <v>0</v>
      </c>
      <c r="J105" s="27">
        <f t="shared" si="15"/>
        <v>0</v>
      </c>
      <c r="K105" s="27">
        <f t="shared" si="15"/>
        <v>0</v>
      </c>
      <c r="L105" s="27">
        <f t="shared" si="15"/>
        <v>0</v>
      </c>
      <c r="M105" s="27">
        <f t="shared" si="15"/>
        <v>0</v>
      </c>
      <c r="N105" s="27">
        <f t="shared" si="15"/>
        <v>0</v>
      </c>
      <c r="O105" s="27">
        <f t="shared" si="15"/>
        <v>0</v>
      </c>
      <c r="P105" s="36" t="e">
        <f>I105/B105*100</f>
        <v>#DIV/0!</v>
      </c>
    </row>
    <row r="106" spans="1:16" ht="15.75">
      <c r="A106" s="116" t="s">
        <v>117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</row>
    <row r="107" spans="1:16" ht="51.75" customHeight="1">
      <c r="A107" s="18" t="s">
        <v>118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26.25">
      <c r="A108" s="6" t="s">
        <v>119</v>
      </c>
      <c r="B108" s="41">
        <f>C108+D108+E108+F108+G108+H108</f>
        <v>90</v>
      </c>
      <c r="C108" s="41">
        <v>90</v>
      </c>
      <c r="D108" s="41"/>
      <c r="E108" s="41"/>
      <c r="F108" s="41"/>
      <c r="G108" s="68"/>
      <c r="H108" s="41"/>
      <c r="I108" s="43">
        <f>J108+K108+L108+M108+N108+O108</f>
        <v>0</v>
      </c>
      <c r="J108" s="43"/>
      <c r="K108" s="43"/>
      <c r="L108" s="43"/>
      <c r="M108" s="41"/>
      <c r="N108" s="41"/>
      <c r="O108" s="41"/>
      <c r="P108" s="45"/>
    </row>
    <row r="109" spans="1:16" ht="23.25" customHeight="1">
      <c r="A109" s="49" t="s">
        <v>16</v>
      </c>
      <c r="B109" s="41">
        <f>C109+D109+E109+F109+G109+H109</f>
        <v>23</v>
      </c>
      <c r="C109" s="42">
        <v>23</v>
      </c>
      <c r="D109" s="41"/>
      <c r="E109" s="41"/>
      <c r="F109" s="41"/>
      <c r="G109" s="41"/>
      <c r="H109" s="41"/>
      <c r="I109" s="41">
        <f>J109+K109+L109+M109+N109+O109</f>
        <v>0</v>
      </c>
      <c r="J109" s="41"/>
      <c r="K109" s="41"/>
      <c r="L109" s="41"/>
      <c r="M109" s="41"/>
      <c r="N109" s="41"/>
      <c r="O109" s="41"/>
      <c r="P109" s="45"/>
    </row>
    <row r="110" spans="1:16" ht="15">
      <c r="A110" s="25" t="s">
        <v>22</v>
      </c>
      <c r="B110" s="27">
        <f aca="true" t="shared" si="16" ref="B110:O110">SUM(B107:B109)</f>
        <v>113</v>
      </c>
      <c r="C110" s="27">
        <f t="shared" si="16"/>
        <v>113</v>
      </c>
      <c r="D110" s="27">
        <f t="shared" si="16"/>
        <v>0</v>
      </c>
      <c r="E110" s="27">
        <f t="shared" si="16"/>
        <v>0</v>
      </c>
      <c r="F110" s="27">
        <f t="shared" si="16"/>
        <v>0</v>
      </c>
      <c r="G110" s="27">
        <f t="shared" si="16"/>
        <v>0</v>
      </c>
      <c r="H110" s="27">
        <f t="shared" si="16"/>
        <v>0</v>
      </c>
      <c r="I110" s="27">
        <f t="shared" si="16"/>
        <v>0</v>
      </c>
      <c r="J110" s="27">
        <f t="shared" si="16"/>
        <v>0</v>
      </c>
      <c r="K110" s="27">
        <f t="shared" si="16"/>
        <v>0</v>
      </c>
      <c r="L110" s="27">
        <f t="shared" si="16"/>
        <v>0</v>
      </c>
      <c r="M110" s="27">
        <f t="shared" si="16"/>
        <v>0</v>
      </c>
      <c r="N110" s="27">
        <f t="shared" si="16"/>
        <v>0</v>
      </c>
      <c r="O110" s="27">
        <f t="shared" si="16"/>
        <v>0</v>
      </c>
      <c r="P110" s="36">
        <f>I110/B110*100</f>
        <v>0</v>
      </c>
    </row>
    <row r="111" spans="1:16" ht="15.75">
      <c r="A111" s="116" t="s">
        <v>120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1:16" ht="26.25">
      <c r="A112" s="15" t="s">
        <v>121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ht="26.25">
      <c r="A113" s="6" t="s">
        <v>122</v>
      </c>
      <c r="B113" s="13">
        <f aca="true" t="shared" si="17" ref="B113:B118">C113+D113+E113+F113+G113+H113</f>
        <v>3843</v>
      </c>
      <c r="C113" s="13">
        <v>3843</v>
      </c>
      <c r="D113" s="13"/>
      <c r="E113" s="13"/>
      <c r="F113" s="13"/>
      <c r="G113" s="13"/>
      <c r="H113" s="13"/>
      <c r="I113" s="13">
        <f aca="true" t="shared" si="18" ref="I113:I118">J113+K113+L113+M113+N113+O113</f>
        <v>0</v>
      </c>
      <c r="J113" s="13"/>
      <c r="K113" s="13"/>
      <c r="L113" s="13"/>
      <c r="M113" s="13"/>
      <c r="N113" s="13"/>
      <c r="O113" s="13"/>
      <c r="P113" s="3"/>
    </row>
    <row r="114" spans="1:16" ht="30.75" customHeight="1">
      <c r="A114" s="9" t="s">
        <v>123</v>
      </c>
      <c r="B114" s="13">
        <f t="shared" si="17"/>
        <v>957.7</v>
      </c>
      <c r="C114" s="13">
        <v>957.7</v>
      </c>
      <c r="D114" s="13"/>
      <c r="E114" s="13"/>
      <c r="F114" s="13"/>
      <c r="G114" s="13"/>
      <c r="H114" s="13"/>
      <c r="I114" s="13">
        <f t="shared" si="18"/>
        <v>0</v>
      </c>
      <c r="J114" s="13"/>
      <c r="K114" s="13"/>
      <c r="L114" s="13"/>
      <c r="M114" s="13"/>
      <c r="N114" s="13"/>
      <c r="O114" s="13"/>
      <c r="P114" s="3"/>
    </row>
    <row r="115" spans="1:16" ht="26.25">
      <c r="A115" s="9" t="s">
        <v>124</v>
      </c>
      <c r="B115" s="13">
        <f t="shared" si="17"/>
        <v>65</v>
      </c>
      <c r="C115" s="13">
        <v>65</v>
      </c>
      <c r="D115" s="13"/>
      <c r="E115" s="13"/>
      <c r="F115" s="13"/>
      <c r="G115" s="13"/>
      <c r="H115" s="13"/>
      <c r="I115" s="13">
        <f t="shared" si="18"/>
        <v>0</v>
      </c>
      <c r="J115" s="13"/>
      <c r="K115" s="13"/>
      <c r="L115" s="13"/>
      <c r="M115" s="13"/>
      <c r="N115" s="13"/>
      <c r="O115" s="13"/>
      <c r="P115" s="3"/>
    </row>
    <row r="116" spans="1:16" ht="26.25">
      <c r="A116" s="9" t="s">
        <v>125</v>
      </c>
      <c r="B116" s="13">
        <f t="shared" si="17"/>
        <v>240</v>
      </c>
      <c r="C116" s="13"/>
      <c r="D116" s="13">
        <v>240</v>
      </c>
      <c r="E116" s="13"/>
      <c r="F116" s="13"/>
      <c r="G116" s="13"/>
      <c r="H116" s="13"/>
      <c r="I116" s="13">
        <f t="shared" si="18"/>
        <v>0</v>
      </c>
      <c r="J116" s="13"/>
      <c r="K116" s="13"/>
      <c r="L116" s="13"/>
      <c r="M116" s="13"/>
      <c r="N116" s="13"/>
      <c r="O116" s="13"/>
      <c r="P116" s="3"/>
    </row>
    <row r="117" spans="1:16" ht="30.75" customHeight="1">
      <c r="A117" s="7" t="s">
        <v>126</v>
      </c>
      <c r="B117" s="13">
        <f t="shared" si="17"/>
        <v>0</v>
      </c>
      <c r="C117" s="13"/>
      <c r="D117" s="13">
        <f>215+85-300</f>
        <v>0</v>
      </c>
      <c r="E117" s="13"/>
      <c r="F117" s="13"/>
      <c r="G117" s="13"/>
      <c r="H117" s="13"/>
      <c r="I117" s="13">
        <f t="shared" si="18"/>
        <v>0</v>
      </c>
      <c r="J117" s="13"/>
      <c r="K117" s="13"/>
      <c r="L117" s="13"/>
      <c r="M117" s="13"/>
      <c r="N117" s="13"/>
      <c r="O117" s="13"/>
      <c r="P117" s="3"/>
    </row>
    <row r="118" spans="1:16" ht="26.25">
      <c r="A118" s="6" t="s">
        <v>127</v>
      </c>
      <c r="B118" s="13">
        <f t="shared" si="17"/>
        <v>0</v>
      </c>
      <c r="C118" s="13"/>
      <c r="D118" s="13">
        <f>300-300</f>
        <v>0</v>
      </c>
      <c r="E118" s="13"/>
      <c r="F118" s="13"/>
      <c r="G118" s="13"/>
      <c r="H118" s="13"/>
      <c r="I118" s="13">
        <f t="shared" si="18"/>
        <v>0</v>
      </c>
      <c r="J118" s="13"/>
      <c r="K118" s="13"/>
      <c r="L118" s="13"/>
      <c r="M118" s="13"/>
      <c r="N118" s="13"/>
      <c r="O118" s="13"/>
      <c r="P118" s="3"/>
    </row>
    <row r="119" spans="1:16" ht="15">
      <c r="A119" s="15" t="s">
        <v>128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ht="26.25">
      <c r="A120" s="56" t="s">
        <v>129</v>
      </c>
      <c r="B120" s="101">
        <f>C120+D120+E120+F120+G120+H120</f>
        <v>1862.4</v>
      </c>
      <c r="C120" s="14">
        <v>1862.4</v>
      </c>
      <c r="D120" s="13"/>
      <c r="E120" s="13"/>
      <c r="F120" s="13"/>
      <c r="G120" s="13"/>
      <c r="H120" s="13"/>
      <c r="I120" s="13">
        <f>J120+K120+L120+M120+N120+O120</f>
        <v>0</v>
      </c>
      <c r="J120" s="13"/>
      <c r="K120" s="13"/>
      <c r="L120" s="13"/>
      <c r="M120" s="13"/>
      <c r="N120" s="13"/>
      <c r="O120" s="13"/>
      <c r="P120" s="3"/>
    </row>
    <row r="121" spans="1:16" ht="26.25">
      <c r="A121" s="22" t="s">
        <v>172</v>
      </c>
      <c r="B121" s="11"/>
      <c r="C121" s="16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7"/>
    </row>
    <row r="122" spans="1:16" ht="26.25">
      <c r="A122" s="9" t="s">
        <v>173</v>
      </c>
      <c r="B122" s="101">
        <f>C122+D122+E122+F122+G122+H122</f>
        <v>2462.8</v>
      </c>
      <c r="C122" s="14">
        <v>2412.8</v>
      </c>
      <c r="D122" s="13">
        <v>50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3"/>
    </row>
    <row r="123" spans="1:16" ht="15">
      <c r="A123" s="25" t="s">
        <v>23</v>
      </c>
      <c r="B123" s="26">
        <f>SUM(B112:B122)</f>
        <v>9430.900000000001</v>
      </c>
      <c r="C123" s="26">
        <f>SUM(C112:C122)</f>
        <v>9140.900000000001</v>
      </c>
      <c r="D123" s="26">
        <f aca="true" t="shared" si="19" ref="D123:O123">SUM(D112:D122)</f>
        <v>290</v>
      </c>
      <c r="E123" s="26">
        <f t="shared" si="19"/>
        <v>0</v>
      </c>
      <c r="F123" s="26">
        <f t="shared" si="19"/>
        <v>0</v>
      </c>
      <c r="G123" s="26">
        <f t="shared" si="19"/>
        <v>0</v>
      </c>
      <c r="H123" s="26">
        <f t="shared" si="19"/>
        <v>0</v>
      </c>
      <c r="I123" s="26">
        <f t="shared" si="19"/>
        <v>0</v>
      </c>
      <c r="J123" s="26">
        <f t="shared" si="19"/>
        <v>0</v>
      </c>
      <c r="K123" s="26">
        <f t="shared" si="19"/>
        <v>0</v>
      </c>
      <c r="L123" s="26">
        <f t="shared" si="19"/>
        <v>0</v>
      </c>
      <c r="M123" s="26">
        <f t="shared" si="19"/>
        <v>0</v>
      </c>
      <c r="N123" s="26">
        <f t="shared" si="19"/>
        <v>0</v>
      </c>
      <c r="O123" s="26">
        <f t="shared" si="19"/>
        <v>0</v>
      </c>
      <c r="P123" s="36">
        <f>I123/B123*100</f>
        <v>0</v>
      </c>
    </row>
    <row r="124" spans="1:16" ht="15.75">
      <c r="A124" s="116" t="s">
        <v>24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1:16" ht="64.5">
      <c r="A125" s="22" t="s">
        <v>25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ht="25.5">
      <c r="A126" s="7" t="s">
        <v>26</v>
      </c>
      <c r="B126" s="13">
        <f>C126+D126+E126+F126+G126+H126</f>
        <v>486.9</v>
      </c>
      <c r="C126" s="14">
        <v>486.9</v>
      </c>
      <c r="D126" s="13"/>
      <c r="E126" s="13"/>
      <c r="F126" s="13"/>
      <c r="G126" s="13"/>
      <c r="H126" s="13"/>
      <c r="I126" s="13">
        <f>J126+K126+L126+M126+N126+O126</f>
        <v>0</v>
      </c>
      <c r="J126" s="14"/>
      <c r="K126" s="13"/>
      <c r="L126" s="13"/>
      <c r="M126" s="13"/>
      <c r="N126" s="13"/>
      <c r="O126" s="13"/>
      <c r="P126" s="3"/>
    </row>
    <row r="127" spans="1:16" ht="38.25">
      <c r="A127" s="23" t="s">
        <v>27</v>
      </c>
      <c r="B127" s="13">
        <f>C127+D127+E127+F127+G127+H127</f>
        <v>361.7</v>
      </c>
      <c r="C127" s="14">
        <v>361.7</v>
      </c>
      <c r="D127" s="13"/>
      <c r="E127" s="13"/>
      <c r="F127" s="13"/>
      <c r="G127" s="13"/>
      <c r="H127" s="13"/>
      <c r="I127" s="13">
        <f>J127+K127+L127+M127+N127+O127</f>
        <v>0</v>
      </c>
      <c r="J127" s="14"/>
      <c r="K127" s="13"/>
      <c r="L127" s="13"/>
      <c r="M127" s="13"/>
      <c r="N127" s="13"/>
      <c r="O127" s="13"/>
      <c r="P127" s="3"/>
    </row>
    <row r="128" spans="1:16" ht="15">
      <c r="A128" s="25" t="s">
        <v>28</v>
      </c>
      <c r="B128" s="27">
        <f>SUM(B126:B127)</f>
        <v>848.5999999999999</v>
      </c>
      <c r="C128" s="27">
        <f aca="true" t="shared" si="20" ref="C128:O128">SUM(C126:C127)</f>
        <v>848.5999999999999</v>
      </c>
      <c r="D128" s="27">
        <f t="shared" si="20"/>
        <v>0</v>
      </c>
      <c r="E128" s="27">
        <f t="shared" si="20"/>
        <v>0</v>
      </c>
      <c r="F128" s="27">
        <f t="shared" si="20"/>
        <v>0</v>
      </c>
      <c r="G128" s="27">
        <f t="shared" si="20"/>
        <v>0</v>
      </c>
      <c r="H128" s="27">
        <f t="shared" si="20"/>
        <v>0</v>
      </c>
      <c r="I128" s="27">
        <f t="shared" si="20"/>
        <v>0</v>
      </c>
      <c r="J128" s="27">
        <f t="shared" si="20"/>
        <v>0</v>
      </c>
      <c r="K128" s="27">
        <f t="shared" si="20"/>
        <v>0</v>
      </c>
      <c r="L128" s="27">
        <f t="shared" si="20"/>
        <v>0</v>
      </c>
      <c r="M128" s="27">
        <f t="shared" si="20"/>
        <v>0</v>
      </c>
      <c r="N128" s="27">
        <f t="shared" si="20"/>
        <v>0</v>
      </c>
      <c r="O128" s="27">
        <f t="shared" si="20"/>
        <v>0</v>
      </c>
      <c r="P128" s="36">
        <f>I128/B128*100</f>
        <v>0</v>
      </c>
    </row>
    <row r="129" spans="1:16" ht="15.75">
      <c r="A129" s="116" t="s">
        <v>131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1:16" ht="21" customHeight="1">
      <c r="A130" s="72" t="s">
        <v>130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1"/>
    </row>
    <row r="131" spans="1:16" ht="26.25">
      <c r="A131" s="9" t="s">
        <v>133</v>
      </c>
      <c r="B131" s="13">
        <f aca="true" t="shared" si="21" ref="B131:B137">C131+D131+E131+F131+G131+H131</f>
        <v>0</v>
      </c>
      <c r="C131" s="13"/>
      <c r="D131" s="13"/>
      <c r="E131" s="13"/>
      <c r="F131" s="13"/>
      <c r="G131" s="13"/>
      <c r="H131" s="13"/>
      <c r="I131" s="13">
        <f>J131+K131+L131+M131+N131+O131</f>
        <v>0</v>
      </c>
      <c r="J131" s="14"/>
      <c r="K131" s="13"/>
      <c r="L131" s="13"/>
      <c r="M131" s="13"/>
      <c r="N131" s="13"/>
      <c r="O131" s="13"/>
      <c r="P131" s="69"/>
    </row>
    <row r="132" spans="1:16" ht="26.25">
      <c r="A132" s="9" t="s">
        <v>134</v>
      </c>
      <c r="B132" s="13">
        <f t="shared" si="21"/>
        <v>0</v>
      </c>
      <c r="C132" s="13"/>
      <c r="D132" s="13"/>
      <c r="E132" s="13"/>
      <c r="F132" s="13"/>
      <c r="G132" s="13"/>
      <c r="H132" s="13"/>
      <c r="I132" s="13">
        <f>J132+K132+L132+M132+N132+O132</f>
        <v>0</v>
      </c>
      <c r="J132" s="14"/>
      <c r="K132" s="13"/>
      <c r="L132" s="13"/>
      <c r="M132" s="13"/>
      <c r="N132" s="13"/>
      <c r="O132" s="13"/>
      <c r="P132" s="69"/>
    </row>
    <row r="133" spans="1:16" ht="26.25">
      <c r="A133" s="9" t="s">
        <v>135</v>
      </c>
      <c r="B133" s="13">
        <f t="shared" si="21"/>
        <v>0</v>
      </c>
      <c r="C133" s="13"/>
      <c r="D133" s="13"/>
      <c r="E133" s="13"/>
      <c r="F133" s="13"/>
      <c r="G133" s="13"/>
      <c r="H133" s="13"/>
      <c r="I133" s="13">
        <f>J133+K133+L133+M133+N133+O133</f>
        <v>0</v>
      </c>
      <c r="J133" s="14"/>
      <c r="K133" s="13"/>
      <c r="L133" s="13"/>
      <c r="M133" s="13"/>
      <c r="N133" s="13"/>
      <c r="O133" s="13"/>
      <c r="P133" s="69"/>
    </row>
    <row r="134" spans="1:16" ht="15">
      <c r="A134" s="59" t="s">
        <v>136</v>
      </c>
      <c r="B134" s="13">
        <f t="shared" si="21"/>
        <v>0</v>
      </c>
      <c r="C134" s="13"/>
      <c r="D134" s="13"/>
      <c r="E134" s="13"/>
      <c r="F134" s="13"/>
      <c r="G134" s="13"/>
      <c r="H134" s="13"/>
      <c r="I134" s="13">
        <f>J134+K134+L134+M134+N134+O134</f>
        <v>0</v>
      </c>
      <c r="J134" s="14"/>
      <c r="K134" s="13"/>
      <c r="L134" s="13"/>
      <c r="M134" s="13"/>
      <c r="N134" s="13"/>
      <c r="O134" s="13"/>
      <c r="P134" s="69"/>
    </row>
    <row r="135" spans="1:16" ht="26.25">
      <c r="A135" s="9" t="s">
        <v>59</v>
      </c>
      <c r="B135" s="13">
        <f t="shared" si="21"/>
        <v>0</v>
      </c>
      <c r="C135" s="13"/>
      <c r="D135" s="13"/>
      <c r="E135" s="13"/>
      <c r="F135" s="13"/>
      <c r="G135" s="13"/>
      <c r="H135" s="13"/>
      <c r="I135" s="13">
        <f>J135+K135+L135+M135+N135+O135</f>
        <v>0</v>
      </c>
      <c r="J135" s="14"/>
      <c r="K135" s="13"/>
      <c r="L135" s="13"/>
      <c r="M135" s="13"/>
      <c r="N135" s="13"/>
      <c r="O135" s="13"/>
      <c r="P135" s="69"/>
    </row>
    <row r="136" spans="1:16" ht="15">
      <c r="A136" s="82" t="s">
        <v>151</v>
      </c>
      <c r="B136" s="13">
        <f t="shared" si="21"/>
        <v>0</v>
      </c>
      <c r="C136" s="13"/>
      <c r="D136" s="13"/>
      <c r="E136" s="13"/>
      <c r="F136" s="13"/>
      <c r="G136" s="13"/>
      <c r="H136" s="13"/>
      <c r="I136" s="13"/>
      <c r="J136" s="14"/>
      <c r="K136" s="13"/>
      <c r="L136" s="13"/>
      <c r="M136" s="13"/>
      <c r="N136" s="13"/>
      <c r="O136" s="13"/>
      <c r="P136" s="69"/>
    </row>
    <row r="137" spans="1:16" ht="57.75" customHeight="1">
      <c r="A137" s="98" t="s">
        <v>168</v>
      </c>
      <c r="B137" s="13">
        <f t="shared" si="21"/>
        <v>59300</v>
      </c>
      <c r="C137" s="13">
        <v>59300</v>
      </c>
      <c r="D137" s="13"/>
      <c r="E137" s="13"/>
      <c r="F137" s="13"/>
      <c r="G137" s="13"/>
      <c r="H137" s="13"/>
      <c r="I137" s="13"/>
      <c r="J137" s="14"/>
      <c r="K137" s="13"/>
      <c r="L137" s="13"/>
      <c r="M137" s="13"/>
      <c r="N137" s="13"/>
      <c r="O137" s="13"/>
      <c r="P137" s="69"/>
    </row>
    <row r="138" spans="1:16" ht="15" customHeight="1">
      <c r="A138" s="25" t="s">
        <v>31</v>
      </c>
      <c r="B138" s="27">
        <f aca="true" t="shared" si="22" ref="B138:O138">SUM(B131:B137)</f>
        <v>59300</v>
      </c>
      <c r="C138" s="27">
        <f t="shared" si="22"/>
        <v>59300</v>
      </c>
      <c r="D138" s="27">
        <f t="shared" si="22"/>
        <v>0</v>
      </c>
      <c r="E138" s="27">
        <f t="shared" si="22"/>
        <v>0</v>
      </c>
      <c r="F138" s="27">
        <f t="shared" si="22"/>
        <v>0</v>
      </c>
      <c r="G138" s="27">
        <f t="shared" si="22"/>
        <v>0</v>
      </c>
      <c r="H138" s="27">
        <f t="shared" si="22"/>
        <v>0</v>
      </c>
      <c r="I138" s="27">
        <f t="shared" si="22"/>
        <v>0</v>
      </c>
      <c r="J138" s="27">
        <f t="shared" si="22"/>
        <v>0</v>
      </c>
      <c r="K138" s="27">
        <f t="shared" si="22"/>
        <v>0</v>
      </c>
      <c r="L138" s="27">
        <f t="shared" si="22"/>
        <v>0</v>
      </c>
      <c r="M138" s="27">
        <f t="shared" si="22"/>
        <v>0</v>
      </c>
      <c r="N138" s="27">
        <f t="shared" si="22"/>
        <v>0</v>
      </c>
      <c r="O138" s="27">
        <f t="shared" si="22"/>
        <v>0</v>
      </c>
      <c r="P138" s="36">
        <f>I138/B138*100</f>
        <v>0</v>
      </c>
    </row>
    <row r="139" spans="1:16" ht="15.75">
      <c r="A139" s="116" t="s">
        <v>132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1:16" ht="26.25">
      <c r="A140" s="15" t="s">
        <v>29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ht="26.25">
      <c r="A141" s="46" t="s">
        <v>144</v>
      </c>
      <c r="B141" s="41">
        <f>C141+D141+E141+F141+G141+H141</f>
        <v>0</v>
      </c>
      <c r="C141" s="42"/>
      <c r="D141" s="41"/>
      <c r="E141" s="41"/>
      <c r="F141" s="41"/>
      <c r="G141" s="41"/>
      <c r="H141" s="41"/>
      <c r="I141" s="41">
        <f>J141+K141+L141+M141+N141+O141</f>
        <v>0</v>
      </c>
      <c r="J141" s="41"/>
      <c r="K141" s="41"/>
      <c r="L141" s="41"/>
      <c r="M141" s="41"/>
      <c r="N141" s="41"/>
      <c r="O141" s="41"/>
      <c r="P141" s="45"/>
    </row>
    <row r="142" spans="1:16" ht="26.25">
      <c r="A142" s="46" t="s">
        <v>166</v>
      </c>
      <c r="B142" s="41">
        <f>C142+D142+E142+F142+G142+H142</f>
        <v>0</v>
      </c>
      <c r="C142" s="42"/>
      <c r="D142" s="41"/>
      <c r="E142" s="41"/>
      <c r="F142" s="41"/>
      <c r="G142" s="41"/>
      <c r="H142" s="41"/>
      <c r="I142" s="41">
        <f>J142+K142+L142+M142+N142+O142</f>
        <v>0</v>
      </c>
      <c r="J142" s="41"/>
      <c r="K142" s="41"/>
      <c r="L142" s="41"/>
      <c r="M142" s="41"/>
      <c r="N142" s="41"/>
      <c r="O142" s="41"/>
      <c r="P142" s="45"/>
    </row>
    <row r="143" spans="1:16" ht="39">
      <c r="A143" s="6" t="s">
        <v>167</v>
      </c>
      <c r="B143" s="41">
        <f>C143+D143+E143+F143+G143+H143</f>
        <v>0</v>
      </c>
      <c r="C143" s="42"/>
      <c r="D143" s="41"/>
      <c r="E143" s="41"/>
      <c r="F143" s="41"/>
      <c r="G143" s="41"/>
      <c r="H143" s="41"/>
      <c r="I143" s="41">
        <f>J143+K143+L143+M143+N143+O143</f>
        <v>0</v>
      </c>
      <c r="J143" s="41"/>
      <c r="K143" s="41"/>
      <c r="L143" s="41"/>
      <c r="M143" s="41"/>
      <c r="N143" s="41"/>
      <c r="O143" s="41"/>
      <c r="P143" s="45"/>
    </row>
    <row r="144" spans="1:16" ht="15">
      <c r="A144" s="25" t="s">
        <v>142</v>
      </c>
      <c r="B144" s="27">
        <f aca="true" t="shared" si="23" ref="B144:O144">SUM(B141:B143)</f>
        <v>0</v>
      </c>
      <c r="C144" s="27">
        <f t="shared" si="23"/>
        <v>0</v>
      </c>
      <c r="D144" s="27">
        <f>SUM(D141:D143)</f>
        <v>0</v>
      </c>
      <c r="E144" s="27">
        <f t="shared" si="23"/>
        <v>0</v>
      </c>
      <c r="F144" s="27">
        <f t="shared" si="23"/>
        <v>0</v>
      </c>
      <c r="G144" s="27">
        <f t="shared" si="23"/>
        <v>0</v>
      </c>
      <c r="H144" s="27">
        <f t="shared" si="23"/>
        <v>0</v>
      </c>
      <c r="I144" s="27">
        <f t="shared" si="23"/>
        <v>0</v>
      </c>
      <c r="J144" s="27">
        <f t="shared" si="23"/>
        <v>0</v>
      </c>
      <c r="K144" s="27">
        <f t="shared" si="23"/>
        <v>0</v>
      </c>
      <c r="L144" s="27">
        <f t="shared" si="23"/>
        <v>0</v>
      </c>
      <c r="M144" s="27">
        <f t="shared" si="23"/>
        <v>0</v>
      </c>
      <c r="N144" s="27">
        <f t="shared" si="23"/>
        <v>0</v>
      </c>
      <c r="O144" s="27">
        <f t="shared" si="23"/>
        <v>0</v>
      </c>
      <c r="P144" s="36" t="e">
        <f>I144/B144*100</f>
        <v>#DIV/0!</v>
      </c>
    </row>
    <row r="145" spans="1:16" ht="15.75">
      <c r="A145" s="116" t="s">
        <v>137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1:16" ht="33.75" customHeight="1">
      <c r="A146" s="15" t="s">
        <v>138</v>
      </c>
      <c r="B146" s="11"/>
      <c r="C146" s="16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7"/>
    </row>
    <row r="147" spans="1:16" ht="26.25">
      <c r="A147" s="9" t="s">
        <v>139</v>
      </c>
      <c r="B147" s="13">
        <f>C147+D147+E147+F147+G147+H147</f>
        <v>1865.5</v>
      </c>
      <c r="C147" s="14">
        <v>324.8</v>
      </c>
      <c r="D147" s="13"/>
      <c r="E147" s="13"/>
      <c r="F147" s="13"/>
      <c r="G147" s="13">
        <v>1540.7</v>
      </c>
      <c r="H147" s="13"/>
      <c r="I147" s="13">
        <f>J147+K147+L147+M147+N147+O147</f>
        <v>0</v>
      </c>
      <c r="J147" s="13"/>
      <c r="K147" s="13"/>
      <c r="L147" s="13"/>
      <c r="M147" s="13"/>
      <c r="N147" s="13"/>
      <c r="O147" s="13"/>
      <c r="P147" s="3"/>
    </row>
    <row r="148" spans="1:16" ht="15">
      <c r="A148" s="59" t="s">
        <v>140</v>
      </c>
      <c r="B148" s="13">
        <f>C148+D148+E148+F148+G148+H148</f>
        <v>164.6</v>
      </c>
      <c r="C148" s="14">
        <v>164.6</v>
      </c>
      <c r="D148" s="13"/>
      <c r="E148" s="13"/>
      <c r="F148" s="13"/>
      <c r="G148" s="13"/>
      <c r="H148" s="13"/>
      <c r="I148" s="13">
        <f>J148+K148+L148+M148+N148+O148</f>
        <v>0</v>
      </c>
      <c r="J148" s="13"/>
      <c r="K148" s="13"/>
      <c r="L148" s="13"/>
      <c r="M148" s="13"/>
      <c r="N148" s="13"/>
      <c r="O148" s="13"/>
      <c r="P148" s="3"/>
    </row>
    <row r="149" spans="1:16" ht="26.25">
      <c r="A149" s="9" t="s">
        <v>141</v>
      </c>
      <c r="B149" s="13">
        <f>C149+D149+E149+F149+G149+H149</f>
        <v>33.8</v>
      </c>
      <c r="C149" s="14"/>
      <c r="D149" s="13">
        <v>33.8</v>
      </c>
      <c r="E149" s="13"/>
      <c r="F149" s="13"/>
      <c r="G149" s="13"/>
      <c r="H149" s="13"/>
      <c r="I149" s="13">
        <f>J149+K149+L149+M149+N149+O149</f>
        <v>0</v>
      </c>
      <c r="J149" s="13"/>
      <c r="K149" s="13"/>
      <c r="L149" s="13"/>
      <c r="M149" s="13"/>
      <c r="N149" s="13"/>
      <c r="O149" s="13"/>
      <c r="P149" s="3"/>
    </row>
    <row r="150" spans="1:16" ht="15">
      <c r="A150" s="25" t="s">
        <v>143</v>
      </c>
      <c r="B150" s="27">
        <f>SUM(B147:B149)</f>
        <v>2063.9</v>
      </c>
      <c r="C150" s="27">
        <f aca="true" t="shared" si="24" ref="C150:N150">SUM(C147:C149)</f>
        <v>489.4</v>
      </c>
      <c r="D150" s="27">
        <f t="shared" si="24"/>
        <v>33.8</v>
      </c>
      <c r="E150" s="27">
        <f t="shared" si="24"/>
        <v>0</v>
      </c>
      <c r="F150" s="27">
        <f t="shared" si="24"/>
        <v>0</v>
      </c>
      <c r="G150" s="27">
        <f t="shared" si="24"/>
        <v>1540.7</v>
      </c>
      <c r="H150" s="27">
        <f t="shared" si="24"/>
        <v>0</v>
      </c>
      <c r="I150" s="27">
        <f t="shared" si="24"/>
        <v>0</v>
      </c>
      <c r="J150" s="27">
        <f t="shared" si="24"/>
        <v>0</v>
      </c>
      <c r="K150" s="27">
        <f t="shared" si="24"/>
        <v>0</v>
      </c>
      <c r="L150" s="27">
        <f t="shared" si="24"/>
        <v>0</v>
      </c>
      <c r="M150" s="27">
        <f t="shared" si="24"/>
        <v>0</v>
      </c>
      <c r="N150" s="27">
        <f t="shared" si="24"/>
        <v>0</v>
      </c>
      <c r="O150" s="27">
        <f>SUM(O147:O149)</f>
        <v>0</v>
      </c>
      <c r="P150" s="36">
        <f>I150/B150*100</f>
        <v>0</v>
      </c>
    </row>
    <row r="151" spans="1:16" ht="15.75">
      <c r="A151" s="109" t="s">
        <v>149</v>
      </c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1"/>
    </row>
    <row r="152" spans="1:16" ht="26.25">
      <c r="A152" s="61" t="s">
        <v>145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1"/>
    </row>
    <row r="153" spans="1:16" ht="26.25">
      <c r="A153" s="9" t="s">
        <v>147</v>
      </c>
      <c r="B153" s="13">
        <f>C153+D153+E153+F153+G153+H153</f>
        <v>0</v>
      </c>
      <c r="C153" s="39"/>
      <c r="D153" s="39"/>
      <c r="E153" s="39"/>
      <c r="F153" s="39"/>
      <c r="G153" s="39"/>
      <c r="H153" s="39"/>
      <c r="I153" s="13">
        <f>J153+K153+L153+M153+N153+O153</f>
        <v>0</v>
      </c>
      <c r="J153" s="79"/>
      <c r="K153" s="79"/>
      <c r="L153" s="79"/>
      <c r="M153" s="79"/>
      <c r="N153" s="79"/>
      <c r="O153" s="79"/>
      <c r="P153" s="69"/>
    </row>
    <row r="154" spans="1:16" ht="26.25">
      <c r="A154" s="9" t="s">
        <v>148</v>
      </c>
      <c r="B154" s="13">
        <f>C154+D154+E154+F154+G154+H154</f>
        <v>0</v>
      </c>
      <c r="C154" s="39"/>
      <c r="D154" s="39"/>
      <c r="E154" s="39"/>
      <c r="F154" s="39"/>
      <c r="G154" s="39"/>
      <c r="H154" s="39"/>
      <c r="I154" s="13">
        <f>J154+K154+L154+M154+N154+O154</f>
        <v>0</v>
      </c>
      <c r="J154" s="79"/>
      <c r="K154" s="79"/>
      <c r="L154" s="79"/>
      <c r="M154" s="79"/>
      <c r="N154" s="79"/>
      <c r="O154" s="79"/>
      <c r="P154" s="69"/>
    </row>
    <row r="155" spans="1:16" ht="26.25">
      <c r="A155" s="9" t="s">
        <v>164</v>
      </c>
      <c r="B155" s="13">
        <f>C155+D155+E155+F155+G155+H155</f>
        <v>0</v>
      </c>
      <c r="C155" s="39"/>
      <c r="D155" s="39"/>
      <c r="E155" s="39"/>
      <c r="F155" s="39"/>
      <c r="G155" s="39"/>
      <c r="H155" s="39"/>
      <c r="I155" s="13">
        <f>J155+K155+L155+M155+N155+O155</f>
        <v>0</v>
      </c>
      <c r="J155" s="79"/>
      <c r="K155" s="79"/>
      <c r="L155" s="79"/>
      <c r="M155" s="79"/>
      <c r="N155" s="79"/>
      <c r="O155" s="79"/>
      <c r="P155" s="69"/>
    </row>
    <row r="156" spans="1:16" ht="64.5">
      <c r="A156" s="9" t="s">
        <v>165</v>
      </c>
      <c r="B156" s="13">
        <f>C156+D156+E156+F156+G156+H156</f>
        <v>0</v>
      </c>
      <c r="C156" s="39"/>
      <c r="D156" s="39"/>
      <c r="E156" s="39"/>
      <c r="F156" s="39"/>
      <c r="G156" s="39"/>
      <c r="H156" s="39"/>
      <c r="I156" s="13">
        <f>J156+K156+L156+M156+N156+O156</f>
        <v>0</v>
      </c>
      <c r="J156" s="79"/>
      <c r="K156" s="79"/>
      <c r="L156" s="79"/>
      <c r="M156" s="79"/>
      <c r="N156" s="79"/>
      <c r="O156" s="79"/>
      <c r="P156" s="69"/>
    </row>
    <row r="157" spans="1:16" ht="15">
      <c r="A157" s="105" t="s">
        <v>176</v>
      </c>
      <c r="B157" s="13">
        <f aca="true" t="shared" si="25" ref="B157:B162">C157+D157+E157+F157+G157+H157</f>
        <v>8662</v>
      </c>
      <c r="C157" s="39"/>
      <c r="D157" s="39">
        <v>8662</v>
      </c>
      <c r="E157" s="39"/>
      <c r="F157" s="39"/>
      <c r="G157" s="39"/>
      <c r="H157" s="39"/>
      <c r="I157" s="13">
        <f aca="true" t="shared" si="26" ref="I157:I162">J157+K157+L157+M157+N157+O157</f>
        <v>0</v>
      </c>
      <c r="J157" s="79"/>
      <c r="K157" s="79"/>
      <c r="L157" s="79"/>
      <c r="M157" s="79"/>
      <c r="N157" s="79"/>
      <c r="O157" s="79"/>
      <c r="P157" s="69"/>
    </row>
    <row r="158" spans="1:16" ht="15">
      <c r="A158" s="105" t="s">
        <v>177</v>
      </c>
      <c r="B158" s="13">
        <f t="shared" si="25"/>
        <v>5231</v>
      </c>
      <c r="C158" s="39"/>
      <c r="D158" s="39">
        <v>5231</v>
      </c>
      <c r="E158" s="39"/>
      <c r="F158" s="39"/>
      <c r="G158" s="39"/>
      <c r="H158" s="39"/>
      <c r="I158" s="13">
        <f t="shared" si="26"/>
        <v>0</v>
      </c>
      <c r="J158" s="79"/>
      <c r="K158" s="79"/>
      <c r="L158" s="79"/>
      <c r="M158" s="79"/>
      <c r="N158" s="79"/>
      <c r="O158" s="79"/>
      <c r="P158" s="69"/>
    </row>
    <row r="159" spans="1:16" ht="15">
      <c r="A159" s="105" t="s">
        <v>178</v>
      </c>
      <c r="B159" s="13">
        <f t="shared" si="25"/>
        <v>3630</v>
      </c>
      <c r="C159" s="39"/>
      <c r="D159" s="39">
        <v>3630</v>
      </c>
      <c r="E159" s="39"/>
      <c r="F159" s="39"/>
      <c r="G159" s="39"/>
      <c r="H159" s="39"/>
      <c r="I159" s="13">
        <f t="shared" si="26"/>
        <v>0</v>
      </c>
      <c r="J159" s="79"/>
      <c r="K159" s="79"/>
      <c r="L159" s="79"/>
      <c r="M159" s="79"/>
      <c r="N159" s="79"/>
      <c r="O159" s="79"/>
      <c r="P159" s="69"/>
    </row>
    <row r="160" spans="1:16" ht="25.5">
      <c r="A160" s="105" t="s">
        <v>179</v>
      </c>
      <c r="B160" s="13">
        <f t="shared" si="25"/>
        <v>2550</v>
      </c>
      <c r="C160" s="39"/>
      <c r="D160" s="39">
        <v>2550</v>
      </c>
      <c r="E160" s="39"/>
      <c r="F160" s="39"/>
      <c r="G160" s="39"/>
      <c r="H160" s="39"/>
      <c r="I160" s="13">
        <f t="shared" si="26"/>
        <v>0</v>
      </c>
      <c r="J160" s="79"/>
      <c r="K160" s="79"/>
      <c r="L160" s="79"/>
      <c r="M160" s="79"/>
      <c r="N160" s="79"/>
      <c r="O160" s="79"/>
      <c r="P160" s="69"/>
    </row>
    <row r="161" spans="1:16" ht="25.5">
      <c r="A161" s="105" t="s">
        <v>180</v>
      </c>
      <c r="B161" s="13">
        <f t="shared" si="25"/>
        <v>400</v>
      </c>
      <c r="C161" s="39"/>
      <c r="D161" s="39">
        <v>400</v>
      </c>
      <c r="E161" s="39"/>
      <c r="F161" s="39"/>
      <c r="G161" s="39"/>
      <c r="H161" s="39"/>
      <c r="I161" s="13">
        <f t="shared" si="26"/>
        <v>0</v>
      </c>
      <c r="J161" s="79"/>
      <c r="K161" s="79"/>
      <c r="L161" s="79"/>
      <c r="M161" s="79"/>
      <c r="N161" s="79"/>
      <c r="O161" s="79"/>
      <c r="P161" s="69"/>
    </row>
    <row r="162" spans="1:16" ht="38.25">
      <c r="A162" s="105" t="s">
        <v>181</v>
      </c>
      <c r="B162" s="13">
        <f t="shared" si="25"/>
        <v>3865</v>
      </c>
      <c r="C162" s="39"/>
      <c r="D162" s="39">
        <v>3865</v>
      </c>
      <c r="E162" s="39"/>
      <c r="F162" s="39"/>
      <c r="G162" s="39"/>
      <c r="H162" s="39"/>
      <c r="I162" s="13">
        <f t="shared" si="26"/>
        <v>0</v>
      </c>
      <c r="J162" s="79"/>
      <c r="K162" s="79"/>
      <c r="L162" s="79"/>
      <c r="M162" s="79"/>
      <c r="N162" s="79"/>
      <c r="O162" s="79"/>
      <c r="P162" s="69"/>
    </row>
    <row r="163" spans="1:16" ht="15">
      <c r="A163" s="25" t="s">
        <v>146</v>
      </c>
      <c r="B163" s="27">
        <f>SUM(B153:B162)</f>
        <v>24338</v>
      </c>
      <c r="C163" s="27">
        <f aca="true" t="shared" si="27" ref="C163:O163">SUM(C153:C162)</f>
        <v>0</v>
      </c>
      <c r="D163" s="27">
        <f t="shared" si="27"/>
        <v>24338</v>
      </c>
      <c r="E163" s="27">
        <f t="shared" si="27"/>
        <v>0</v>
      </c>
      <c r="F163" s="27">
        <f t="shared" si="27"/>
        <v>0</v>
      </c>
      <c r="G163" s="27">
        <f t="shared" si="27"/>
        <v>0</v>
      </c>
      <c r="H163" s="27">
        <f t="shared" si="27"/>
        <v>0</v>
      </c>
      <c r="I163" s="27">
        <f t="shared" si="27"/>
        <v>0</v>
      </c>
      <c r="J163" s="27">
        <f t="shared" si="27"/>
        <v>0</v>
      </c>
      <c r="K163" s="27">
        <f t="shared" si="27"/>
        <v>0</v>
      </c>
      <c r="L163" s="27">
        <f t="shared" si="27"/>
        <v>0</v>
      </c>
      <c r="M163" s="27">
        <f t="shared" si="27"/>
        <v>0</v>
      </c>
      <c r="N163" s="27">
        <f t="shared" si="27"/>
        <v>0</v>
      </c>
      <c r="O163" s="27">
        <f t="shared" si="27"/>
        <v>0</v>
      </c>
      <c r="P163" s="36"/>
    </row>
    <row r="164" spans="1:16" ht="15">
      <c r="A164" s="119" t="s">
        <v>152</v>
      </c>
      <c r="B164" s="120"/>
      <c r="C164" s="120"/>
      <c r="D164" s="120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1"/>
    </row>
    <row r="165" spans="1:16" ht="25.5">
      <c r="A165" s="18" t="s">
        <v>153</v>
      </c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1"/>
    </row>
    <row r="166" spans="1:16" ht="36.75" customHeight="1">
      <c r="A166" s="99" t="s">
        <v>154</v>
      </c>
      <c r="B166" s="13">
        <f>C166+D166+E166+F166+G166+H166</f>
        <v>0</v>
      </c>
      <c r="C166" s="79"/>
      <c r="D166" s="79"/>
      <c r="E166" s="79"/>
      <c r="F166" s="79"/>
      <c r="G166" s="79"/>
      <c r="H166" s="79"/>
      <c r="I166" s="83"/>
      <c r="J166" s="83"/>
      <c r="K166" s="83"/>
      <c r="L166" s="83"/>
      <c r="M166" s="83"/>
      <c r="N166" s="83"/>
      <c r="O166" s="83"/>
      <c r="P166" s="84"/>
    </row>
    <row r="167" spans="1:16" ht="15">
      <c r="A167" s="25" t="s">
        <v>155</v>
      </c>
      <c r="B167" s="27">
        <f>B166</f>
        <v>0</v>
      </c>
      <c r="C167" s="27">
        <f>C166</f>
        <v>0</v>
      </c>
      <c r="D167" s="27">
        <f>D166</f>
        <v>0</v>
      </c>
      <c r="E167" s="27">
        <f aca="true" t="shared" si="28" ref="E167:O167">E166</f>
        <v>0</v>
      </c>
      <c r="F167" s="27">
        <f t="shared" si="28"/>
        <v>0</v>
      </c>
      <c r="G167" s="27">
        <f t="shared" si="28"/>
        <v>0</v>
      </c>
      <c r="H167" s="27">
        <f t="shared" si="28"/>
        <v>0</v>
      </c>
      <c r="I167" s="27">
        <f t="shared" si="28"/>
        <v>0</v>
      </c>
      <c r="J167" s="27">
        <f t="shared" si="28"/>
        <v>0</v>
      </c>
      <c r="K167" s="27">
        <f t="shared" si="28"/>
        <v>0</v>
      </c>
      <c r="L167" s="27">
        <f t="shared" si="28"/>
        <v>0</v>
      </c>
      <c r="M167" s="27">
        <f t="shared" si="28"/>
        <v>0</v>
      </c>
      <c r="N167" s="27">
        <f t="shared" si="28"/>
        <v>0</v>
      </c>
      <c r="O167" s="27">
        <f t="shared" si="28"/>
        <v>0</v>
      </c>
      <c r="P167" s="36"/>
    </row>
    <row r="168" spans="1:16" ht="15">
      <c r="A168" s="119" t="s">
        <v>169</v>
      </c>
      <c r="B168" s="120"/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1"/>
    </row>
    <row r="169" spans="1:16" ht="25.5">
      <c r="A169" s="18" t="s">
        <v>153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1"/>
    </row>
    <row r="170" spans="1:16" ht="35.25" customHeight="1">
      <c r="A170" s="100" t="s">
        <v>170</v>
      </c>
      <c r="B170" s="13">
        <f>C170+D170+E170+F170+G170+H170</f>
        <v>0</v>
      </c>
      <c r="C170" s="79"/>
      <c r="D170" s="39"/>
      <c r="E170" s="79"/>
      <c r="F170" s="79"/>
      <c r="G170" s="79"/>
      <c r="H170" s="39"/>
      <c r="I170" s="79"/>
      <c r="J170" s="79"/>
      <c r="K170" s="79"/>
      <c r="L170" s="79"/>
      <c r="M170" s="79"/>
      <c r="N170" s="79"/>
      <c r="O170" s="79"/>
      <c r="P170" s="69"/>
    </row>
    <row r="171" spans="1:16" ht="15" customHeight="1">
      <c r="A171" s="25" t="s">
        <v>171</v>
      </c>
      <c r="B171" s="27">
        <f>B170</f>
        <v>0</v>
      </c>
      <c r="C171" s="27">
        <f aca="true" t="shared" si="29" ref="C171:P171">C170</f>
        <v>0</v>
      </c>
      <c r="D171" s="27">
        <f t="shared" si="29"/>
        <v>0</v>
      </c>
      <c r="E171" s="27">
        <f t="shared" si="29"/>
        <v>0</v>
      </c>
      <c r="F171" s="27">
        <f t="shared" si="29"/>
        <v>0</v>
      </c>
      <c r="G171" s="27">
        <f t="shared" si="29"/>
        <v>0</v>
      </c>
      <c r="H171" s="27">
        <f t="shared" si="29"/>
        <v>0</v>
      </c>
      <c r="I171" s="27">
        <f t="shared" si="29"/>
        <v>0</v>
      </c>
      <c r="J171" s="27">
        <f t="shared" si="29"/>
        <v>0</v>
      </c>
      <c r="K171" s="27">
        <f t="shared" si="29"/>
        <v>0</v>
      </c>
      <c r="L171" s="27">
        <f t="shared" si="29"/>
        <v>0</v>
      </c>
      <c r="M171" s="27">
        <f t="shared" si="29"/>
        <v>0</v>
      </c>
      <c r="N171" s="27">
        <f t="shared" si="29"/>
        <v>0</v>
      </c>
      <c r="O171" s="27">
        <f t="shared" si="29"/>
        <v>0</v>
      </c>
      <c r="P171" s="27">
        <f t="shared" si="29"/>
        <v>0</v>
      </c>
    </row>
    <row r="172" spans="1:16" ht="47.25">
      <c r="A172" s="24" t="s">
        <v>150</v>
      </c>
      <c r="B172" s="37">
        <f aca="true" t="shared" si="30" ref="B172:O172">B47+B69+B74+B84+B93+B97+B101+B105+B110+B123+B128+B138+B144+B150+B163+B167+B171</f>
        <v>1244313.1999999997</v>
      </c>
      <c r="C172" s="37">
        <f t="shared" si="30"/>
        <v>677735.5000000001</v>
      </c>
      <c r="D172" s="37">
        <f t="shared" si="30"/>
        <v>69727.70000000001</v>
      </c>
      <c r="E172" s="37">
        <f t="shared" si="30"/>
        <v>287.6</v>
      </c>
      <c r="F172" s="37">
        <f t="shared" si="30"/>
        <v>90</v>
      </c>
      <c r="G172" s="37">
        <f t="shared" si="30"/>
        <v>495191.30000000005</v>
      </c>
      <c r="H172" s="37">
        <f t="shared" si="30"/>
        <v>1281.1</v>
      </c>
      <c r="I172" s="37">
        <f t="shared" si="30"/>
        <v>0</v>
      </c>
      <c r="J172" s="37">
        <f t="shared" si="30"/>
        <v>0</v>
      </c>
      <c r="K172" s="37">
        <f t="shared" si="30"/>
        <v>0</v>
      </c>
      <c r="L172" s="37">
        <f t="shared" si="30"/>
        <v>0</v>
      </c>
      <c r="M172" s="37">
        <f t="shared" si="30"/>
        <v>0</v>
      </c>
      <c r="N172" s="37">
        <f t="shared" si="30"/>
        <v>0</v>
      </c>
      <c r="O172" s="37">
        <f t="shared" si="30"/>
        <v>0</v>
      </c>
      <c r="P172" s="38">
        <f>I172/B172*100</f>
        <v>0</v>
      </c>
    </row>
    <row r="173" spans="1:16" s="54" customFormat="1" ht="15">
      <c r="A173" s="53"/>
      <c r="B173" s="53"/>
      <c r="C173" s="76">
        <f>C172+D172</f>
        <v>747463.2000000002</v>
      </c>
      <c r="D173" s="53"/>
      <c r="E173" s="76">
        <f>E172+F172</f>
        <v>377.6</v>
      </c>
      <c r="F173" s="77"/>
      <c r="G173" s="76">
        <f>G172+H172</f>
        <v>496472.4</v>
      </c>
      <c r="H173" s="77"/>
      <c r="I173" s="77"/>
      <c r="J173" s="77"/>
      <c r="K173" s="53"/>
      <c r="L173" s="53"/>
      <c r="M173" s="53"/>
      <c r="N173" s="53"/>
      <c r="O173" s="53"/>
      <c r="P173" s="53"/>
    </row>
    <row r="174" spans="1:16" ht="15">
      <c r="A174" s="4"/>
      <c r="B174" s="78">
        <f>C174+D174</f>
        <v>1244313.2000000002</v>
      </c>
      <c r="C174" s="78">
        <f>C172+E172+G172</f>
        <v>1173214.4000000001</v>
      </c>
      <c r="D174" s="78">
        <f>D172+F172+H172</f>
        <v>71098.80000000002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</row>
    <row r="175" spans="1:16" ht="18.75">
      <c r="A175" s="51"/>
      <c r="B175" s="4"/>
      <c r="C175" s="78"/>
      <c r="D175" s="78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</row>
    <row r="176" spans="1:16" ht="18.75">
      <c r="A176" s="51" t="s">
        <v>48</v>
      </c>
      <c r="B176" s="50"/>
      <c r="C176" s="50"/>
      <c r="D176" s="50"/>
      <c r="E176" s="50"/>
      <c r="F176" s="50"/>
      <c r="G176" s="50"/>
      <c r="H176" s="50"/>
      <c r="I176" s="50"/>
      <c r="J176" s="50"/>
      <c r="K176" s="118" t="s">
        <v>49</v>
      </c>
      <c r="L176" s="118"/>
      <c r="M176" s="118"/>
      <c r="N176" s="118"/>
      <c r="O176" s="50"/>
      <c r="P176" s="50"/>
    </row>
    <row r="177" spans="1:16" ht="15.75">
      <c r="A177" s="52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</row>
    <row r="178" spans="1:16" ht="15.75">
      <c r="A178" s="52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</row>
    <row r="179" ht="15.75">
      <c r="A179" s="52" t="s">
        <v>46</v>
      </c>
    </row>
    <row r="180" ht="15.75">
      <c r="A180" s="52" t="s">
        <v>47</v>
      </c>
    </row>
  </sheetData>
  <sheetProtection/>
  <mergeCells count="48">
    <mergeCell ref="A151:P151"/>
    <mergeCell ref="A164:P164"/>
    <mergeCell ref="A168:P168"/>
    <mergeCell ref="K176:N176"/>
    <mergeCell ref="A106:P106"/>
    <mergeCell ref="A111:P111"/>
    <mergeCell ref="A124:P124"/>
    <mergeCell ref="A129:P129"/>
    <mergeCell ref="A139:P139"/>
    <mergeCell ref="A145:P145"/>
    <mergeCell ref="A70:P70"/>
    <mergeCell ref="A75:P75"/>
    <mergeCell ref="A85:P85"/>
    <mergeCell ref="A94:P94"/>
    <mergeCell ref="A98:P98"/>
    <mergeCell ref="A102:P102"/>
    <mergeCell ref="C26:D26"/>
    <mergeCell ref="E26:F26"/>
    <mergeCell ref="J26:K26"/>
    <mergeCell ref="L26:M26"/>
    <mergeCell ref="A29:P29"/>
    <mergeCell ref="A48:P48"/>
    <mergeCell ref="P22:P23"/>
    <mergeCell ref="B23:H23"/>
    <mergeCell ref="I23:O23"/>
    <mergeCell ref="B24:B27"/>
    <mergeCell ref="C24:H24"/>
    <mergeCell ref="I24:I27"/>
    <mergeCell ref="J24:O24"/>
    <mergeCell ref="P24:P27"/>
    <mergeCell ref="C25:F25"/>
    <mergeCell ref="G25:H26"/>
    <mergeCell ref="D10:J10"/>
    <mergeCell ref="D11:J11"/>
    <mergeCell ref="D12:M12"/>
    <mergeCell ref="D13:M13"/>
    <mergeCell ref="D14:M14"/>
    <mergeCell ref="A22:A27"/>
    <mergeCell ref="B22:H22"/>
    <mergeCell ref="I22:O22"/>
    <mergeCell ref="J25:M25"/>
    <mergeCell ref="N25:O26"/>
    <mergeCell ref="N1:P1"/>
    <mergeCell ref="N2:P2"/>
    <mergeCell ref="A5:P5"/>
    <mergeCell ref="A6:P6"/>
    <mergeCell ref="D8:J8"/>
    <mergeCell ref="D9:J9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4"/>
  <sheetViews>
    <sheetView zoomScale="84" zoomScaleNormal="84" zoomScalePageLayoutView="0" workbookViewId="0" topLeftCell="A1">
      <selection activeCell="T17" sqref="T17"/>
    </sheetView>
  </sheetViews>
  <sheetFormatPr defaultColWidth="9.140625" defaultRowHeight="15"/>
  <cols>
    <col min="1" max="1" width="46.8515625" style="0" customWidth="1"/>
    <col min="2" max="2" width="11.8515625" style="0" customWidth="1"/>
    <col min="3" max="3" width="9.57421875" style="0" bestFit="1" customWidth="1"/>
    <col min="16" max="16" width="18.7109375" style="0" customWidth="1"/>
    <col min="17" max="18" width="14.57421875" style="0" customWidth="1"/>
  </cols>
  <sheetData>
    <row r="1" spans="14:16" ht="15.75">
      <c r="N1" s="124" t="s">
        <v>32</v>
      </c>
      <c r="O1" s="124"/>
      <c r="P1" s="124"/>
    </row>
    <row r="2" spans="14:16" ht="60" customHeight="1">
      <c r="N2" s="125" t="s">
        <v>50</v>
      </c>
      <c r="O2" s="125"/>
      <c r="P2" s="125"/>
    </row>
    <row r="3" spans="14:16" ht="15.75">
      <c r="N3" s="29" t="s">
        <v>33</v>
      </c>
      <c r="O3" s="29"/>
      <c r="P3" s="29"/>
    </row>
    <row r="4" spans="14:16" ht="15.75">
      <c r="N4" s="29"/>
      <c r="O4" s="29"/>
      <c r="P4" s="29"/>
    </row>
    <row r="5" spans="1:16" ht="18.75">
      <c r="A5" s="126" t="s">
        <v>34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</row>
    <row r="6" spans="1:16" ht="38.25" customHeight="1">
      <c r="A6" s="127" t="s">
        <v>174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ht="18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6" ht="18.75">
      <c r="A8" s="102" t="s">
        <v>35</v>
      </c>
      <c r="B8" s="102">
        <v>10</v>
      </c>
      <c r="C8" s="102"/>
      <c r="D8" s="122" t="s">
        <v>36</v>
      </c>
      <c r="E8" s="122"/>
      <c r="F8" s="122"/>
      <c r="G8" s="122"/>
      <c r="H8" s="122"/>
      <c r="I8" s="122"/>
      <c r="J8" s="122"/>
      <c r="K8" s="102"/>
      <c r="L8" s="102"/>
      <c r="M8" s="102"/>
      <c r="N8" s="102"/>
      <c r="O8" s="102"/>
      <c r="P8" s="102"/>
    </row>
    <row r="9" spans="1:16" ht="18.75">
      <c r="A9" s="102"/>
      <c r="B9" s="102" t="s">
        <v>37</v>
      </c>
      <c r="C9" s="102"/>
      <c r="D9" s="128" t="s">
        <v>38</v>
      </c>
      <c r="E9" s="128"/>
      <c r="F9" s="128"/>
      <c r="G9" s="128"/>
      <c r="H9" s="128"/>
      <c r="I9" s="128"/>
      <c r="J9" s="128"/>
      <c r="K9" s="102"/>
      <c r="L9" s="102"/>
      <c r="M9" s="102"/>
      <c r="N9" s="102"/>
      <c r="O9" s="102"/>
      <c r="P9" s="102"/>
    </row>
    <row r="10" spans="1:16" ht="18.75">
      <c r="A10" s="102" t="s">
        <v>39</v>
      </c>
      <c r="B10" s="102"/>
      <c r="C10" s="102"/>
      <c r="D10" s="122" t="s">
        <v>36</v>
      </c>
      <c r="E10" s="122"/>
      <c r="F10" s="122"/>
      <c r="G10" s="122"/>
      <c r="H10" s="122"/>
      <c r="I10" s="122"/>
      <c r="J10" s="122"/>
      <c r="K10" s="102"/>
      <c r="L10" s="102"/>
      <c r="M10" s="102"/>
      <c r="N10" s="102"/>
      <c r="O10" s="102"/>
      <c r="P10" s="102"/>
    </row>
    <row r="11" spans="4:10" ht="15">
      <c r="D11" s="114" t="s">
        <v>40</v>
      </c>
      <c r="E11" s="114"/>
      <c r="F11" s="114"/>
      <c r="G11" s="114"/>
      <c r="H11" s="114"/>
      <c r="I11" s="114"/>
      <c r="J11" s="114"/>
    </row>
    <row r="12" spans="1:13" ht="18.75">
      <c r="A12" s="103" t="s">
        <v>41</v>
      </c>
      <c r="B12" s="34">
        <v>611010</v>
      </c>
      <c r="D12" s="113" t="s">
        <v>42</v>
      </c>
      <c r="E12" s="113"/>
      <c r="F12" s="113"/>
      <c r="G12" s="113"/>
      <c r="H12" s="113"/>
      <c r="I12" s="113"/>
      <c r="J12" s="113"/>
      <c r="K12" s="113"/>
      <c r="L12" s="113"/>
      <c r="M12" s="113"/>
    </row>
    <row r="13" spans="1:13" ht="15.75">
      <c r="A13" s="28"/>
      <c r="B13" s="34">
        <v>611020</v>
      </c>
      <c r="D13" s="123" t="s">
        <v>43</v>
      </c>
      <c r="E13" s="123"/>
      <c r="F13" s="123"/>
      <c r="G13" s="123"/>
      <c r="H13" s="123"/>
      <c r="I13" s="123"/>
      <c r="J13" s="123"/>
      <c r="K13" s="123"/>
      <c r="L13" s="123"/>
      <c r="M13" s="123"/>
    </row>
    <row r="14" spans="1:13" ht="15">
      <c r="A14" s="28"/>
      <c r="B14" s="34">
        <v>611030</v>
      </c>
      <c r="D14" s="114" t="s">
        <v>44</v>
      </c>
      <c r="E14" s="114"/>
      <c r="F14" s="114"/>
      <c r="G14" s="114"/>
      <c r="H14" s="114"/>
      <c r="I14" s="114"/>
      <c r="J14" s="114"/>
      <c r="K14" s="114"/>
      <c r="L14" s="114"/>
      <c r="M14" s="114"/>
    </row>
    <row r="15" spans="1:2" ht="15">
      <c r="A15" s="28"/>
      <c r="B15" s="34">
        <v>611070</v>
      </c>
    </row>
    <row r="16" spans="1:2" ht="15">
      <c r="A16" s="28"/>
      <c r="B16" s="34">
        <v>611090</v>
      </c>
    </row>
    <row r="17" spans="1:2" ht="15">
      <c r="A17" s="28"/>
      <c r="B17" s="34">
        <v>611150</v>
      </c>
    </row>
    <row r="18" spans="1:2" ht="15">
      <c r="A18" s="28"/>
      <c r="B18" s="34">
        <v>611160</v>
      </c>
    </row>
    <row r="19" spans="1:2" ht="15">
      <c r="A19" s="28"/>
      <c r="B19" s="35">
        <v>617363</v>
      </c>
    </row>
    <row r="20" ht="15">
      <c r="B20" s="33" t="s">
        <v>45</v>
      </c>
    </row>
    <row r="22" spans="1:16" ht="22.5" customHeight="1">
      <c r="A22" s="112" t="s">
        <v>0</v>
      </c>
      <c r="B22" s="112" t="s">
        <v>1</v>
      </c>
      <c r="C22" s="112"/>
      <c r="D22" s="112"/>
      <c r="E22" s="112"/>
      <c r="F22" s="112"/>
      <c r="G22" s="112"/>
      <c r="H22" s="112"/>
      <c r="I22" s="112" t="s">
        <v>2</v>
      </c>
      <c r="J22" s="112"/>
      <c r="K22" s="112"/>
      <c r="L22" s="112"/>
      <c r="M22" s="112"/>
      <c r="N22" s="112"/>
      <c r="O22" s="112"/>
      <c r="P22" s="112" t="s">
        <v>3</v>
      </c>
    </row>
    <row r="23" spans="1:16" ht="24.75" customHeight="1">
      <c r="A23" s="112"/>
      <c r="B23" s="112" t="s">
        <v>156</v>
      </c>
      <c r="C23" s="112"/>
      <c r="D23" s="112"/>
      <c r="E23" s="112"/>
      <c r="F23" s="112"/>
      <c r="G23" s="112"/>
      <c r="H23" s="112"/>
      <c r="I23" s="112" t="s">
        <v>156</v>
      </c>
      <c r="J23" s="112"/>
      <c r="K23" s="112"/>
      <c r="L23" s="112"/>
      <c r="M23" s="112"/>
      <c r="N23" s="112"/>
      <c r="O23" s="112"/>
      <c r="P23" s="112"/>
    </row>
    <row r="24" spans="1:16" ht="15.75" customHeight="1">
      <c r="A24" s="112"/>
      <c r="B24" s="115" t="s">
        <v>4</v>
      </c>
      <c r="C24" s="112" t="s">
        <v>5</v>
      </c>
      <c r="D24" s="112"/>
      <c r="E24" s="112"/>
      <c r="F24" s="112"/>
      <c r="G24" s="112"/>
      <c r="H24" s="112"/>
      <c r="I24" s="112" t="s">
        <v>4</v>
      </c>
      <c r="J24" s="112" t="s">
        <v>5</v>
      </c>
      <c r="K24" s="112"/>
      <c r="L24" s="112"/>
      <c r="M24" s="112"/>
      <c r="N24" s="112"/>
      <c r="O24" s="112"/>
      <c r="P24" s="112"/>
    </row>
    <row r="25" spans="1:16" ht="22.5" customHeight="1">
      <c r="A25" s="112"/>
      <c r="B25" s="115"/>
      <c r="C25" s="112" t="s">
        <v>10</v>
      </c>
      <c r="D25" s="112"/>
      <c r="E25" s="112"/>
      <c r="F25" s="112"/>
      <c r="G25" s="112" t="s">
        <v>11</v>
      </c>
      <c r="H25" s="112"/>
      <c r="I25" s="112"/>
      <c r="J25" s="112" t="s">
        <v>10</v>
      </c>
      <c r="K25" s="112"/>
      <c r="L25" s="112"/>
      <c r="M25" s="112"/>
      <c r="N25" s="112" t="s">
        <v>11</v>
      </c>
      <c r="O25" s="112"/>
      <c r="P25" s="112"/>
    </row>
    <row r="26" spans="1:16" ht="15">
      <c r="A26" s="112"/>
      <c r="B26" s="115"/>
      <c r="C26" s="112" t="s">
        <v>157</v>
      </c>
      <c r="D26" s="112"/>
      <c r="E26" s="112" t="s">
        <v>7</v>
      </c>
      <c r="F26" s="112"/>
      <c r="G26" s="112"/>
      <c r="H26" s="112"/>
      <c r="I26" s="112"/>
      <c r="J26" s="112" t="s">
        <v>6</v>
      </c>
      <c r="K26" s="112"/>
      <c r="L26" s="112" t="s">
        <v>7</v>
      </c>
      <c r="M26" s="112"/>
      <c r="N26" s="112"/>
      <c r="O26" s="112"/>
      <c r="P26" s="112"/>
    </row>
    <row r="27" spans="1:16" ht="45.75" customHeight="1">
      <c r="A27" s="112"/>
      <c r="B27" s="115"/>
      <c r="C27" s="104" t="s">
        <v>8</v>
      </c>
      <c r="D27" s="104" t="s">
        <v>9</v>
      </c>
      <c r="E27" s="104" t="s">
        <v>8</v>
      </c>
      <c r="F27" s="104" t="s">
        <v>9</v>
      </c>
      <c r="G27" s="104" t="s">
        <v>8</v>
      </c>
      <c r="H27" s="104" t="s">
        <v>9</v>
      </c>
      <c r="I27" s="112"/>
      <c r="J27" s="104" t="s">
        <v>8</v>
      </c>
      <c r="K27" s="104" t="s">
        <v>9</v>
      </c>
      <c r="L27" s="104" t="s">
        <v>8</v>
      </c>
      <c r="M27" s="104" t="s">
        <v>9</v>
      </c>
      <c r="N27" s="104" t="s">
        <v>8</v>
      </c>
      <c r="O27" s="104" t="s">
        <v>9</v>
      </c>
      <c r="P27" s="112"/>
    </row>
    <row r="28" spans="1:16" ht="15">
      <c r="A28" s="2">
        <v>1</v>
      </c>
      <c r="B28" s="2">
        <v>2</v>
      </c>
      <c r="C28" s="2">
        <v>3</v>
      </c>
      <c r="D28" s="2">
        <v>4</v>
      </c>
      <c r="E28" s="2">
        <v>5</v>
      </c>
      <c r="F28" s="2">
        <v>6</v>
      </c>
      <c r="G28" s="2">
        <v>7</v>
      </c>
      <c r="H28" s="2">
        <v>8</v>
      </c>
      <c r="I28" s="2">
        <v>9</v>
      </c>
      <c r="J28" s="2">
        <v>10</v>
      </c>
      <c r="K28" s="2">
        <v>11</v>
      </c>
      <c r="L28" s="2">
        <v>12</v>
      </c>
      <c r="M28" s="2">
        <v>13</v>
      </c>
      <c r="N28" s="2">
        <v>14</v>
      </c>
      <c r="O28" s="2">
        <v>15</v>
      </c>
      <c r="P28" s="2">
        <v>16</v>
      </c>
    </row>
    <row r="29" spans="1:16" ht="15">
      <c r="A29" s="117" t="s">
        <v>53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</row>
    <row r="30" spans="1:16" ht="17.25" customHeight="1">
      <c r="A30" s="15" t="s">
        <v>54</v>
      </c>
      <c r="B30" s="11">
        <f>C30+D30+E30+F30+G30+H30</f>
        <v>0</v>
      </c>
      <c r="C30" s="11"/>
      <c r="D30" s="11"/>
      <c r="E30" s="11"/>
      <c r="F30" s="11"/>
      <c r="G30" s="11"/>
      <c r="H30" s="11"/>
      <c r="I30" s="11">
        <f aca="true" t="shared" si="0" ref="I30:I41">J30+K30+L30+M30+N30+O30</f>
        <v>0</v>
      </c>
      <c r="J30" s="11"/>
      <c r="K30" s="11"/>
      <c r="L30" s="11"/>
      <c r="M30" s="11"/>
      <c r="N30" s="11"/>
      <c r="O30" s="11"/>
      <c r="P30" s="17"/>
    </row>
    <row r="31" spans="1:16" ht="30.75" customHeight="1">
      <c r="A31" s="6" t="s">
        <v>55</v>
      </c>
      <c r="B31" s="10">
        <f aca="true" t="shared" si="1" ref="B31:B47">C31+D31+E31+F31+G31+H31</f>
        <v>195080.9</v>
      </c>
      <c r="C31" s="10">
        <f>194247.7+670.3</f>
        <v>194918</v>
      </c>
      <c r="D31" s="10"/>
      <c r="E31" s="10"/>
      <c r="F31" s="10"/>
      <c r="G31" s="10">
        <f>176.4-13.5</f>
        <v>162.9</v>
      </c>
      <c r="H31" s="10"/>
      <c r="I31" s="10">
        <f t="shared" si="0"/>
        <v>0</v>
      </c>
      <c r="J31" s="10"/>
      <c r="K31" s="10"/>
      <c r="L31" s="10"/>
      <c r="M31" s="10"/>
      <c r="N31" s="10"/>
      <c r="O31" s="10"/>
      <c r="P31" s="6"/>
    </row>
    <row r="32" spans="1:16" ht="30.75" customHeight="1">
      <c r="A32" s="6" t="s">
        <v>56</v>
      </c>
      <c r="B32" s="10">
        <f t="shared" si="1"/>
        <v>19619.6</v>
      </c>
      <c r="C32" s="10">
        <f>16113.7-3000-3633.7</f>
        <v>9480</v>
      </c>
      <c r="D32" s="10">
        <f>16325.7-6186.1</f>
        <v>10139.6</v>
      </c>
      <c r="E32" s="10"/>
      <c r="F32" s="10"/>
      <c r="G32" s="10"/>
      <c r="H32" s="10"/>
      <c r="I32" s="10">
        <f t="shared" si="0"/>
        <v>0</v>
      </c>
      <c r="J32" s="10"/>
      <c r="K32" s="10"/>
      <c r="L32" s="10"/>
      <c r="M32" s="10"/>
      <c r="N32" s="10"/>
      <c r="O32" s="10"/>
      <c r="P32" s="6"/>
    </row>
    <row r="33" spans="1:16" ht="30.75" customHeight="1">
      <c r="A33" s="6" t="s">
        <v>57</v>
      </c>
      <c r="B33" s="10">
        <f t="shared" si="1"/>
        <v>32966</v>
      </c>
      <c r="C33" s="10">
        <f>36409.7-3609.7</f>
        <v>32800</v>
      </c>
      <c r="D33" s="10"/>
      <c r="E33" s="10">
        <v>166</v>
      </c>
      <c r="F33" s="10"/>
      <c r="G33" s="10"/>
      <c r="H33" s="10"/>
      <c r="I33" s="10">
        <f t="shared" si="0"/>
        <v>0</v>
      </c>
      <c r="J33" s="10"/>
      <c r="K33" s="10"/>
      <c r="L33" s="10"/>
      <c r="M33" s="10"/>
      <c r="N33" s="10"/>
      <c r="O33" s="10"/>
      <c r="P33" s="6"/>
    </row>
    <row r="34" spans="1:16" ht="30.75" customHeight="1">
      <c r="A34" s="5" t="s">
        <v>58</v>
      </c>
      <c r="B34" s="10">
        <f t="shared" si="1"/>
        <v>503.6</v>
      </c>
      <c r="C34" s="10">
        <v>503.6</v>
      </c>
      <c r="D34" s="10"/>
      <c r="E34" s="10"/>
      <c r="F34" s="10"/>
      <c r="G34" s="10"/>
      <c r="H34" s="10"/>
      <c r="I34" s="10">
        <f t="shared" si="0"/>
        <v>0</v>
      </c>
      <c r="J34" s="10"/>
      <c r="K34" s="10"/>
      <c r="L34" s="10"/>
      <c r="M34" s="10"/>
      <c r="N34" s="10"/>
      <c r="O34" s="10"/>
      <c r="P34" s="6"/>
    </row>
    <row r="35" spans="1:16" ht="30.75" customHeight="1">
      <c r="A35" s="6" t="s">
        <v>59</v>
      </c>
      <c r="B35" s="10">
        <f t="shared" si="1"/>
        <v>1728.6</v>
      </c>
      <c r="C35" s="10"/>
      <c r="D35" s="10">
        <v>1600</v>
      </c>
      <c r="E35" s="10"/>
      <c r="F35" s="10">
        <v>48</v>
      </c>
      <c r="G35" s="10"/>
      <c r="H35" s="10">
        <f>88.2-7.6</f>
        <v>80.60000000000001</v>
      </c>
      <c r="I35" s="10">
        <f t="shared" si="0"/>
        <v>0</v>
      </c>
      <c r="J35" s="10"/>
      <c r="K35" s="10"/>
      <c r="L35" s="10"/>
      <c r="M35" s="10"/>
      <c r="N35" s="10"/>
      <c r="O35" s="10"/>
      <c r="P35" s="6"/>
    </row>
    <row r="36" spans="1:16" ht="30.75" customHeight="1">
      <c r="A36" s="6" t="s">
        <v>60</v>
      </c>
      <c r="B36" s="10">
        <f t="shared" si="1"/>
        <v>0</v>
      </c>
      <c r="C36" s="10"/>
      <c r="D36" s="10">
        <f>6000-6000</f>
        <v>0</v>
      </c>
      <c r="E36" s="10"/>
      <c r="F36" s="10"/>
      <c r="G36" s="10"/>
      <c r="H36" s="10"/>
      <c r="I36" s="10">
        <f t="shared" si="0"/>
        <v>0</v>
      </c>
      <c r="J36" s="10"/>
      <c r="K36" s="10"/>
      <c r="L36" s="10"/>
      <c r="M36" s="10"/>
      <c r="N36" s="10"/>
      <c r="O36" s="10"/>
      <c r="P36" s="6"/>
    </row>
    <row r="37" spans="1:16" ht="30.75" customHeight="1">
      <c r="A37" s="6" t="s">
        <v>61</v>
      </c>
      <c r="B37" s="10">
        <f t="shared" si="1"/>
        <v>0</v>
      </c>
      <c r="C37" s="10"/>
      <c r="D37" s="10">
        <f>700-700</f>
        <v>0</v>
      </c>
      <c r="E37" s="10"/>
      <c r="F37" s="10"/>
      <c r="G37" s="10"/>
      <c r="H37" s="10"/>
      <c r="I37" s="10">
        <f t="shared" si="0"/>
        <v>0</v>
      </c>
      <c r="J37" s="10"/>
      <c r="K37" s="10"/>
      <c r="L37" s="10"/>
      <c r="M37" s="10"/>
      <c r="N37" s="10"/>
      <c r="O37" s="10"/>
      <c r="P37" s="6"/>
    </row>
    <row r="38" spans="1:16" ht="39.75" customHeight="1">
      <c r="A38" s="15" t="s">
        <v>62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58"/>
    </row>
    <row r="39" spans="1:16" ht="40.5" customHeight="1">
      <c r="A39" s="6" t="s">
        <v>70</v>
      </c>
      <c r="B39" s="10">
        <f t="shared" si="1"/>
        <v>0</v>
      </c>
      <c r="C39" s="10">
        <v>0</v>
      </c>
      <c r="D39" s="10"/>
      <c r="E39" s="10"/>
      <c r="F39" s="10"/>
      <c r="G39" s="10"/>
      <c r="H39" s="10"/>
      <c r="I39" s="10">
        <f t="shared" si="0"/>
        <v>0</v>
      </c>
      <c r="J39" s="10"/>
      <c r="K39" s="10"/>
      <c r="L39" s="10"/>
      <c r="M39" s="10"/>
      <c r="N39" s="10"/>
      <c r="O39" s="10"/>
      <c r="P39" s="6"/>
    </row>
    <row r="40" spans="1:16" ht="49.5" customHeight="1">
      <c r="A40" s="18" t="s">
        <v>63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58"/>
    </row>
    <row r="41" spans="1:16" ht="66" customHeight="1">
      <c r="A41" s="57" t="s">
        <v>64</v>
      </c>
      <c r="B41" s="10">
        <f t="shared" si="1"/>
        <v>0</v>
      </c>
      <c r="C41" s="10">
        <v>0</v>
      </c>
      <c r="D41" s="10"/>
      <c r="E41" s="10"/>
      <c r="F41" s="10"/>
      <c r="G41" s="10"/>
      <c r="H41" s="10"/>
      <c r="I41" s="10">
        <f t="shared" si="0"/>
        <v>0</v>
      </c>
      <c r="J41" s="10"/>
      <c r="K41" s="10"/>
      <c r="L41" s="10"/>
      <c r="M41" s="10"/>
      <c r="N41" s="10"/>
      <c r="O41" s="10"/>
      <c r="P41" s="6"/>
    </row>
    <row r="42" spans="1:16" ht="24.75" customHeight="1">
      <c r="A42" s="20" t="s">
        <v>65</v>
      </c>
      <c r="B42" s="11">
        <f>C42+D42+E42+F42+G42+H42</f>
        <v>0</v>
      </c>
      <c r="C42" s="11"/>
      <c r="D42" s="11"/>
      <c r="E42" s="11"/>
      <c r="F42" s="11"/>
      <c r="G42" s="11"/>
      <c r="H42" s="11"/>
      <c r="I42" s="11">
        <f>J42+K42+L42+M42+N42+O42</f>
        <v>0</v>
      </c>
      <c r="J42" s="11"/>
      <c r="K42" s="11"/>
      <c r="L42" s="11"/>
      <c r="M42" s="11"/>
      <c r="N42" s="11"/>
      <c r="O42" s="11"/>
      <c r="P42" s="58"/>
    </row>
    <row r="43" spans="1:16" ht="55.5" customHeight="1">
      <c r="A43" s="6" t="s">
        <v>66</v>
      </c>
      <c r="B43" s="10">
        <f>C43+D43+E43+F43+G43+H43</f>
        <v>0</v>
      </c>
      <c r="C43" s="10"/>
      <c r="D43" s="10"/>
      <c r="E43" s="10"/>
      <c r="F43" s="10"/>
      <c r="G43" s="10"/>
      <c r="H43" s="10"/>
      <c r="I43" s="10">
        <f>J43+K43+L43+M43+N43+O43</f>
        <v>0</v>
      </c>
      <c r="J43" s="10"/>
      <c r="K43" s="10"/>
      <c r="L43" s="10"/>
      <c r="M43" s="10"/>
      <c r="N43" s="10"/>
      <c r="O43" s="10"/>
      <c r="P43" s="6"/>
    </row>
    <row r="44" spans="1:16" ht="31.5" customHeight="1">
      <c r="A44" s="6" t="s">
        <v>67</v>
      </c>
      <c r="B44" s="10">
        <f>C44+D44+E44+F44+G44+H44</f>
        <v>0</v>
      </c>
      <c r="C44" s="10"/>
      <c r="D44" s="10"/>
      <c r="E44" s="10"/>
      <c r="F44" s="10"/>
      <c r="G44" s="10"/>
      <c r="H44" s="10"/>
      <c r="I44" s="10">
        <f>J44+K44+L44+M44+N44+O44</f>
        <v>0</v>
      </c>
      <c r="J44" s="10"/>
      <c r="K44" s="10"/>
      <c r="L44" s="10"/>
      <c r="M44" s="10"/>
      <c r="N44" s="10"/>
      <c r="O44" s="10"/>
      <c r="P44" s="6"/>
    </row>
    <row r="45" spans="1:16" ht="45" customHeight="1">
      <c r="A45" s="6" t="s">
        <v>68</v>
      </c>
      <c r="B45" s="10">
        <f t="shared" si="1"/>
        <v>0</v>
      </c>
      <c r="C45" s="10"/>
      <c r="D45" s="10"/>
      <c r="E45" s="10"/>
      <c r="F45" s="10"/>
      <c r="G45" s="10"/>
      <c r="H45" s="10"/>
      <c r="I45" s="10">
        <f>J45+K45+L45+M45+N45+O45</f>
        <v>0</v>
      </c>
      <c r="J45" s="10"/>
      <c r="K45" s="10"/>
      <c r="L45" s="10"/>
      <c r="M45" s="10"/>
      <c r="N45" s="10"/>
      <c r="O45" s="10"/>
      <c r="P45" s="55"/>
    </row>
    <row r="46" spans="1:16" ht="59.25" customHeight="1">
      <c r="A46" s="6" t="s">
        <v>69</v>
      </c>
      <c r="B46" s="10">
        <f t="shared" si="1"/>
        <v>0</v>
      </c>
      <c r="C46" s="10"/>
      <c r="D46" s="10"/>
      <c r="E46" s="10"/>
      <c r="F46" s="10"/>
      <c r="G46" s="10"/>
      <c r="H46" s="10"/>
      <c r="I46" s="10">
        <f>J46+K46+L46+M46+N46+O46</f>
        <v>0</v>
      </c>
      <c r="J46" s="10"/>
      <c r="K46" s="10"/>
      <c r="L46" s="10"/>
      <c r="M46" s="10"/>
      <c r="N46" s="10"/>
      <c r="O46" s="10"/>
      <c r="P46" s="6"/>
    </row>
    <row r="47" spans="1:18" ht="15">
      <c r="A47" s="25" t="s">
        <v>12</v>
      </c>
      <c r="B47" s="27">
        <f t="shared" si="1"/>
        <v>249898.7</v>
      </c>
      <c r="C47" s="27">
        <f aca="true" t="shared" si="2" ref="C47:O47">SUM(C30:C46)</f>
        <v>237701.6</v>
      </c>
      <c r="D47" s="27">
        <f t="shared" si="2"/>
        <v>11739.6</v>
      </c>
      <c r="E47" s="27">
        <f t="shared" si="2"/>
        <v>166</v>
      </c>
      <c r="F47" s="27">
        <f t="shared" si="2"/>
        <v>48</v>
      </c>
      <c r="G47" s="27">
        <f t="shared" si="2"/>
        <v>162.9</v>
      </c>
      <c r="H47" s="27">
        <f t="shared" si="2"/>
        <v>80.60000000000001</v>
      </c>
      <c r="I47" s="27">
        <f t="shared" si="2"/>
        <v>0</v>
      </c>
      <c r="J47" s="27">
        <f t="shared" si="2"/>
        <v>0</v>
      </c>
      <c r="K47" s="27">
        <f t="shared" si="2"/>
        <v>0</v>
      </c>
      <c r="L47" s="27">
        <f t="shared" si="2"/>
        <v>0</v>
      </c>
      <c r="M47" s="27">
        <f t="shared" si="2"/>
        <v>0</v>
      </c>
      <c r="N47" s="27">
        <f t="shared" si="2"/>
        <v>0</v>
      </c>
      <c r="O47" s="27">
        <f t="shared" si="2"/>
        <v>0</v>
      </c>
      <c r="P47" s="36">
        <f>I47/B47*100</f>
        <v>0</v>
      </c>
      <c r="Q47" s="87">
        <f>C47+E47+G47</f>
        <v>238030.5</v>
      </c>
      <c r="R47" s="87">
        <f>D47+F47+H47</f>
        <v>11868.2</v>
      </c>
    </row>
    <row r="48" spans="1:16" ht="15.75">
      <c r="A48" s="116" t="s">
        <v>71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</row>
    <row r="49" spans="1:16" ht="21" customHeight="1">
      <c r="A49" s="15" t="s">
        <v>72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30.75" customHeight="1">
      <c r="A50" s="73" t="s">
        <v>73</v>
      </c>
      <c r="B50" s="39">
        <f aca="true" t="shared" si="3" ref="B50:B63">C50+D50+E50+F50+G50+H50</f>
        <v>468010.30000000005</v>
      </c>
      <c r="C50" s="39">
        <f>120282.7-10282.7</f>
        <v>110000</v>
      </c>
      <c r="D50" s="39">
        <v>2100</v>
      </c>
      <c r="E50" s="40"/>
      <c r="F50" s="40"/>
      <c r="G50" s="39">
        <f>338122.7+2067+2738.9+9026.7+3973.7-18.7</f>
        <v>355910.30000000005</v>
      </c>
      <c r="H50" s="40"/>
      <c r="I50" s="10">
        <f aca="true" t="shared" si="4" ref="I50:I63">J50+K50+L50+M50+N50+O50</f>
        <v>0</v>
      </c>
      <c r="J50" s="10"/>
      <c r="K50" s="3"/>
      <c r="L50" s="3"/>
      <c r="M50" s="3"/>
      <c r="N50" s="3"/>
      <c r="O50" s="3"/>
      <c r="P50" s="6"/>
    </row>
    <row r="51" spans="1:16" ht="41.25" customHeight="1">
      <c r="A51" s="73" t="s">
        <v>74</v>
      </c>
      <c r="B51" s="39">
        <f>C51+D51+E51+F51+G51+H51</f>
        <v>1605</v>
      </c>
      <c r="C51" s="39"/>
      <c r="D51" s="40"/>
      <c r="E51" s="40"/>
      <c r="F51" s="40"/>
      <c r="G51" s="39">
        <f>1396.3+208.7</f>
        <v>1605</v>
      </c>
      <c r="H51" s="40"/>
      <c r="I51" s="10">
        <f>J51+K51+L51+M51+N51+O51</f>
        <v>0</v>
      </c>
      <c r="J51" s="10"/>
      <c r="K51" s="3"/>
      <c r="L51" s="3"/>
      <c r="M51" s="3"/>
      <c r="N51" s="3"/>
      <c r="O51" s="3"/>
      <c r="P51" s="6"/>
    </row>
    <row r="52" spans="1:16" ht="44.25" customHeight="1">
      <c r="A52" s="73" t="s">
        <v>75</v>
      </c>
      <c r="B52" s="39">
        <f>C52+D52+E52+F52+G52+H52</f>
        <v>18876.299999999996</v>
      </c>
      <c r="C52" s="39">
        <f>19570.1-6770.1-2600</f>
        <v>10199.999999999998</v>
      </c>
      <c r="D52" s="40">
        <f>26675-17998.7</f>
        <v>8676.3</v>
      </c>
      <c r="E52" s="40"/>
      <c r="F52" s="40"/>
      <c r="G52" s="40"/>
      <c r="H52" s="40"/>
      <c r="I52" s="10">
        <f>J52+K52+L52+M52+N52+O52</f>
        <v>0</v>
      </c>
      <c r="J52" s="10"/>
      <c r="K52" s="3"/>
      <c r="L52" s="3"/>
      <c r="M52" s="3"/>
      <c r="N52" s="3"/>
      <c r="O52" s="3"/>
      <c r="P52" s="6"/>
    </row>
    <row r="53" spans="1:16" ht="27.75" customHeight="1">
      <c r="A53" s="48" t="s">
        <v>76</v>
      </c>
      <c r="B53" s="39">
        <f>C53+D53+E53+F53+G53+H53</f>
        <v>68906.6</v>
      </c>
      <c r="C53" s="39">
        <f>59580.5+419.5</f>
        <v>60000</v>
      </c>
      <c r="D53" s="40">
        <v>148</v>
      </c>
      <c r="E53" s="40">
        <v>106.7</v>
      </c>
      <c r="F53" s="40"/>
      <c r="G53" s="39">
        <f>5846+150.6-1214.5+182.3-101.8+3703.1+37.2+49</f>
        <v>8651.900000000001</v>
      </c>
      <c r="H53" s="40"/>
      <c r="I53" s="10">
        <f>J53+K53+L53+M53+N53+O53</f>
        <v>0</v>
      </c>
      <c r="J53" s="10"/>
      <c r="K53" s="3"/>
      <c r="L53" s="3"/>
      <c r="M53" s="3"/>
      <c r="N53" s="3"/>
      <c r="O53" s="3"/>
      <c r="P53" s="6"/>
    </row>
    <row r="54" spans="1:16" ht="20.25" customHeight="1">
      <c r="A54" s="74" t="s">
        <v>77</v>
      </c>
      <c r="B54" s="39">
        <f>C54+D54+E54+F54+G54+H54</f>
        <v>878.2</v>
      </c>
      <c r="C54" s="39">
        <v>878.2</v>
      </c>
      <c r="D54" s="40"/>
      <c r="E54" s="40"/>
      <c r="F54" s="40"/>
      <c r="G54" s="40"/>
      <c r="H54" s="40"/>
      <c r="I54" s="10">
        <f>J54+K54+L54+M54+N54+O54</f>
        <v>0</v>
      </c>
      <c r="J54" s="10"/>
      <c r="K54" s="3"/>
      <c r="L54" s="3"/>
      <c r="M54" s="3"/>
      <c r="N54" s="3"/>
      <c r="O54" s="3"/>
      <c r="P54" s="6"/>
    </row>
    <row r="55" spans="1:16" ht="30.75" customHeight="1">
      <c r="A55" s="73" t="s">
        <v>78</v>
      </c>
      <c r="B55" s="39">
        <f>C55+D55+E55+F55+G55+H55</f>
        <v>5949</v>
      </c>
      <c r="C55" s="39"/>
      <c r="D55" s="39">
        <f>3000+200+200+400</f>
        <v>3800</v>
      </c>
      <c r="E55" s="39"/>
      <c r="F55" s="39">
        <v>35</v>
      </c>
      <c r="G55" s="39"/>
      <c r="H55" s="39">
        <f>742.6+663.4-21.3+621.9+101.8+9.1+33.6-37.1</f>
        <v>2114</v>
      </c>
      <c r="I55" s="10">
        <f>J55+K55+L55+M55+N55+O55</f>
        <v>0</v>
      </c>
      <c r="J55" s="10"/>
      <c r="K55" s="3"/>
      <c r="L55" s="3"/>
      <c r="M55" s="3"/>
      <c r="N55" s="3"/>
      <c r="O55" s="3"/>
      <c r="P55" s="6"/>
    </row>
    <row r="56" spans="1:16" ht="21.75" customHeight="1">
      <c r="A56" s="75" t="s">
        <v>79</v>
      </c>
      <c r="B56" s="39">
        <f t="shared" si="3"/>
        <v>0</v>
      </c>
      <c r="C56" s="39"/>
      <c r="D56" s="39">
        <f>12572.6-12572.6</f>
        <v>0</v>
      </c>
      <c r="E56" s="39"/>
      <c r="F56" s="39"/>
      <c r="G56" s="39"/>
      <c r="H56" s="39"/>
      <c r="I56" s="10">
        <f t="shared" si="4"/>
        <v>0</v>
      </c>
      <c r="J56" s="3"/>
      <c r="K56" s="3"/>
      <c r="L56" s="3"/>
      <c r="M56" s="3"/>
      <c r="N56" s="3"/>
      <c r="O56" s="3"/>
      <c r="P56" s="6"/>
    </row>
    <row r="57" spans="1:16" ht="30.75" customHeight="1">
      <c r="A57" s="48" t="s">
        <v>80</v>
      </c>
      <c r="B57" s="39">
        <f t="shared" si="3"/>
        <v>0</v>
      </c>
      <c r="C57" s="39"/>
      <c r="D57" s="39">
        <f>5517.4-5517.4</f>
        <v>0</v>
      </c>
      <c r="E57" s="40"/>
      <c r="F57" s="40"/>
      <c r="G57" s="40"/>
      <c r="H57" s="40"/>
      <c r="I57" s="10">
        <f t="shared" si="4"/>
        <v>0</v>
      </c>
      <c r="J57" s="8"/>
      <c r="K57" s="3"/>
      <c r="L57" s="3"/>
      <c r="M57" s="3"/>
      <c r="N57" s="3"/>
      <c r="O57" s="3"/>
      <c r="P57" s="6"/>
    </row>
    <row r="58" spans="1:16" ht="42" customHeight="1">
      <c r="A58" s="15" t="s">
        <v>62</v>
      </c>
      <c r="B58" s="12"/>
      <c r="C58" s="12"/>
      <c r="D58" s="17"/>
      <c r="E58" s="17"/>
      <c r="F58" s="17"/>
      <c r="G58" s="17"/>
      <c r="H58" s="17"/>
      <c r="I58" s="12"/>
      <c r="J58" s="17"/>
      <c r="K58" s="17"/>
      <c r="L58" s="17"/>
      <c r="M58" s="17"/>
      <c r="N58" s="17"/>
      <c r="O58" s="17"/>
      <c r="P58" s="17"/>
    </row>
    <row r="59" spans="1:16" ht="42.75" customHeight="1">
      <c r="A59" s="6" t="s">
        <v>81</v>
      </c>
      <c r="B59" s="10">
        <f t="shared" si="3"/>
        <v>0</v>
      </c>
      <c r="C59" s="10">
        <v>0</v>
      </c>
      <c r="D59" s="8"/>
      <c r="E59" s="8"/>
      <c r="F59" s="8"/>
      <c r="G59" s="8"/>
      <c r="H59" s="8"/>
      <c r="I59" s="10">
        <f t="shared" si="4"/>
        <v>0</v>
      </c>
      <c r="J59" s="8"/>
      <c r="K59" s="8"/>
      <c r="L59" s="8"/>
      <c r="M59" s="8"/>
      <c r="N59" s="8"/>
      <c r="O59" s="8"/>
      <c r="P59" s="60"/>
    </row>
    <row r="60" spans="1:16" ht="51" customHeight="1">
      <c r="A60" s="15" t="s">
        <v>82</v>
      </c>
      <c r="B60" s="11">
        <f t="shared" si="3"/>
        <v>0</v>
      </c>
      <c r="C60" s="12"/>
      <c r="D60" s="17"/>
      <c r="E60" s="17"/>
      <c r="F60" s="17"/>
      <c r="G60" s="17"/>
      <c r="H60" s="17"/>
      <c r="I60" s="11">
        <f t="shared" si="4"/>
        <v>0</v>
      </c>
      <c r="J60" s="17"/>
      <c r="K60" s="17"/>
      <c r="L60" s="17"/>
      <c r="M60" s="17"/>
      <c r="N60" s="17"/>
      <c r="O60" s="17"/>
      <c r="P60" s="62"/>
    </row>
    <row r="61" spans="1:16" ht="68.25" customHeight="1">
      <c r="A61" s="6" t="s">
        <v>84</v>
      </c>
      <c r="B61" s="10">
        <f t="shared" si="3"/>
        <v>0</v>
      </c>
      <c r="C61" s="10">
        <v>0</v>
      </c>
      <c r="D61" s="8"/>
      <c r="E61" s="8"/>
      <c r="F61" s="8"/>
      <c r="G61" s="8"/>
      <c r="H61" s="8"/>
      <c r="I61" s="10">
        <f t="shared" si="4"/>
        <v>0</v>
      </c>
      <c r="J61" s="8"/>
      <c r="K61" s="8"/>
      <c r="L61" s="8"/>
      <c r="M61" s="8"/>
      <c r="N61" s="8"/>
      <c r="O61" s="8"/>
      <c r="P61" s="60"/>
    </row>
    <row r="62" spans="1:16" ht="50.25" customHeight="1">
      <c r="A62" s="61" t="s">
        <v>85</v>
      </c>
      <c r="B62" s="11"/>
      <c r="C62" s="12"/>
      <c r="D62" s="17"/>
      <c r="E62" s="17"/>
      <c r="F62" s="17"/>
      <c r="G62" s="17"/>
      <c r="H62" s="17"/>
      <c r="I62" s="11"/>
      <c r="J62" s="17"/>
      <c r="K62" s="17"/>
      <c r="L62" s="17"/>
      <c r="M62" s="17"/>
      <c r="N62" s="17"/>
      <c r="O62" s="17"/>
      <c r="P62" s="58"/>
    </row>
    <row r="63" spans="1:16" ht="28.5">
      <c r="A63" s="63" t="s">
        <v>83</v>
      </c>
      <c r="B63" s="10">
        <f t="shared" si="3"/>
        <v>0</v>
      </c>
      <c r="C63" s="10">
        <v>0</v>
      </c>
      <c r="D63" s="10"/>
      <c r="E63" s="10"/>
      <c r="F63" s="10"/>
      <c r="G63" s="10"/>
      <c r="H63" s="10"/>
      <c r="I63" s="10">
        <f t="shared" si="4"/>
        <v>0</v>
      </c>
      <c r="J63" s="10"/>
      <c r="K63" s="10"/>
      <c r="L63" s="10"/>
      <c r="M63" s="10"/>
      <c r="N63" s="10"/>
      <c r="O63" s="10"/>
      <c r="P63" s="60"/>
    </row>
    <row r="64" spans="1:16" ht="38.25">
      <c r="A64" s="65" t="s">
        <v>86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64"/>
    </row>
    <row r="65" spans="1:16" ht="38.25">
      <c r="A65" s="7" t="s">
        <v>87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60"/>
    </row>
    <row r="66" spans="1:16" ht="26.25">
      <c r="A66" s="6" t="s">
        <v>88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60"/>
    </row>
    <row r="67" spans="1:16" ht="31.5" customHeight="1">
      <c r="A67" s="6" t="s">
        <v>89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60"/>
    </row>
    <row r="68" spans="1:16" ht="26.25">
      <c r="A68" s="6" t="s">
        <v>90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60"/>
    </row>
    <row r="69" spans="1:18" ht="20.25" customHeight="1">
      <c r="A69" s="25" t="s">
        <v>13</v>
      </c>
      <c r="B69" s="27">
        <f>C69+D69+E69+F69+G69+H69</f>
        <v>564225.4000000001</v>
      </c>
      <c r="C69" s="27">
        <f aca="true" t="shared" si="5" ref="C69:O69">SUM(C50:C63)</f>
        <v>181078.2</v>
      </c>
      <c r="D69" s="26">
        <f t="shared" si="5"/>
        <v>14724.3</v>
      </c>
      <c r="E69" s="27">
        <f t="shared" si="5"/>
        <v>106.7</v>
      </c>
      <c r="F69" s="27">
        <f t="shared" si="5"/>
        <v>35</v>
      </c>
      <c r="G69" s="27">
        <f t="shared" si="5"/>
        <v>366167.20000000007</v>
      </c>
      <c r="H69" s="26">
        <f t="shared" si="5"/>
        <v>2114</v>
      </c>
      <c r="I69" s="26">
        <f t="shared" si="5"/>
        <v>0</v>
      </c>
      <c r="J69" s="26">
        <f t="shared" si="5"/>
        <v>0</v>
      </c>
      <c r="K69" s="26">
        <f t="shared" si="5"/>
        <v>0</v>
      </c>
      <c r="L69" s="26">
        <f t="shared" si="5"/>
        <v>0</v>
      </c>
      <c r="M69" s="26">
        <f t="shared" si="5"/>
        <v>0</v>
      </c>
      <c r="N69" s="26">
        <f t="shared" si="5"/>
        <v>0</v>
      </c>
      <c r="O69" s="26">
        <f t="shared" si="5"/>
        <v>0</v>
      </c>
      <c r="P69" s="36">
        <f>I69/B69*100</f>
        <v>0</v>
      </c>
      <c r="Q69" s="87">
        <f>C69+E69+G69</f>
        <v>547352.1000000001</v>
      </c>
      <c r="R69" s="87">
        <f>D69+F69+H69</f>
        <v>16873.3</v>
      </c>
    </row>
    <row r="70" spans="1:16" ht="15">
      <c r="A70" s="117" t="s">
        <v>91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</row>
    <row r="71" spans="1:16" ht="25.5">
      <c r="A71" s="21" t="s">
        <v>14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26.25">
      <c r="A72" s="9" t="s">
        <v>92</v>
      </c>
      <c r="B72" s="39">
        <f>C72+D72+E72+F72+G72+H72</f>
        <v>0</v>
      </c>
      <c r="C72" s="39"/>
      <c r="D72" s="39"/>
      <c r="E72" s="39"/>
      <c r="F72" s="39"/>
      <c r="G72" s="39"/>
      <c r="H72" s="39"/>
      <c r="I72" s="39">
        <f>J72+K72+L72+M72+N72+O72</f>
        <v>0</v>
      </c>
      <c r="J72" s="39"/>
      <c r="K72" s="39"/>
      <c r="L72" s="39"/>
      <c r="M72" s="39"/>
      <c r="N72" s="39"/>
      <c r="O72" s="39"/>
      <c r="P72" s="6"/>
    </row>
    <row r="73" spans="1:16" ht="30.75" customHeight="1">
      <c r="A73" s="9" t="s">
        <v>93</v>
      </c>
      <c r="B73" s="39">
        <f>C73+D73+E73+F73+G73+H73</f>
        <v>0</v>
      </c>
      <c r="C73" s="39"/>
      <c r="D73" s="39"/>
      <c r="E73" s="39"/>
      <c r="F73" s="39"/>
      <c r="G73" s="39"/>
      <c r="H73" s="39"/>
      <c r="I73" s="39">
        <f>J73+K73+L73+M73+N73+O73</f>
        <v>0</v>
      </c>
      <c r="J73" s="39"/>
      <c r="K73" s="39"/>
      <c r="L73" s="39"/>
      <c r="M73" s="39"/>
      <c r="N73" s="39"/>
      <c r="O73" s="39"/>
      <c r="P73" s="48"/>
    </row>
    <row r="74" spans="1:16" ht="15">
      <c r="A74" s="25" t="s">
        <v>15</v>
      </c>
      <c r="B74" s="27">
        <f>SUM(B72:B73)</f>
        <v>0</v>
      </c>
      <c r="C74" s="27">
        <f aca="true" t="shared" si="6" ref="C74:O74">SUM(C72:C73)</f>
        <v>0</v>
      </c>
      <c r="D74" s="27">
        <f t="shared" si="6"/>
        <v>0</v>
      </c>
      <c r="E74" s="27">
        <f t="shared" si="6"/>
        <v>0</v>
      </c>
      <c r="F74" s="27">
        <f t="shared" si="6"/>
        <v>0</v>
      </c>
      <c r="G74" s="27">
        <f t="shared" si="6"/>
        <v>0</v>
      </c>
      <c r="H74" s="27">
        <f t="shared" si="6"/>
        <v>0</v>
      </c>
      <c r="I74" s="27">
        <f t="shared" si="6"/>
        <v>0</v>
      </c>
      <c r="J74" s="27">
        <f t="shared" si="6"/>
        <v>0</v>
      </c>
      <c r="K74" s="27">
        <f t="shared" si="6"/>
        <v>0</v>
      </c>
      <c r="L74" s="27">
        <f t="shared" si="6"/>
        <v>0</v>
      </c>
      <c r="M74" s="27">
        <f t="shared" si="6"/>
        <v>0</v>
      </c>
      <c r="N74" s="27">
        <f t="shared" si="6"/>
        <v>0</v>
      </c>
      <c r="O74" s="27">
        <f t="shared" si="6"/>
        <v>0</v>
      </c>
      <c r="P74" s="25"/>
    </row>
    <row r="75" spans="1:16" ht="15.75">
      <c r="A75" s="116" t="s">
        <v>94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</row>
    <row r="76" spans="1:16" ht="26.25">
      <c r="A76" s="67" t="s">
        <v>100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</row>
    <row r="77" spans="1:16" ht="27.75" customHeight="1">
      <c r="A77" s="9" t="s">
        <v>95</v>
      </c>
      <c r="B77" s="10">
        <f aca="true" t="shared" si="7" ref="B77:B83">C77+D77+E77+F77+G77+H77</f>
        <v>13585.2</v>
      </c>
      <c r="C77" s="10">
        <f>1800+2660.1</f>
        <v>4460.1</v>
      </c>
      <c r="D77" s="10"/>
      <c r="E77" s="10"/>
      <c r="F77" s="10"/>
      <c r="G77" s="10">
        <f>6214.3+2891.2+19.6</f>
        <v>9125.1</v>
      </c>
      <c r="H77" s="10"/>
      <c r="I77" s="10">
        <f aca="true" t="shared" si="8" ref="I77:I83">J77+K77+L77+M77+N77+O77</f>
        <v>0</v>
      </c>
      <c r="J77" s="10"/>
      <c r="K77" s="10"/>
      <c r="L77" s="10"/>
      <c r="M77" s="10"/>
      <c r="N77" s="10"/>
      <c r="O77" s="10"/>
      <c r="P77" s="6"/>
    </row>
    <row r="78" spans="1:16" ht="26.25">
      <c r="A78" s="9" t="s">
        <v>96</v>
      </c>
      <c r="B78" s="10">
        <f t="shared" si="7"/>
        <v>535.6</v>
      </c>
      <c r="C78" s="10">
        <f>362.3+173.3</f>
        <v>535.6</v>
      </c>
      <c r="D78" s="10"/>
      <c r="E78" s="10"/>
      <c r="F78" s="10"/>
      <c r="G78" s="10"/>
      <c r="H78" s="10"/>
      <c r="I78" s="10">
        <f t="shared" si="8"/>
        <v>0</v>
      </c>
      <c r="J78" s="10"/>
      <c r="K78" s="10"/>
      <c r="L78" s="10"/>
      <c r="M78" s="10"/>
      <c r="N78" s="10"/>
      <c r="O78" s="10"/>
      <c r="P78" s="6"/>
    </row>
    <row r="79" spans="1:16" ht="26.25">
      <c r="A79" s="9" t="s">
        <v>97</v>
      </c>
      <c r="B79" s="10">
        <f t="shared" si="7"/>
        <v>1846.8999999999999</v>
      </c>
      <c r="C79" s="10">
        <f>1226+521.8</f>
        <v>1747.8</v>
      </c>
      <c r="D79" s="10"/>
      <c r="E79" s="10"/>
      <c r="F79" s="10"/>
      <c r="G79" s="10">
        <f>26+73.1</f>
        <v>99.1</v>
      </c>
      <c r="H79" s="10"/>
      <c r="I79" s="10">
        <f t="shared" si="8"/>
        <v>0</v>
      </c>
      <c r="J79" s="10"/>
      <c r="K79" s="10"/>
      <c r="L79" s="10"/>
      <c r="M79" s="10"/>
      <c r="N79" s="10"/>
      <c r="O79" s="10"/>
      <c r="P79" s="3"/>
    </row>
    <row r="80" spans="1:16" ht="15">
      <c r="A80" s="59" t="s">
        <v>58</v>
      </c>
      <c r="B80" s="10">
        <f t="shared" si="7"/>
        <v>4.9</v>
      </c>
      <c r="C80" s="10">
        <v>4.9</v>
      </c>
      <c r="D80" s="10"/>
      <c r="E80" s="10"/>
      <c r="F80" s="10"/>
      <c r="G80" s="10"/>
      <c r="H80" s="10"/>
      <c r="I80" s="10">
        <f t="shared" si="8"/>
        <v>0</v>
      </c>
      <c r="J80" s="10"/>
      <c r="K80" s="10"/>
      <c r="L80" s="10"/>
      <c r="M80" s="10"/>
      <c r="N80" s="10"/>
      <c r="O80" s="10"/>
      <c r="P80" s="3"/>
    </row>
    <row r="81" spans="1:16" ht="26.25">
      <c r="A81" s="73" t="s">
        <v>59</v>
      </c>
      <c r="B81" s="39">
        <f t="shared" si="7"/>
        <v>252.4</v>
      </c>
      <c r="C81" s="39"/>
      <c r="D81" s="39">
        <f>22+21+188.1</f>
        <v>231.1</v>
      </c>
      <c r="E81" s="10"/>
      <c r="F81" s="10"/>
      <c r="G81" s="10"/>
      <c r="H81" s="10">
        <v>21.3</v>
      </c>
      <c r="I81" s="10">
        <f t="shared" si="8"/>
        <v>0</v>
      </c>
      <c r="J81" s="10"/>
      <c r="K81" s="10"/>
      <c r="L81" s="10"/>
      <c r="M81" s="10"/>
      <c r="N81" s="10"/>
      <c r="O81" s="10"/>
      <c r="P81" s="3"/>
    </row>
    <row r="82" spans="1:16" ht="15">
      <c r="A82" s="75" t="s">
        <v>98</v>
      </c>
      <c r="B82" s="39">
        <f t="shared" si="7"/>
        <v>0</v>
      </c>
      <c r="C82" s="39"/>
      <c r="D82" s="39">
        <f>150-150</f>
        <v>0</v>
      </c>
      <c r="E82" s="10"/>
      <c r="F82" s="10"/>
      <c r="G82" s="10"/>
      <c r="H82" s="10"/>
      <c r="I82" s="10">
        <f t="shared" si="8"/>
        <v>0</v>
      </c>
      <c r="J82" s="10"/>
      <c r="K82" s="10"/>
      <c r="L82" s="10"/>
      <c r="M82" s="10"/>
      <c r="N82" s="10"/>
      <c r="O82" s="10"/>
      <c r="P82" s="3"/>
    </row>
    <row r="83" spans="1:16" ht="15">
      <c r="A83" s="5" t="s">
        <v>99</v>
      </c>
      <c r="B83" s="10">
        <f t="shared" si="7"/>
        <v>0</v>
      </c>
      <c r="C83" s="10"/>
      <c r="D83" s="10"/>
      <c r="E83" s="10"/>
      <c r="F83" s="10"/>
      <c r="G83" s="10"/>
      <c r="H83" s="10"/>
      <c r="I83" s="10">
        <f t="shared" si="8"/>
        <v>0</v>
      </c>
      <c r="J83" s="10"/>
      <c r="K83" s="10"/>
      <c r="L83" s="10"/>
      <c r="M83" s="10"/>
      <c r="N83" s="10"/>
      <c r="O83" s="10"/>
      <c r="P83" s="3"/>
    </row>
    <row r="84" spans="1:18" ht="15">
      <c r="A84" s="25" t="s">
        <v>17</v>
      </c>
      <c r="B84" s="27">
        <f>SUM(B77:B83)</f>
        <v>16225</v>
      </c>
      <c r="C84" s="27">
        <f aca="true" t="shared" si="9" ref="C84:O84">SUM(C77:C83)</f>
        <v>6748.400000000001</v>
      </c>
      <c r="D84" s="27">
        <f t="shared" si="9"/>
        <v>231.1</v>
      </c>
      <c r="E84" s="27">
        <f t="shared" si="9"/>
        <v>0</v>
      </c>
      <c r="F84" s="27">
        <f t="shared" si="9"/>
        <v>0</v>
      </c>
      <c r="G84" s="27">
        <f t="shared" si="9"/>
        <v>9224.2</v>
      </c>
      <c r="H84" s="27">
        <f t="shared" si="9"/>
        <v>21.3</v>
      </c>
      <c r="I84" s="27">
        <f t="shared" si="9"/>
        <v>0</v>
      </c>
      <c r="J84" s="27">
        <f t="shared" si="9"/>
        <v>0</v>
      </c>
      <c r="K84" s="27">
        <f t="shared" si="9"/>
        <v>0</v>
      </c>
      <c r="L84" s="27">
        <f t="shared" si="9"/>
        <v>0</v>
      </c>
      <c r="M84" s="27">
        <f t="shared" si="9"/>
        <v>0</v>
      </c>
      <c r="N84" s="27">
        <f t="shared" si="9"/>
        <v>0</v>
      </c>
      <c r="O84" s="27">
        <f t="shared" si="9"/>
        <v>0</v>
      </c>
      <c r="P84" s="36">
        <f>I84/B84*100</f>
        <v>0</v>
      </c>
      <c r="Q84" s="87">
        <f>C84+E84+G84</f>
        <v>15972.600000000002</v>
      </c>
      <c r="R84" s="87">
        <f>D84+F84+H84</f>
        <v>252.4</v>
      </c>
    </row>
    <row r="85" spans="1:16" ht="15.75">
      <c r="A85" s="116" t="s">
        <v>101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</row>
    <row r="86" spans="1:16" ht="15">
      <c r="A86" s="15" t="s">
        <v>102</v>
      </c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26.25">
      <c r="A87" s="9" t="s">
        <v>103</v>
      </c>
      <c r="B87" s="39">
        <f aca="true" t="shared" si="10" ref="B87:B92">C87+D87+E87+F87+G87+H87</f>
        <v>25650.1</v>
      </c>
      <c r="C87" s="40">
        <v>25650.1</v>
      </c>
      <c r="D87" s="39"/>
      <c r="E87" s="39"/>
      <c r="F87" s="39"/>
      <c r="G87" s="39"/>
      <c r="H87" s="39"/>
      <c r="I87" s="39">
        <f aca="true" t="shared" si="11" ref="I87:I92">J87+K87+L87+M87+N87+O87</f>
        <v>0</v>
      </c>
      <c r="J87" s="39"/>
      <c r="K87" s="39"/>
      <c r="L87" s="39"/>
      <c r="M87" s="39"/>
      <c r="N87" s="39"/>
      <c r="O87" s="39"/>
      <c r="P87" s="6"/>
    </row>
    <row r="88" spans="1:16" ht="26.25">
      <c r="A88" s="9" t="s">
        <v>104</v>
      </c>
      <c r="B88" s="39">
        <f t="shared" si="10"/>
        <v>4231</v>
      </c>
      <c r="C88" s="40">
        <v>4231</v>
      </c>
      <c r="D88" s="39"/>
      <c r="E88" s="39"/>
      <c r="F88" s="39"/>
      <c r="G88" s="39"/>
      <c r="H88" s="39"/>
      <c r="I88" s="39">
        <f t="shared" si="11"/>
        <v>0</v>
      </c>
      <c r="J88" s="39"/>
      <c r="K88" s="39"/>
      <c r="L88" s="39"/>
      <c r="M88" s="39"/>
      <c r="N88" s="39"/>
      <c r="O88" s="39"/>
      <c r="P88" s="6"/>
    </row>
    <row r="89" spans="1:16" ht="15">
      <c r="A89" s="59" t="s">
        <v>105</v>
      </c>
      <c r="B89" s="39">
        <f t="shared" si="10"/>
        <v>99.2</v>
      </c>
      <c r="C89" s="39">
        <v>99.2</v>
      </c>
      <c r="D89" s="39"/>
      <c r="E89" s="39"/>
      <c r="F89" s="39"/>
      <c r="G89" s="39"/>
      <c r="H89" s="39"/>
      <c r="I89" s="39">
        <f t="shared" si="11"/>
        <v>0</v>
      </c>
      <c r="J89" s="39"/>
      <c r="K89" s="39"/>
      <c r="L89" s="39"/>
      <c r="M89" s="39"/>
      <c r="N89" s="39"/>
      <c r="O89" s="39"/>
      <c r="P89" s="6"/>
    </row>
    <row r="90" spans="1:16" ht="26.25">
      <c r="A90" s="9" t="s">
        <v>106</v>
      </c>
      <c r="B90" s="39">
        <f t="shared" si="10"/>
        <v>226.2</v>
      </c>
      <c r="C90" s="40"/>
      <c r="D90" s="40">
        <v>226.2</v>
      </c>
      <c r="E90" s="39"/>
      <c r="F90" s="39"/>
      <c r="G90" s="39"/>
      <c r="H90" s="39"/>
      <c r="I90" s="39">
        <f t="shared" si="11"/>
        <v>0</v>
      </c>
      <c r="J90" s="39"/>
      <c r="K90" s="39"/>
      <c r="L90" s="39"/>
      <c r="M90" s="39"/>
      <c r="N90" s="39"/>
      <c r="O90" s="39"/>
      <c r="P90" s="6"/>
    </row>
    <row r="91" spans="1:16" ht="15">
      <c r="A91" s="5" t="s">
        <v>107</v>
      </c>
      <c r="B91" s="39">
        <f t="shared" si="10"/>
        <v>0</v>
      </c>
      <c r="C91" s="39"/>
      <c r="D91" s="39">
        <f>600-600</f>
        <v>0</v>
      </c>
      <c r="E91" s="39"/>
      <c r="F91" s="39"/>
      <c r="G91" s="39"/>
      <c r="H91" s="39"/>
      <c r="I91" s="39">
        <f t="shared" si="11"/>
        <v>0</v>
      </c>
      <c r="J91" s="39"/>
      <c r="K91" s="39"/>
      <c r="L91" s="39"/>
      <c r="M91" s="39"/>
      <c r="N91" s="39"/>
      <c r="O91" s="39"/>
      <c r="P91" s="6"/>
    </row>
    <row r="92" spans="1:16" ht="26.25">
      <c r="A92" s="6" t="s">
        <v>108</v>
      </c>
      <c r="B92" s="39">
        <f t="shared" si="10"/>
        <v>0</v>
      </c>
      <c r="C92" s="40"/>
      <c r="D92" s="40">
        <f>500-500</f>
        <v>0</v>
      </c>
      <c r="E92" s="39"/>
      <c r="F92" s="39"/>
      <c r="G92" s="39"/>
      <c r="H92" s="39"/>
      <c r="I92" s="39">
        <f t="shared" si="11"/>
        <v>0</v>
      </c>
      <c r="J92" s="39"/>
      <c r="K92" s="39"/>
      <c r="L92" s="39"/>
      <c r="M92" s="39"/>
      <c r="N92" s="39"/>
      <c r="O92" s="39"/>
      <c r="P92" s="6"/>
    </row>
    <row r="93" spans="1:18" ht="15">
      <c r="A93" s="25" t="s">
        <v>18</v>
      </c>
      <c r="B93" s="27">
        <f aca="true" t="shared" si="12" ref="B93:O93">SUM(B87:B92)</f>
        <v>30206.5</v>
      </c>
      <c r="C93" s="27">
        <f t="shared" si="12"/>
        <v>29980.3</v>
      </c>
      <c r="D93" s="27">
        <f t="shared" si="12"/>
        <v>226.2</v>
      </c>
      <c r="E93" s="27">
        <f t="shared" si="12"/>
        <v>0</v>
      </c>
      <c r="F93" s="27">
        <f t="shared" si="12"/>
        <v>0</v>
      </c>
      <c r="G93" s="27">
        <f t="shared" si="12"/>
        <v>0</v>
      </c>
      <c r="H93" s="27">
        <f t="shared" si="12"/>
        <v>0</v>
      </c>
      <c r="I93" s="27">
        <f t="shared" si="12"/>
        <v>0</v>
      </c>
      <c r="J93" s="27">
        <f t="shared" si="12"/>
        <v>0</v>
      </c>
      <c r="K93" s="27">
        <f t="shared" si="12"/>
        <v>0</v>
      </c>
      <c r="L93" s="27">
        <f t="shared" si="12"/>
        <v>0</v>
      </c>
      <c r="M93" s="27">
        <f t="shared" si="12"/>
        <v>0</v>
      </c>
      <c r="N93" s="27">
        <f t="shared" si="12"/>
        <v>0</v>
      </c>
      <c r="O93" s="27">
        <f t="shared" si="12"/>
        <v>0</v>
      </c>
      <c r="P93" s="36">
        <f>I93/B93*100</f>
        <v>0</v>
      </c>
      <c r="Q93" s="87">
        <f>C93+E93+G93</f>
        <v>29980.3</v>
      </c>
      <c r="R93" s="87">
        <f>D93+F93+H93</f>
        <v>226.2</v>
      </c>
    </row>
    <row r="94" spans="1:16" ht="15.75">
      <c r="A94" s="116" t="s">
        <v>109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</row>
    <row r="95" spans="1:16" ht="30" customHeight="1">
      <c r="A95" s="15" t="s">
        <v>110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64.5">
      <c r="A96" s="6" t="s">
        <v>111</v>
      </c>
      <c r="B96" s="43">
        <f>C96+D96+E96+F96+G96+H96</f>
        <v>3975</v>
      </c>
      <c r="C96" s="43">
        <f>3942+12</f>
        <v>3954</v>
      </c>
      <c r="D96" s="43">
        <v>21</v>
      </c>
      <c r="E96" s="43"/>
      <c r="F96" s="43"/>
      <c r="G96" s="43"/>
      <c r="H96" s="43"/>
      <c r="I96" s="43">
        <f>J96+K96+L96+M96+N96+O96</f>
        <v>0</v>
      </c>
      <c r="J96" s="43"/>
      <c r="K96" s="43"/>
      <c r="L96" s="43"/>
      <c r="M96" s="43"/>
      <c r="N96" s="43"/>
      <c r="O96" s="43"/>
      <c r="P96" s="6"/>
    </row>
    <row r="97" spans="1:16" ht="15">
      <c r="A97" s="25" t="s">
        <v>19</v>
      </c>
      <c r="B97" s="27">
        <f aca="true" t="shared" si="13" ref="B97:O97">SUM(B96:B96)</f>
        <v>3975</v>
      </c>
      <c r="C97" s="27">
        <f t="shared" si="13"/>
        <v>3954</v>
      </c>
      <c r="D97" s="27">
        <f t="shared" si="13"/>
        <v>21</v>
      </c>
      <c r="E97" s="27">
        <f t="shared" si="13"/>
        <v>0</v>
      </c>
      <c r="F97" s="27">
        <f t="shared" si="13"/>
        <v>0</v>
      </c>
      <c r="G97" s="27">
        <f t="shared" si="13"/>
        <v>0</v>
      </c>
      <c r="H97" s="27">
        <f t="shared" si="13"/>
        <v>0</v>
      </c>
      <c r="I97" s="27">
        <f t="shared" si="13"/>
        <v>0</v>
      </c>
      <c r="J97" s="27">
        <f t="shared" si="13"/>
        <v>0</v>
      </c>
      <c r="K97" s="27">
        <f t="shared" si="13"/>
        <v>0</v>
      </c>
      <c r="L97" s="27">
        <f t="shared" si="13"/>
        <v>0</v>
      </c>
      <c r="M97" s="27">
        <f t="shared" si="13"/>
        <v>0</v>
      </c>
      <c r="N97" s="27">
        <f t="shared" si="13"/>
        <v>0</v>
      </c>
      <c r="O97" s="27">
        <f t="shared" si="13"/>
        <v>0</v>
      </c>
      <c r="P97" s="36">
        <f>I97/B97*100</f>
        <v>0</v>
      </c>
    </row>
    <row r="98" spans="1:16" ht="15.75">
      <c r="A98" s="116" t="s">
        <v>112</v>
      </c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</row>
    <row r="99" spans="1:16" ht="26.25">
      <c r="A99" s="15" t="s">
        <v>113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51.75">
      <c r="A100" s="6" t="s">
        <v>114</v>
      </c>
      <c r="B100" s="13">
        <f>C100+D100+E100+F100+G100+H100</f>
        <v>597.3</v>
      </c>
      <c r="C100" s="43">
        <v>573.8</v>
      </c>
      <c r="D100" s="43">
        <v>23.5</v>
      </c>
      <c r="E100" s="13"/>
      <c r="F100" s="13"/>
      <c r="G100" s="13"/>
      <c r="H100" s="13"/>
      <c r="I100" s="13">
        <f>J100+K100+L100+M100+N100+O100</f>
        <v>0</v>
      </c>
      <c r="J100" s="13"/>
      <c r="K100" s="13"/>
      <c r="L100" s="13"/>
      <c r="M100" s="13"/>
      <c r="N100" s="13"/>
      <c r="O100" s="13"/>
      <c r="P100" s="8"/>
    </row>
    <row r="101" spans="1:18" ht="15">
      <c r="A101" s="25" t="s">
        <v>20</v>
      </c>
      <c r="B101" s="27">
        <f aca="true" t="shared" si="14" ref="B101:O101">SUM(B100:B100)</f>
        <v>597.3</v>
      </c>
      <c r="C101" s="27">
        <f t="shared" si="14"/>
        <v>573.8</v>
      </c>
      <c r="D101" s="27">
        <f t="shared" si="14"/>
        <v>23.5</v>
      </c>
      <c r="E101" s="27">
        <f t="shared" si="14"/>
        <v>0</v>
      </c>
      <c r="F101" s="27">
        <f t="shared" si="14"/>
        <v>0</v>
      </c>
      <c r="G101" s="27">
        <f t="shared" si="14"/>
        <v>0</v>
      </c>
      <c r="H101" s="27">
        <f t="shared" si="14"/>
        <v>0</v>
      </c>
      <c r="I101" s="27">
        <f t="shared" si="14"/>
        <v>0</v>
      </c>
      <c r="J101" s="27">
        <f t="shared" si="14"/>
        <v>0</v>
      </c>
      <c r="K101" s="27">
        <f t="shared" si="14"/>
        <v>0</v>
      </c>
      <c r="L101" s="27">
        <f t="shared" si="14"/>
        <v>0</v>
      </c>
      <c r="M101" s="27">
        <f t="shared" si="14"/>
        <v>0</v>
      </c>
      <c r="N101" s="27">
        <f t="shared" si="14"/>
        <v>0</v>
      </c>
      <c r="O101" s="27">
        <f t="shared" si="14"/>
        <v>0</v>
      </c>
      <c r="P101" s="36">
        <f>I101/B101*100</f>
        <v>0</v>
      </c>
      <c r="Q101" s="87">
        <f>C101+E101+G101</f>
        <v>573.8</v>
      </c>
      <c r="R101" s="87">
        <f>D101+F101+H101</f>
        <v>23.5</v>
      </c>
    </row>
    <row r="102" spans="1:16" ht="15.75">
      <c r="A102" s="116" t="s">
        <v>115</v>
      </c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</row>
    <row r="103" spans="1:16" ht="25.5">
      <c r="A103" s="19" t="s">
        <v>113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39">
      <c r="A104" s="57" t="s">
        <v>116</v>
      </c>
      <c r="B104" s="43">
        <f>C104+D104+E104+F104+G104+H104</f>
        <v>3028</v>
      </c>
      <c r="C104" s="43">
        <v>3000</v>
      </c>
      <c r="D104" s="43">
        <v>28</v>
      </c>
      <c r="E104" s="43"/>
      <c r="F104" s="43"/>
      <c r="G104" s="43"/>
      <c r="H104" s="43"/>
      <c r="I104" s="43">
        <f>J104+K104+L104+M104+N104+O104</f>
        <v>0</v>
      </c>
      <c r="J104" s="43"/>
      <c r="K104" s="43"/>
      <c r="L104" s="43"/>
      <c r="M104" s="43"/>
      <c r="N104" s="43"/>
      <c r="O104" s="43"/>
      <c r="P104" s="44"/>
    </row>
    <row r="105" spans="1:16" ht="15">
      <c r="A105" s="25" t="s">
        <v>21</v>
      </c>
      <c r="B105" s="27">
        <f aca="true" t="shared" si="15" ref="B105:O105">SUM(B104:B104)</f>
        <v>3028</v>
      </c>
      <c r="C105" s="27">
        <f t="shared" si="15"/>
        <v>3000</v>
      </c>
      <c r="D105" s="27">
        <f t="shared" si="15"/>
        <v>28</v>
      </c>
      <c r="E105" s="27">
        <f t="shared" si="15"/>
        <v>0</v>
      </c>
      <c r="F105" s="27">
        <f t="shared" si="15"/>
        <v>0</v>
      </c>
      <c r="G105" s="27">
        <f t="shared" si="15"/>
        <v>0</v>
      </c>
      <c r="H105" s="27">
        <f t="shared" si="15"/>
        <v>0</v>
      </c>
      <c r="I105" s="27">
        <f t="shared" si="15"/>
        <v>0</v>
      </c>
      <c r="J105" s="27">
        <f t="shared" si="15"/>
        <v>0</v>
      </c>
      <c r="K105" s="27">
        <f t="shared" si="15"/>
        <v>0</v>
      </c>
      <c r="L105" s="27">
        <f t="shared" si="15"/>
        <v>0</v>
      </c>
      <c r="M105" s="27">
        <f t="shared" si="15"/>
        <v>0</v>
      </c>
      <c r="N105" s="27">
        <f t="shared" si="15"/>
        <v>0</v>
      </c>
      <c r="O105" s="27">
        <f t="shared" si="15"/>
        <v>0</v>
      </c>
      <c r="P105" s="36">
        <f>I105/B105*100</f>
        <v>0</v>
      </c>
    </row>
    <row r="106" spans="1:16" ht="15.75">
      <c r="A106" s="116" t="s">
        <v>117</v>
      </c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</row>
    <row r="107" spans="1:16" ht="51.75" customHeight="1">
      <c r="A107" s="18" t="s">
        <v>118</v>
      </c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26.25">
      <c r="A108" s="6" t="s">
        <v>119</v>
      </c>
      <c r="B108" s="41">
        <f>C108+D108+E108+F108+G108+H108</f>
        <v>85</v>
      </c>
      <c r="C108" s="41">
        <v>85</v>
      </c>
      <c r="D108" s="41"/>
      <c r="E108" s="41"/>
      <c r="F108" s="41"/>
      <c r="G108" s="68"/>
      <c r="H108" s="41"/>
      <c r="I108" s="43">
        <f>J108+K108+L108+M108+N108+O108</f>
        <v>0</v>
      </c>
      <c r="J108" s="43"/>
      <c r="K108" s="43"/>
      <c r="L108" s="43"/>
      <c r="M108" s="41"/>
      <c r="N108" s="41"/>
      <c r="O108" s="41"/>
      <c r="P108" s="45"/>
    </row>
    <row r="109" spans="1:16" ht="23.25" customHeight="1">
      <c r="A109" s="49" t="s">
        <v>16</v>
      </c>
      <c r="B109" s="41">
        <f>C109+D109+E109+F109+G109+H109</f>
        <v>22.4</v>
      </c>
      <c r="C109" s="42">
        <v>22.4</v>
      </c>
      <c r="D109" s="41"/>
      <c r="E109" s="41"/>
      <c r="F109" s="41"/>
      <c r="G109" s="41"/>
      <c r="H109" s="41"/>
      <c r="I109" s="41">
        <f>J109+K109+L109+M109+N109+O109</f>
        <v>0</v>
      </c>
      <c r="J109" s="41"/>
      <c r="K109" s="41"/>
      <c r="L109" s="41"/>
      <c r="M109" s="41"/>
      <c r="N109" s="41"/>
      <c r="O109" s="41"/>
      <c r="P109" s="45"/>
    </row>
    <row r="110" spans="1:16" ht="15">
      <c r="A110" s="25" t="s">
        <v>22</v>
      </c>
      <c r="B110" s="27">
        <f aca="true" t="shared" si="16" ref="B110:O110">SUM(B107:B109)</f>
        <v>107.4</v>
      </c>
      <c r="C110" s="27">
        <f t="shared" si="16"/>
        <v>107.4</v>
      </c>
      <c r="D110" s="27">
        <f t="shared" si="16"/>
        <v>0</v>
      </c>
      <c r="E110" s="27">
        <f t="shared" si="16"/>
        <v>0</v>
      </c>
      <c r="F110" s="27">
        <f t="shared" si="16"/>
        <v>0</v>
      </c>
      <c r="G110" s="27">
        <f t="shared" si="16"/>
        <v>0</v>
      </c>
      <c r="H110" s="27">
        <f t="shared" si="16"/>
        <v>0</v>
      </c>
      <c r="I110" s="27">
        <f t="shared" si="16"/>
        <v>0</v>
      </c>
      <c r="J110" s="27">
        <f t="shared" si="16"/>
        <v>0</v>
      </c>
      <c r="K110" s="27">
        <f t="shared" si="16"/>
        <v>0</v>
      </c>
      <c r="L110" s="27">
        <f t="shared" si="16"/>
        <v>0</v>
      </c>
      <c r="M110" s="27">
        <f t="shared" si="16"/>
        <v>0</v>
      </c>
      <c r="N110" s="27">
        <f t="shared" si="16"/>
        <v>0</v>
      </c>
      <c r="O110" s="27">
        <f t="shared" si="16"/>
        <v>0</v>
      </c>
      <c r="P110" s="36">
        <f>I110/B110*100</f>
        <v>0</v>
      </c>
    </row>
    <row r="111" spans="1:16" ht="15.75">
      <c r="A111" s="116" t="s">
        <v>120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</row>
    <row r="112" spans="1:16" ht="26.25">
      <c r="A112" s="15" t="s">
        <v>121</v>
      </c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ht="26.25">
      <c r="A113" s="6" t="s">
        <v>122</v>
      </c>
      <c r="B113" s="13">
        <f aca="true" t="shared" si="17" ref="B113:B118">C113+D113+E113+F113+G113+H113</f>
        <v>2752.3</v>
      </c>
      <c r="C113" s="13">
        <f>2700.4+51.9</f>
        <v>2752.3</v>
      </c>
      <c r="D113" s="13"/>
      <c r="E113" s="13"/>
      <c r="F113" s="13"/>
      <c r="G113" s="13"/>
      <c r="H113" s="13"/>
      <c r="I113" s="13">
        <f aca="true" t="shared" si="18" ref="I113:I118">J113+K113+L113+M113+N113+O113</f>
        <v>0</v>
      </c>
      <c r="J113" s="13"/>
      <c r="K113" s="13"/>
      <c r="L113" s="13"/>
      <c r="M113" s="13"/>
      <c r="N113" s="13"/>
      <c r="O113" s="13"/>
      <c r="P113" s="3"/>
    </row>
    <row r="114" spans="1:16" ht="30.75" customHeight="1">
      <c r="A114" s="9" t="s">
        <v>123</v>
      </c>
      <c r="B114" s="13">
        <f t="shared" si="17"/>
        <v>907.8</v>
      </c>
      <c r="C114" s="13">
        <v>907.8</v>
      </c>
      <c r="D114" s="13"/>
      <c r="E114" s="13"/>
      <c r="F114" s="13"/>
      <c r="G114" s="13"/>
      <c r="H114" s="13"/>
      <c r="I114" s="13">
        <f t="shared" si="18"/>
        <v>0</v>
      </c>
      <c r="J114" s="13"/>
      <c r="K114" s="13"/>
      <c r="L114" s="13"/>
      <c r="M114" s="13"/>
      <c r="N114" s="13"/>
      <c r="O114" s="13"/>
      <c r="P114" s="3"/>
    </row>
    <row r="115" spans="1:16" ht="26.25">
      <c r="A115" s="9" t="s">
        <v>124</v>
      </c>
      <c r="B115" s="13">
        <f t="shared" si="17"/>
        <v>61.6</v>
      </c>
      <c r="C115" s="13">
        <v>61.6</v>
      </c>
      <c r="D115" s="13"/>
      <c r="E115" s="13"/>
      <c r="F115" s="13"/>
      <c r="G115" s="13"/>
      <c r="H115" s="13"/>
      <c r="I115" s="13">
        <f t="shared" si="18"/>
        <v>0</v>
      </c>
      <c r="J115" s="13"/>
      <c r="K115" s="13"/>
      <c r="L115" s="13"/>
      <c r="M115" s="13"/>
      <c r="N115" s="13"/>
      <c r="O115" s="13"/>
      <c r="P115" s="3"/>
    </row>
    <row r="116" spans="1:16" ht="26.25">
      <c r="A116" s="9" t="s">
        <v>125</v>
      </c>
      <c r="B116" s="13">
        <f t="shared" si="17"/>
        <v>240</v>
      </c>
      <c r="C116" s="13"/>
      <c r="D116" s="13">
        <v>240</v>
      </c>
      <c r="E116" s="13"/>
      <c r="F116" s="13"/>
      <c r="G116" s="13"/>
      <c r="H116" s="13"/>
      <c r="I116" s="13">
        <f t="shared" si="18"/>
        <v>0</v>
      </c>
      <c r="J116" s="13"/>
      <c r="K116" s="13"/>
      <c r="L116" s="13"/>
      <c r="M116" s="13"/>
      <c r="N116" s="13"/>
      <c r="O116" s="13"/>
      <c r="P116" s="3"/>
    </row>
    <row r="117" spans="1:16" ht="30.75" customHeight="1">
      <c r="A117" s="7" t="s">
        <v>126</v>
      </c>
      <c r="B117" s="13">
        <f t="shared" si="17"/>
        <v>0</v>
      </c>
      <c r="C117" s="13"/>
      <c r="D117" s="13">
        <f>215+85-300</f>
        <v>0</v>
      </c>
      <c r="E117" s="13"/>
      <c r="F117" s="13"/>
      <c r="G117" s="13"/>
      <c r="H117" s="13"/>
      <c r="I117" s="13">
        <f t="shared" si="18"/>
        <v>0</v>
      </c>
      <c r="J117" s="13"/>
      <c r="K117" s="13"/>
      <c r="L117" s="13"/>
      <c r="M117" s="13"/>
      <c r="N117" s="13"/>
      <c r="O117" s="13"/>
      <c r="P117" s="3"/>
    </row>
    <row r="118" spans="1:16" ht="26.25">
      <c r="A118" s="6" t="s">
        <v>127</v>
      </c>
      <c r="B118" s="13">
        <f t="shared" si="17"/>
        <v>0</v>
      </c>
      <c r="C118" s="13"/>
      <c r="D118" s="13">
        <f>300-300</f>
        <v>0</v>
      </c>
      <c r="E118" s="13"/>
      <c r="F118" s="13"/>
      <c r="G118" s="13"/>
      <c r="H118" s="13"/>
      <c r="I118" s="13">
        <f t="shared" si="18"/>
        <v>0</v>
      </c>
      <c r="J118" s="13"/>
      <c r="K118" s="13"/>
      <c r="L118" s="13"/>
      <c r="M118" s="13"/>
      <c r="N118" s="13"/>
      <c r="O118" s="13"/>
      <c r="P118" s="3"/>
    </row>
    <row r="119" spans="1:16" ht="15">
      <c r="A119" s="15" t="s">
        <v>128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ht="26.25">
      <c r="A120" s="56" t="s">
        <v>129</v>
      </c>
      <c r="B120" s="101">
        <f>C120+D120+E120+F120+G120+H120</f>
        <v>1730.6</v>
      </c>
      <c r="C120" s="14">
        <v>1730.6</v>
      </c>
      <c r="D120" s="13"/>
      <c r="E120" s="13"/>
      <c r="F120" s="13"/>
      <c r="G120" s="13"/>
      <c r="H120" s="13"/>
      <c r="I120" s="13">
        <f>J120+K120+L120+M120+N120+O120</f>
        <v>0</v>
      </c>
      <c r="J120" s="13"/>
      <c r="K120" s="13"/>
      <c r="L120" s="13"/>
      <c r="M120" s="13"/>
      <c r="N120" s="13"/>
      <c r="O120" s="13"/>
      <c r="P120" s="3"/>
    </row>
    <row r="121" spans="1:16" ht="26.25">
      <c r="A121" s="22" t="s">
        <v>172</v>
      </c>
      <c r="B121" s="11"/>
      <c r="C121" s="16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7"/>
    </row>
    <row r="122" spans="1:16" ht="26.25">
      <c r="A122" s="9" t="s">
        <v>173</v>
      </c>
      <c r="B122" s="101">
        <f>C122+D122+E122+F122+G122+H122</f>
        <v>492.6</v>
      </c>
      <c r="C122" s="14">
        <v>492.6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3"/>
    </row>
    <row r="123" spans="1:16" ht="15">
      <c r="A123" s="25" t="s">
        <v>23</v>
      </c>
      <c r="B123" s="26">
        <f>SUM(B112:B122)</f>
        <v>6184.900000000001</v>
      </c>
      <c r="C123" s="26">
        <f>SUM(C112:C122)</f>
        <v>5944.900000000001</v>
      </c>
      <c r="D123" s="26">
        <f aca="true" t="shared" si="19" ref="D123:O123">SUM(D112:D122)</f>
        <v>240</v>
      </c>
      <c r="E123" s="26">
        <f t="shared" si="19"/>
        <v>0</v>
      </c>
      <c r="F123" s="26">
        <f t="shared" si="19"/>
        <v>0</v>
      </c>
      <c r="G123" s="26">
        <f t="shared" si="19"/>
        <v>0</v>
      </c>
      <c r="H123" s="26">
        <f t="shared" si="19"/>
        <v>0</v>
      </c>
      <c r="I123" s="26">
        <f t="shared" si="19"/>
        <v>0</v>
      </c>
      <c r="J123" s="26">
        <f t="shared" si="19"/>
        <v>0</v>
      </c>
      <c r="K123" s="26">
        <f t="shared" si="19"/>
        <v>0</v>
      </c>
      <c r="L123" s="26">
        <f t="shared" si="19"/>
        <v>0</v>
      </c>
      <c r="M123" s="26">
        <f t="shared" si="19"/>
        <v>0</v>
      </c>
      <c r="N123" s="26">
        <f t="shared" si="19"/>
        <v>0</v>
      </c>
      <c r="O123" s="26">
        <f t="shared" si="19"/>
        <v>0</v>
      </c>
      <c r="P123" s="36">
        <f>I123/B123*100</f>
        <v>0</v>
      </c>
    </row>
    <row r="124" spans="1:16" ht="15.75">
      <c r="A124" s="116" t="s">
        <v>24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</row>
    <row r="125" spans="1:16" ht="64.5">
      <c r="A125" s="22" t="s">
        <v>25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ht="25.5">
      <c r="A126" s="7" t="s">
        <v>26</v>
      </c>
      <c r="B126" s="13">
        <f>C126+D126+E126+F126+G126+H126</f>
        <v>183.7</v>
      </c>
      <c r="C126" s="14">
        <v>183.7</v>
      </c>
      <c r="D126" s="13"/>
      <c r="E126" s="13"/>
      <c r="F126" s="13"/>
      <c r="G126" s="13"/>
      <c r="H126" s="13"/>
      <c r="I126" s="13">
        <f>J126+K126+L126+M126+N126+O126</f>
        <v>0</v>
      </c>
      <c r="J126" s="14"/>
      <c r="K126" s="13"/>
      <c r="L126" s="13"/>
      <c r="M126" s="13"/>
      <c r="N126" s="13"/>
      <c r="O126" s="13"/>
      <c r="P126" s="3"/>
    </row>
    <row r="127" spans="1:16" ht="38.25">
      <c r="A127" s="23" t="s">
        <v>27</v>
      </c>
      <c r="B127" s="13">
        <f>C127+D127+E127+F127+G127+H127</f>
        <v>124.2</v>
      </c>
      <c r="C127" s="14">
        <v>124.2</v>
      </c>
      <c r="D127" s="13"/>
      <c r="E127" s="13"/>
      <c r="F127" s="13"/>
      <c r="G127" s="13"/>
      <c r="H127" s="13"/>
      <c r="I127" s="13">
        <f>J127+K127+L127+M127+N127+O127</f>
        <v>0</v>
      </c>
      <c r="J127" s="14"/>
      <c r="K127" s="13"/>
      <c r="L127" s="13"/>
      <c r="M127" s="13"/>
      <c r="N127" s="13"/>
      <c r="O127" s="13"/>
      <c r="P127" s="3"/>
    </row>
    <row r="128" spans="1:16" ht="15">
      <c r="A128" s="25" t="s">
        <v>28</v>
      </c>
      <c r="B128" s="27">
        <f>SUM(B126:B127)</f>
        <v>307.9</v>
      </c>
      <c r="C128" s="27">
        <f aca="true" t="shared" si="20" ref="C128:O128">SUM(C126:C127)</f>
        <v>307.9</v>
      </c>
      <c r="D128" s="27">
        <f t="shared" si="20"/>
        <v>0</v>
      </c>
      <c r="E128" s="27">
        <f t="shared" si="20"/>
        <v>0</v>
      </c>
      <c r="F128" s="27">
        <f t="shared" si="20"/>
        <v>0</v>
      </c>
      <c r="G128" s="27">
        <f t="shared" si="20"/>
        <v>0</v>
      </c>
      <c r="H128" s="27">
        <f t="shared" si="20"/>
        <v>0</v>
      </c>
      <c r="I128" s="27">
        <f t="shared" si="20"/>
        <v>0</v>
      </c>
      <c r="J128" s="27">
        <f t="shared" si="20"/>
        <v>0</v>
      </c>
      <c r="K128" s="27">
        <f t="shared" si="20"/>
        <v>0</v>
      </c>
      <c r="L128" s="27">
        <f t="shared" si="20"/>
        <v>0</v>
      </c>
      <c r="M128" s="27">
        <f t="shared" si="20"/>
        <v>0</v>
      </c>
      <c r="N128" s="27">
        <f t="shared" si="20"/>
        <v>0</v>
      </c>
      <c r="O128" s="27">
        <f t="shared" si="20"/>
        <v>0</v>
      </c>
      <c r="P128" s="36">
        <f>I128/B128*100</f>
        <v>0</v>
      </c>
    </row>
    <row r="129" spans="1:16" ht="15.75">
      <c r="A129" s="116" t="s">
        <v>131</v>
      </c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</row>
    <row r="130" spans="1:16" ht="21" customHeight="1">
      <c r="A130" s="72" t="s">
        <v>130</v>
      </c>
      <c r="B130" s="70"/>
      <c r="C130" s="70"/>
      <c r="D130" s="70"/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  <c r="P130" s="71"/>
    </row>
    <row r="131" spans="1:16" ht="26.25">
      <c r="A131" s="9" t="s">
        <v>133</v>
      </c>
      <c r="B131" s="13">
        <f aca="true" t="shared" si="21" ref="B131:B137">C131+D131+E131+F131+G131+H131</f>
        <v>68837.8</v>
      </c>
      <c r="C131" s="13">
        <f>68000-10495.2</f>
        <v>57504.8</v>
      </c>
      <c r="D131" s="13">
        <v>3300</v>
      </c>
      <c r="E131" s="13"/>
      <c r="F131" s="13"/>
      <c r="G131" s="13">
        <f>17825-9792</f>
        <v>8033</v>
      </c>
      <c r="H131" s="13"/>
      <c r="I131" s="13">
        <f>J131+K131+L131+M131+N131+O131</f>
        <v>0</v>
      </c>
      <c r="J131" s="14"/>
      <c r="K131" s="13"/>
      <c r="L131" s="13"/>
      <c r="M131" s="13"/>
      <c r="N131" s="13"/>
      <c r="O131" s="13"/>
      <c r="P131" s="69"/>
    </row>
    <row r="132" spans="1:16" ht="26.25">
      <c r="A132" s="9" t="s">
        <v>134</v>
      </c>
      <c r="B132" s="13">
        <f t="shared" si="21"/>
        <v>5197.5</v>
      </c>
      <c r="C132" s="13">
        <f>5500-1102.5</f>
        <v>4397.5</v>
      </c>
      <c r="D132" s="13">
        <v>800</v>
      </c>
      <c r="E132" s="13"/>
      <c r="F132" s="13"/>
      <c r="G132" s="13"/>
      <c r="H132" s="13"/>
      <c r="I132" s="13">
        <f>J132+K132+L132+M132+N132+O132</f>
        <v>0</v>
      </c>
      <c r="J132" s="14"/>
      <c r="K132" s="13"/>
      <c r="L132" s="13"/>
      <c r="M132" s="13"/>
      <c r="N132" s="13"/>
      <c r="O132" s="13"/>
      <c r="P132" s="69"/>
    </row>
    <row r="133" spans="1:16" ht="26.25">
      <c r="A133" s="9" t="s">
        <v>135</v>
      </c>
      <c r="B133" s="13">
        <f t="shared" si="21"/>
        <v>16602.1</v>
      </c>
      <c r="C133" s="13">
        <f>12200-1724.9</f>
        <v>10475.1</v>
      </c>
      <c r="D133" s="13">
        <v>4200</v>
      </c>
      <c r="E133" s="13"/>
      <c r="F133" s="13"/>
      <c r="G133" s="13">
        <v>1927</v>
      </c>
      <c r="H133" s="13"/>
      <c r="I133" s="13">
        <f>J133+K133+L133+M133+N133+O133</f>
        <v>0</v>
      </c>
      <c r="J133" s="14"/>
      <c r="K133" s="13"/>
      <c r="L133" s="13"/>
      <c r="M133" s="13"/>
      <c r="N133" s="13"/>
      <c r="O133" s="13"/>
      <c r="P133" s="69"/>
    </row>
    <row r="134" spans="1:16" ht="15">
      <c r="A134" s="59" t="s">
        <v>136</v>
      </c>
      <c r="B134" s="13">
        <f t="shared" si="21"/>
        <v>11598.6</v>
      </c>
      <c r="C134" s="13">
        <f>14300-2701.4</f>
        <v>11598.6</v>
      </c>
      <c r="D134" s="13"/>
      <c r="E134" s="13"/>
      <c r="F134" s="13"/>
      <c r="G134" s="13"/>
      <c r="H134" s="13"/>
      <c r="I134" s="13">
        <f>J134+K134+L134+M134+N134+O134</f>
        <v>0</v>
      </c>
      <c r="J134" s="14"/>
      <c r="K134" s="13"/>
      <c r="L134" s="13"/>
      <c r="M134" s="13"/>
      <c r="N134" s="13"/>
      <c r="O134" s="13"/>
      <c r="P134" s="69"/>
    </row>
    <row r="135" spans="1:16" ht="26.25">
      <c r="A135" s="9" t="s">
        <v>59</v>
      </c>
      <c r="B135" s="13">
        <f t="shared" si="21"/>
        <v>484</v>
      </c>
      <c r="C135" s="13"/>
      <c r="D135" s="13">
        <v>180</v>
      </c>
      <c r="E135" s="13"/>
      <c r="F135" s="13"/>
      <c r="G135" s="13"/>
      <c r="H135" s="13">
        <v>304</v>
      </c>
      <c r="I135" s="13">
        <f>J135+K135+L135+M135+N135+O135</f>
        <v>0</v>
      </c>
      <c r="J135" s="14"/>
      <c r="K135" s="13"/>
      <c r="L135" s="13"/>
      <c r="M135" s="13"/>
      <c r="N135" s="13"/>
      <c r="O135" s="13"/>
      <c r="P135" s="69"/>
    </row>
    <row r="136" spans="1:16" ht="15">
      <c r="A136" s="82" t="s">
        <v>151</v>
      </c>
      <c r="B136" s="13">
        <f t="shared" si="21"/>
        <v>0</v>
      </c>
      <c r="C136" s="13"/>
      <c r="D136" s="13"/>
      <c r="E136" s="13"/>
      <c r="F136" s="13"/>
      <c r="G136" s="13"/>
      <c r="H136" s="13"/>
      <c r="I136" s="13"/>
      <c r="J136" s="14"/>
      <c r="K136" s="13"/>
      <c r="L136" s="13"/>
      <c r="M136" s="13"/>
      <c r="N136" s="13"/>
      <c r="O136" s="13"/>
      <c r="P136" s="69"/>
    </row>
    <row r="137" spans="1:16" ht="57.75" customHeight="1">
      <c r="A137" s="98" t="s">
        <v>168</v>
      </c>
      <c r="B137" s="13">
        <f t="shared" si="21"/>
        <v>26162.3</v>
      </c>
      <c r="C137" s="13">
        <v>16024</v>
      </c>
      <c r="D137" s="13"/>
      <c r="E137" s="13"/>
      <c r="F137" s="13"/>
      <c r="G137" s="13">
        <f>9792+346.3</f>
        <v>10138.3</v>
      </c>
      <c r="H137" s="13"/>
      <c r="I137" s="13"/>
      <c r="J137" s="14"/>
      <c r="K137" s="13"/>
      <c r="L137" s="13"/>
      <c r="M137" s="13"/>
      <c r="N137" s="13"/>
      <c r="O137" s="13"/>
      <c r="P137" s="69"/>
    </row>
    <row r="138" spans="1:16" ht="15" customHeight="1">
      <c r="A138" s="25" t="s">
        <v>31</v>
      </c>
      <c r="B138" s="27">
        <f aca="true" t="shared" si="22" ref="B138:O138">SUM(B131:B137)</f>
        <v>128882.3</v>
      </c>
      <c r="C138" s="27">
        <f t="shared" si="22"/>
        <v>100000.00000000001</v>
      </c>
      <c r="D138" s="27">
        <f t="shared" si="22"/>
        <v>8480</v>
      </c>
      <c r="E138" s="27">
        <f t="shared" si="22"/>
        <v>0</v>
      </c>
      <c r="F138" s="27">
        <f t="shared" si="22"/>
        <v>0</v>
      </c>
      <c r="G138" s="27">
        <f t="shared" si="22"/>
        <v>20098.3</v>
      </c>
      <c r="H138" s="27">
        <f t="shared" si="22"/>
        <v>304</v>
      </c>
      <c r="I138" s="27">
        <f t="shared" si="22"/>
        <v>0</v>
      </c>
      <c r="J138" s="27">
        <f t="shared" si="22"/>
        <v>0</v>
      </c>
      <c r="K138" s="27">
        <f t="shared" si="22"/>
        <v>0</v>
      </c>
      <c r="L138" s="27">
        <f t="shared" si="22"/>
        <v>0</v>
      </c>
      <c r="M138" s="27">
        <f t="shared" si="22"/>
        <v>0</v>
      </c>
      <c r="N138" s="27">
        <f t="shared" si="22"/>
        <v>0</v>
      </c>
      <c r="O138" s="27">
        <f t="shared" si="22"/>
        <v>0</v>
      </c>
      <c r="P138" s="36">
        <f>I138/B138*100</f>
        <v>0</v>
      </c>
    </row>
    <row r="139" spans="1:16" ht="15.75">
      <c r="A139" s="116" t="s">
        <v>132</v>
      </c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</row>
    <row r="140" spans="1:16" ht="26.25">
      <c r="A140" s="15" t="s">
        <v>29</v>
      </c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ht="26.25">
      <c r="A141" s="46" t="s">
        <v>144</v>
      </c>
      <c r="B141" s="41">
        <f>C141+D141+E141+F141+G141+H141</f>
        <v>0</v>
      </c>
      <c r="C141" s="42"/>
      <c r="D141" s="41"/>
      <c r="E141" s="41"/>
      <c r="F141" s="41"/>
      <c r="G141" s="41"/>
      <c r="H141" s="41"/>
      <c r="I141" s="41">
        <f>J141+K141+L141+M141+N141+O141</f>
        <v>0</v>
      </c>
      <c r="J141" s="41"/>
      <c r="K141" s="41"/>
      <c r="L141" s="41"/>
      <c r="M141" s="41"/>
      <c r="N141" s="41"/>
      <c r="O141" s="41"/>
      <c r="P141" s="45"/>
    </row>
    <row r="142" spans="1:16" ht="26.25">
      <c r="A142" s="46" t="s">
        <v>166</v>
      </c>
      <c r="B142" s="41">
        <f>C142+D142+E142+F142+G142+H142</f>
        <v>3761.6</v>
      </c>
      <c r="C142" s="42"/>
      <c r="D142" s="41">
        <f>7.6+23.4+200</f>
        <v>231</v>
      </c>
      <c r="E142" s="41"/>
      <c r="F142" s="41"/>
      <c r="G142" s="41"/>
      <c r="H142" s="41">
        <f>250.1+3280.5</f>
        <v>3530.6</v>
      </c>
      <c r="I142" s="41">
        <f>J142+K142+L142+M142+N142+O142</f>
        <v>0</v>
      </c>
      <c r="J142" s="41"/>
      <c r="K142" s="41"/>
      <c r="L142" s="41"/>
      <c r="M142" s="41"/>
      <c r="N142" s="41"/>
      <c r="O142" s="41"/>
      <c r="P142" s="45"/>
    </row>
    <row r="143" spans="1:16" ht="39">
      <c r="A143" s="6" t="s">
        <v>167</v>
      </c>
      <c r="B143" s="41">
        <f>C143+D143+E143+F143+G143+H143</f>
        <v>2767.6</v>
      </c>
      <c r="C143" s="42"/>
      <c r="D143" s="41">
        <v>1015</v>
      </c>
      <c r="E143" s="41"/>
      <c r="F143" s="41"/>
      <c r="G143" s="41"/>
      <c r="H143" s="41">
        <v>1752.6</v>
      </c>
      <c r="I143" s="41">
        <f>J143+K143+L143+M143+N143+O143</f>
        <v>0</v>
      </c>
      <c r="J143" s="41"/>
      <c r="K143" s="41"/>
      <c r="L143" s="41"/>
      <c r="M143" s="41"/>
      <c r="N143" s="41"/>
      <c r="O143" s="41"/>
      <c r="P143" s="45"/>
    </row>
    <row r="144" spans="1:16" ht="15">
      <c r="A144" s="25" t="s">
        <v>142</v>
      </c>
      <c r="B144" s="27">
        <f aca="true" t="shared" si="23" ref="B144:O144">SUM(B141:B143)</f>
        <v>6529.2</v>
      </c>
      <c r="C144" s="27">
        <f t="shared" si="23"/>
        <v>0</v>
      </c>
      <c r="D144" s="27">
        <f>SUM(D141:D143)</f>
        <v>1246</v>
      </c>
      <c r="E144" s="27">
        <f t="shared" si="23"/>
        <v>0</v>
      </c>
      <c r="F144" s="27">
        <f t="shared" si="23"/>
        <v>0</v>
      </c>
      <c r="G144" s="27">
        <f t="shared" si="23"/>
        <v>0</v>
      </c>
      <c r="H144" s="27">
        <f t="shared" si="23"/>
        <v>5283.2</v>
      </c>
      <c r="I144" s="27">
        <f t="shared" si="23"/>
        <v>0</v>
      </c>
      <c r="J144" s="27">
        <f t="shared" si="23"/>
        <v>0</v>
      </c>
      <c r="K144" s="27">
        <f t="shared" si="23"/>
        <v>0</v>
      </c>
      <c r="L144" s="27">
        <f t="shared" si="23"/>
        <v>0</v>
      </c>
      <c r="M144" s="27">
        <f t="shared" si="23"/>
        <v>0</v>
      </c>
      <c r="N144" s="27">
        <f t="shared" si="23"/>
        <v>0</v>
      </c>
      <c r="O144" s="27">
        <f t="shared" si="23"/>
        <v>0</v>
      </c>
      <c r="P144" s="36">
        <f>I144/B144*100</f>
        <v>0</v>
      </c>
    </row>
    <row r="145" spans="1:16" ht="15.75">
      <c r="A145" s="116" t="s">
        <v>137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</row>
    <row r="146" spans="1:16" ht="33.75" customHeight="1">
      <c r="A146" s="15" t="s">
        <v>138</v>
      </c>
      <c r="B146" s="11"/>
      <c r="C146" s="16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7"/>
    </row>
    <row r="147" spans="1:16" ht="26.25">
      <c r="A147" s="9" t="s">
        <v>139</v>
      </c>
      <c r="B147" s="13">
        <f>C147+D147+E147+F147+G147+H147</f>
        <v>1493.7</v>
      </c>
      <c r="C147" s="14">
        <v>257.3</v>
      </c>
      <c r="D147" s="13"/>
      <c r="E147" s="13"/>
      <c r="F147" s="13"/>
      <c r="G147" s="13">
        <v>1236.4</v>
      </c>
      <c r="H147" s="13"/>
      <c r="I147" s="13">
        <f>J147+K147+L147+M147+N147+O147</f>
        <v>0</v>
      </c>
      <c r="J147" s="13"/>
      <c r="K147" s="13"/>
      <c r="L147" s="13"/>
      <c r="M147" s="13"/>
      <c r="N147" s="13"/>
      <c r="O147" s="13"/>
      <c r="P147" s="3"/>
    </row>
    <row r="148" spans="1:16" ht="15">
      <c r="A148" s="59" t="s">
        <v>140</v>
      </c>
      <c r="B148" s="13">
        <f>C148+D148+E148+F148+G148+H148</f>
        <v>156</v>
      </c>
      <c r="C148" s="14">
        <v>156</v>
      </c>
      <c r="D148" s="13"/>
      <c r="E148" s="13"/>
      <c r="F148" s="13"/>
      <c r="G148" s="13"/>
      <c r="H148" s="13"/>
      <c r="I148" s="13">
        <f>J148+K148+L148+M148+N148+O148</f>
        <v>0</v>
      </c>
      <c r="J148" s="13"/>
      <c r="K148" s="13"/>
      <c r="L148" s="13"/>
      <c r="M148" s="13"/>
      <c r="N148" s="13"/>
      <c r="O148" s="13"/>
      <c r="P148" s="3"/>
    </row>
    <row r="149" spans="1:16" ht="26.25">
      <c r="A149" s="9" t="s">
        <v>141</v>
      </c>
      <c r="B149" s="13">
        <f>C149+D149+E149+F149+G149+H149</f>
        <v>32</v>
      </c>
      <c r="C149" s="14"/>
      <c r="D149" s="13">
        <v>32</v>
      </c>
      <c r="E149" s="13"/>
      <c r="F149" s="13"/>
      <c r="G149" s="13"/>
      <c r="H149" s="13"/>
      <c r="I149" s="13">
        <f>J149+K149+L149+M149+N149+O149</f>
        <v>0</v>
      </c>
      <c r="J149" s="13"/>
      <c r="K149" s="13"/>
      <c r="L149" s="13"/>
      <c r="M149" s="13"/>
      <c r="N149" s="13"/>
      <c r="O149" s="13"/>
      <c r="P149" s="3"/>
    </row>
    <row r="150" spans="1:16" ht="15">
      <c r="A150" s="25" t="s">
        <v>143</v>
      </c>
      <c r="B150" s="27">
        <f>SUM(B147:B149)</f>
        <v>1681.7</v>
      </c>
      <c r="C150" s="27">
        <f aca="true" t="shared" si="24" ref="C150:N150">SUM(C147:C149)</f>
        <v>413.3</v>
      </c>
      <c r="D150" s="27">
        <f t="shared" si="24"/>
        <v>32</v>
      </c>
      <c r="E150" s="27">
        <f t="shared" si="24"/>
        <v>0</v>
      </c>
      <c r="F150" s="27">
        <f t="shared" si="24"/>
        <v>0</v>
      </c>
      <c r="G150" s="27">
        <f t="shared" si="24"/>
        <v>1236.4</v>
      </c>
      <c r="H150" s="27">
        <f t="shared" si="24"/>
        <v>0</v>
      </c>
      <c r="I150" s="27">
        <f t="shared" si="24"/>
        <v>0</v>
      </c>
      <c r="J150" s="27">
        <f t="shared" si="24"/>
        <v>0</v>
      </c>
      <c r="K150" s="27">
        <f t="shared" si="24"/>
        <v>0</v>
      </c>
      <c r="L150" s="27">
        <f t="shared" si="24"/>
        <v>0</v>
      </c>
      <c r="M150" s="27">
        <f t="shared" si="24"/>
        <v>0</v>
      </c>
      <c r="N150" s="27">
        <f t="shared" si="24"/>
        <v>0</v>
      </c>
      <c r="O150" s="27">
        <f>SUM(O147:O149)</f>
        <v>0</v>
      </c>
      <c r="P150" s="36">
        <f>I150/B150*100</f>
        <v>0</v>
      </c>
    </row>
    <row r="151" spans="1:16" ht="15.75">
      <c r="A151" s="109" t="s">
        <v>149</v>
      </c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1"/>
    </row>
    <row r="152" spans="1:16" ht="26.25">
      <c r="A152" s="61" t="s">
        <v>145</v>
      </c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1"/>
    </row>
    <row r="153" spans="1:16" ht="26.25">
      <c r="A153" s="9" t="s">
        <v>147</v>
      </c>
      <c r="B153" s="13">
        <f>C153+D153+E153+F153+G153+H153</f>
        <v>0</v>
      </c>
      <c r="C153" s="39"/>
      <c r="D153" s="39"/>
      <c r="E153" s="39"/>
      <c r="F153" s="39"/>
      <c r="G153" s="39"/>
      <c r="H153" s="39"/>
      <c r="I153" s="13">
        <f>J153+K153+L153+M153+N153+O153</f>
        <v>0</v>
      </c>
      <c r="J153" s="79"/>
      <c r="K153" s="79"/>
      <c r="L153" s="79"/>
      <c r="M153" s="79"/>
      <c r="N153" s="79"/>
      <c r="O153" s="79"/>
      <c r="P153" s="69"/>
    </row>
    <row r="154" spans="1:16" ht="26.25">
      <c r="A154" s="9" t="s">
        <v>148</v>
      </c>
      <c r="B154" s="13">
        <f>C154+D154+E154+F154+G154+H154</f>
        <v>0</v>
      </c>
      <c r="C154" s="39"/>
      <c r="D154" s="39"/>
      <c r="E154" s="39"/>
      <c r="F154" s="39"/>
      <c r="G154" s="39"/>
      <c r="H154" s="39"/>
      <c r="I154" s="13">
        <f>J154+K154+L154+M154+N154+O154</f>
        <v>0</v>
      </c>
      <c r="J154" s="79"/>
      <c r="K154" s="79"/>
      <c r="L154" s="79"/>
      <c r="M154" s="79"/>
      <c r="N154" s="79"/>
      <c r="O154" s="79"/>
      <c r="P154" s="69"/>
    </row>
    <row r="155" spans="1:16" ht="26.25">
      <c r="A155" s="9" t="s">
        <v>164</v>
      </c>
      <c r="B155" s="13">
        <f>C155+D155+E155+F155+G155+H155</f>
        <v>23150</v>
      </c>
      <c r="C155" s="39"/>
      <c r="D155" s="39">
        <f>23150</f>
        <v>23150</v>
      </c>
      <c r="E155" s="39"/>
      <c r="F155" s="39"/>
      <c r="G155" s="39"/>
      <c r="H155" s="39"/>
      <c r="I155" s="13">
        <f>J155+K155+L155+M155+N155+O155</f>
        <v>0</v>
      </c>
      <c r="J155" s="79"/>
      <c r="K155" s="79"/>
      <c r="L155" s="79"/>
      <c r="M155" s="79"/>
      <c r="N155" s="79"/>
      <c r="O155" s="79"/>
      <c r="P155" s="69"/>
    </row>
    <row r="156" spans="1:16" ht="64.5">
      <c r="A156" s="9" t="s">
        <v>165</v>
      </c>
      <c r="B156" s="13">
        <f>C156+D156+E156+F156+G156+H156</f>
        <v>4200</v>
      </c>
      <c r="C156" s="39"/>
      <c r="D156" s="39">
        <v>4200</v>
      </c>
      <c r="E156" s="39"/>
      <c r="F156" s="39"/>
      <c r="G156" s="39"/>
      <c r="H156" s="39"/>
      <c r="I156" s="13">
        <f>J156+K156+L156+M156+N156+O156</f>
        <v>0</v>
      </c>
      <c r="J156" s="79"/>
      <c r="K156" s="79"/>
      <c r="L156" s="79"/>
      <c r="M156" s="79"/>
      <c r="N156" s="79"/>
      <c r="O156" s="79"/>
      <c r="P156" s="69"/>
    </row>
    <row r="157" spans="1:16" ht="15">
      <c r="A157" s="25" t="s">
        <v>146</v>
      </c>
      <c r="B157" s="27">
        <f>SUM(B153:B156)</f>
        <v>27350</v>
      </c>
      <c r="C157" s="27">
        <f>SUM(C153:C156)</f>
        <v>0</v>
      </c>
      <c r="D157" s="27">
        <f aca="true" t="shared" si="25" ref="D157:O157">SUM(D153:D156)</f>
        <v>27350</v>
      </c>
      <c r="E157" s="27">
        <f t="shared" si="25"/>
        <v>0</v>
      </c>
      <c r="F157" s="27">
        <f t="shared" si="25"/>
        <v>0</v>
      </c>
      <c r="G157" s="27">
        <f t="shared" si="25"/>
        <v>0</v>
      </c>
      <c r="H157" s="27">
        <f t="shared" si="25"/>
        <v>0</v>
      </c>
      <c r="I157" s="27">
        <f t="shared" si="25"/>
        <v>0</v>
      </c>
      <c r="J157" s="27">
        <f t="shared" si="25"/>
        <v>0</v>
      </c>
      <c r="K157" s="27">
        <f>SUM(K153:K156)</f>
        <v>0</v>
      </c>
      <c r="L157" s="27">
        <f t="shared" si="25"/>
        <v>0</v>
      </c>
      <c r="M157" s="27">
        <f t="shared" si="25"/>
        <v>0</v>
      </c>
      <c r="N157" s="27">
        <f t="shared" si="25"/>
        <v>0</v>
      </c>
      <c r="O157" s="27">
        <f t="shared" si="25"/>
        <v>0</v>
      </c>
      <c r="P157" s="36"/>
    </row>
    <row r="158" spans="1:16" ht="15">
      <c r="A158" s="119" t="s">
        <v>152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1"/>
    </row>
    <row r="159" spans="1:16" ht="25.5">
      <c r="A159" s="18" t="s">
        <v>153</v>
      </c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1"/>
    </row>
    <row r="160" spans="1:16" ht="36.75" customHeight="1">
      <c r="A160" s="99" t="s">
        <v>154</v>
      </c>
      <c r="B160" s="13">
        <f>C160+D160+E160+F160+G160+H160</f>
        <v>0</v>
      </c>
      <c r="C160" s="79"/>
      <c r="D160" s="79"/>
      <c r="E160" s="79"/>
      <c r="F160" s="79"/>
      <c r="G160" s="79"/>
      <c r="H160" s="79"/>
      <c r="I160" s="83"/>
      <c r="J160" s="83"/>
      <c r="K160" s="83"/>
      <c r="L160" s="83"/>
      <c r="M160" s="83"/>
      <c r="N160" s="83"/>
      <c r="O160" s="83"/>
      <c r="P160" s="84"/>
    </row>
    <row r="161" spans="1:16" ht="15">
      <c r="A161" s="25" t="s">
        <v>155</v>
      </c>
      <c r="B161" s="27">
        <f>B160</f>
        <v>0</v>
      </c>
      <c r="C161" s="27">
        <f>C160</f>
        <v>0</v>
      </c>
      <c r="D161" s="27">
        <f>D160</f>
        <v>0</v>
      </c>
      <c r="E161" s="27">
        <f aca="true" t="shared" si="26" ref="E161:O161">E160</f>
        <v>0</v>
      </c>
      <c r="F161" s="27">
        <f t="shared" si="26"/>
        <v>0</v>
      </c>
      <c r="G161" s="27">
        <f t="shared" si="26"/>
        <v>0</v>
      </c>
      <c r="H161" s="27">
        <f t="shared" si="26"/>
        <v>0</v>
      </c>
      <c r="I161" s="27">
        <f t="shared" si="26"/>
        <v>0</v>
      </c>
      <c r="J161" s="27">
        <f t="shared" si="26"/>
        <v>0</v>
      </c>
      <c r="K161" s="27">
        <f t="shared" si="26"/>
        <v>0</v>
      </c>
      <c r="L161" s="27">
        <f t="shared" si="26"/>
        <v>0</v>
      </c>
      <c r="M161" s="27">
        <f t="shared" si="26"/>
        <v>0</v>
      </c>
      <c r="N161" s="27">
        <f t="shared" si="26"/>
        <v>0</v>
      </c>
      <c r="O161" s="27">
        <f t="shared" si="26"/>
        <v>0</v>
      </c>
      <c r="P161" s="36"/>
    </row>
    <row r="162" spans="1:16" ht="15">
      <c r="A162" s="119" t="s">
        <v>169</v>
      </c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1"/>
    </row>
    <row r="163" spans="1:16" ht="25.5">
      <c r="A163" s="18" t="s">
        <v>153</v>
      </c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1"/>
    </row>
    <row r="164" spans="1:16" ht="35.25" customHeight="1">
      <c r="A164" s="100" t="s">
        <v>170</v>
      </c>
      <c r="B164" s="13">
        <f>C164+D164+E164+F164+G164+H164</f>
        <v>2081</v>
      </c>
      <c r="C164" s="79"/>
      <c r="D164" s="39">
        <v>900</v>
      </c>
      <c r="E164" s="79"/>
      <c r="F164" s="79"/>
      <c r="G164" s="79"/>
      <c r="H164" s="39">
        <v>1181</v>
      </c>
      <c r="I164" s="79"/>
      <c r="J164" s="79"/>
      <c r="K164" s="79"/>
      <c r="L164" s="79"/>
      <c r="M164" s="79"/>
      <c r="N164" s="79"/>
      <c r="O164" s="79"/>
      <c r="P164" s="69"/>
    </row>
    <row r="165" spans="1:16" ht="15" customHeight="1">
      <c r="A165" s="25" t="s">
        <v>171</v>
      </c>
      <c r="B165" s="27">
        <f>B164</f>
        <v>2081</v>
      </c>
      <c r="C165" s="27">
        <f aca="true" t="shared" si="27" ref="C165:P165">C164</f>
        <v>0</v>
      </c>
      <c r="D165" s="27">
        <f t="shared" si="27"/>
        <v>900</v>
      </c>
      <c r="E165" s="27">
        <f t="shared" si="27"/>
        <v>0</v>
      </c>
      <c r="F165" s="27">
        <f t="shared" si="27"/>
        <v>0</v>
      </c>
      <c r="G165" s="27">
        <f t="shared" si="27"/>
        <v>0</v>
      </c>
      <c r="H165" s="27">
        <f t="shared" si="27"/>
        <v>1181</v>
      </c>
      <c r="I165" s="27">
        <f t="shared" si="27"/>
        <v>0</v>
      </c>
      <c r="J165" s="27">
        <f t="shared" si="27"/>
        <v>0</v>
      </c>
      <c r="K165" s="27">
        <f t="shared" si="27"/>
        <v>0</v>
      </c>
      <c r="L165" s="27">
        <f t="shared" si="27"/>
        <v>0</v>
      </c>
      <c r="M165" s="27">
        <f t="shared" si="27"/>
        <v>0</v>
      </c>
      <c r="N165" s="27">
        <f t="shared" si="27"/>
        <v>0</v>
      </c>
      <c r="O165" s="27">
        <f t="shared" si="27"/>
        <v>0</v>
      </c>
      <c r="P165" s="27">
        <f t="shared" si="27"/>
        <v>0</v>
      </c>
    </row>
    <row r="166" spans="1:16" ht="47.25">
      <c r="A166" s="24" t="s">
        <v>150</v>
      </c>
      <c r="B166" s="37">
        <f>B47+B69+B74+B84+B93+B97+B101+B105+B110+B123+B128+B138+B144+B150+B157+B161+B165</f>
        <v>1041280.3000000002</v>
      </c>
      <c r="C166" s="37">
        <f>C47+C69+C74+C84+C93+C97+C101+C105+C110+C123+C128+C138+C144+C150+C157+C161+C165</f>
        <v>569809.8000000002</v>
      </c>
      <c r="D166" s="37">
        <f aca="true" t="shared" si="28" ref="D166:O166">D47+D69+D74+D84+D93+D97+D101+D105+D110+D123+D128+D138+D144+D150+D157+D161+D165</f>
        <v>65241.7</v>
      </c>
      <c r="E166" s="37">
        <f t="shared" si="28"/>
        <v>272.7</v>
      </c>
      <c r="F166" s="37">
        <f t="shared" si="28"/>
        <v>83</v>
      </c>
      <c r="G166" s="37">
        <f t="shared" si="28"/>
        <v>396889.0000000001</v>
      </c>
      <c r="H166" s="37">
        <f t="shared" si="28"/>
        <v>8984.1</v>
      </c>
      <c r="I166" s="37">
        <f t="shared" si="28"/>
        <v>0</v>
      </c>
      <c r="J166" s="37">
        <f t="shared" si="28"/>
        <v>0</v>
      </c>
      <c r="K166" s="37">
        <f t="shared" si="28"/>
        <v>0</v>
      </c>
      <c r="L166" s="37">
        <f t="shared" si="28"/>
        <v>0</v>
      </c>
      <c r="M166" s="37">
        <f t="shared" si="28"/>
        <v>0</v>
      </c>
      <c r="N166" s="37">
        <f t="shared" si="28"/>
        <v>0</v>
      </c>
      <c r="O166" s="37">
        <f t="shared" si="28"/>
        <v>0</v>
      </c>
      <c r="P166" s="38">
        <f>I166/B166*100</f>
        <v>0</v>
      </c>
    </row>
    <row r="167" spans="1:16" s="54" customFormat="1" ht="15">
      <c r="A167" s="53"/>
      <c r="B167" s="53"/>
      <c r="C167" s="76">
        <f>C166+D166</f>
        <v>635051.5000000001</v>
      </c>
      <c r="D167" s="53"/>
      <c r="E167" s="76">
        <f>E166+F166</f>
        <v>355.7</v>
      </c>
      <c r="F167" s="77"/>
      <c r="G167" s="76">
        <f>G166+H166</f>
        <v>405873.1000000001</v>
      </c>
      <c r="H167" s="77"/>
      <c r="I167" s="77"/>
      <c r="J167" s="77"/>
      <c r="K167" s="53"/>
      <c r="L167" s="53"/>
      <c r="M167" s="53"/>
      <c r="N167" s="53"/>
      <c r="O167" s="53"/>
      <c r="P167" s="53"/>
    </row>
    <row r="168" spans="1:16" ht="15">
      <c r="A168" s="4"/>
      <c r="B168" s="78">
        <f>C168+D168</f>
        <v>1041280.3000000003</v>
      </c>
      <c r="C168" s="78">
        <f>C166+E166+G166</f>
        <v>966971.5000000002</v>
      </c>
      <c r="D168" s="78">
        <f>D166+F166+H166</f>
        <v>74308.8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</row>
    <row r="169" spans="1:16" ht="18.75">
      <c r="A169" s="51"/>
      <c r="B169" s="4"/>
      <c r="C169" s="78"/>
      <c r="D169" s="78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</row>
    <row r="170" spans="1:16" ht="18.75">
      <c r="A170" s="51" t="s">
        <v>48</v>
      </c>
      <c r="B170" s="50"/>
      <c r="C170" s="50"/>
      <c r="D170" s="50"/>
      <c r="E170" s="50"/>
      <c r="F170" s="50"/>
      <c r="G170" s="50"/>
      <c r="H170" s="50"/>
      <c r="I170" s="50"/>
      <c r="J170" s="50"/>
      <c r="K170" s="118" t="s">
        <v>49</v>
      </c>
      <c r="L170" s="118"/>
      <c r="M170" s="118"/>
      <c r="N170" s="118"/>
      <c r="O170" s="50"/>
      <c r="P170" s="50"/>
    </row>
    <row r="171" spans="1:16" ht="15.75">
      <c r="A171" s="52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</row>
    <row r="172" spans="1:16" ht="15.75">
      <c r="A172" s="52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</row>
    <row r="173" ht="15.75">
      <c r="A173" s="52" t="s">
        <v>46</v>
      </c>
    </row>
    <row r="174" ht="15.75">
      <c r="A174" s="52" t="s">
        <v>47</v>
      </c>
    </row>
  </sheetData>
  <sheetProtection/>
  <mergeCells count="48">
    <mergeCell ref="A151:P151"/>
    <mergeCell ref="A158:P158"/>
    <mergeCell ref="A162:P162"/>
    <mergeCell ref="K170:N170"/>
    <mergeCell ref="A106:P106"/>
    <mergeCell ref="A111:P111"/>
    <mergeCell ref="A124:P124"/>
    <mergeCell ref="A129:P129"/>
    <mergeCell ref="A139:P139"/>
    <mergeCell ref="A145:P145"/>
    <mergeCell ref="A70:P70"/>
    <mergeCell ref="A75:P75"/>
    <mergeCell ref="A85:P85"/>
    <mergeCell ref="A94:P94"/>
    <mergeCell ref="A98:P98"/>
    <mergeCell ref="A102:P102"/>
    <mergeCell ref="C26:D26"/>
    <mergeCell ref="E26:F26"/>
    <mergeCell ref="J26:K26"/>
    <mergeCell ref="L26:M26"/>
    <mergeCell ref="A29:P29"/>
    <mergeCell ref="A48:P48"/>
    <mergeCell ref="P22:P23"/>
    <mergeCell ref="B23:H23"/>
    <mergeCell ref="I23:O23"/>
    <mergeCell ref="B24:B27"/>
    <mergeCell ref="C24:H24"/>
    <mergeCell ref="I24:I27"/>
    <mergeCell ref="J24:O24"/>
    <mergeCell ref="P24:P27"/>
    <mergeCell ref="C25:F25"/>
    <mergeCell ref="G25:H26"/>
    <mergeCell ref="D10:J10"/>
    <mergeCell ref="D11:J11"/>
    <mergeCell ref="D12:M12"/>
    <mergeCell ref="D13:M13"/>
    <mergeCell ref="D14:M14"/>
    <mergeCell ref="A22:A27"/>
    <mergeCell ref="B22:H22"/>
    <mergeCell ref="I22:O22"/>
    <mergeCell ref="J25:M25"/>
    <mergeCell ref="N25:O26"/>
    <mergeCell ref="N1:P1"/>
    <mergeCell ref="N2:P2"/>
    <mergeCell ref="A5:P5"/>
    <mergeCell ref="A6:P6"/>
    <mergeCell ref="D8:J8"/>
    <mergeCell ref="D9:J9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Гончарова Наталія Олександрівна</dc:creator>
  <cp:keywords/>
  <dc:description/>
  <cp:lastModifiedBy>Гончарова Наталія Олександрівна</cp:lastModifiedBy>
  <cp:lastPrinted>2021-03-18T09:54:10Z</cp:lastPrinted>
  <dcterms:created xsi:type="dcterms:W3CDTF">2019-03-01T13:03:17Z</dcterms:created>
  <dcterms:modified xsi:type="dcterms:W3CDTF">2021-05-13T13:48:35Z</dcterms:modified>
  <cp:category/>
  <cp:version/>
  <cp:contentType/>
  <cp:contentStatus/>
</cp:coreProperties>
</file>