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20\31.03.2020\6682-МР\"/>
    </mc:Choice>
  </mc:AlternateContent>
  <bookViews>
    <workbookView xWindow="0" yWindow="0" windowWidth="28800" windowHeight="13590" tabRatio="495" activeTab="1"/>
  </bookViews>
  <sheets>
    <sheet name="дод 2" sheetId="1" r:id="rId1"/>
    <sheet name="дод 3" sheetId="3" r:id="rId2"/>
  </sheets>
  <definedNames>
    <definedName name="_xlnm.Print_Titles" localSheetId="0">'дод 2'!$15:$17</definedName>
    <definedName name="_xlnm.Print_Titles" localSheetId="1">'дод 3'!$16:$18</definedName>
    <definedName name="_xlnm.Print_Area" localSheetId="0">'дод 2'!$A$1:$P$212</definedName>
    <definedName name="_xlnm.Print_Area" localSheetId="1">'дод 3'!$A$1:$O$164</definedName>
  </definedNames>
  <calcPr calcId="162913"/>
</workbook>
</file>

<file path=xl/calcChain.xml><?xml version="1.0" encoding="utf-8"?>
<calcChain xmlns="http://schemas.openxmlformats.org/spreadsheetml/2006/main">
  <c r="F141" i="1" l="1"/>
  <c r="F92" i="1"/>
  <c r="F103" i="1"/>
  <c r="F101" i="1"/>
  <c r="O82" i="1" l="1"/>
  <c r="K82" i="1"/>
  <c r="O145" i="1" l="1"/>
  <c r="K145" i="1"/>
  <c r="H143" i="1"/>
  <c r="F143" i="1"/>
  <c r="O142" i="1"/>
  <c r="K142" i="1"/>
  <c r="I142" i="1"/>
  <c r="H115" i="1"/>
  <c r="F115" i="1"/>
  <c r="F107" i="1"/>
  <c r="F100" i="1"/>
  <c r="F46" i="1"/>
  <c r="F44" i="1"/>
  <c r="E138" i="3" l="1"/>
  <c r="F138" i="3"/>
  <c r="G138" i="3"/>
  <c r="H138" i="3"/>
  <c r="I138" i="3"/>
  <c r="J138" i="3"/>
  <c r="K138" i="3"/>
  <c r="L138" i="3"/>
  <c r="M138" i="3"/>
  <c r="N138" i="3"/>
  <c r="O138" i="3"/>
  <c r="D138" i="3"/>
  <c r="J157" i="1"/>
  <c r="E157" i="1"/>
  <c r="F134" i="1"/>
  <c r="G134" i="1"/>
  <c r="H134" i="1"/>
  <c r="I134" i="1"/>
  <c r="K134" i="1"/>
  <c r="L134" i="1"/>
  <c r="M134" i="1"/>
  <c r="N134" i="1"/>
  <c r="O134" i="1"/>
  <c r="C157" i="1"/>
  <c r="D157" i="1"/>
  <c r="B157" i="1"/>
  <c r="P157" i="1" l="1"/>
  <c r="F144" i="1"/>
  <c r="E116" i="3" l="1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F19" i="1"/>
  <c r="G19" i="1"/>
  <c r="H19" i="1"/>
  <c r="I19" i="1"/>
  <c r="K19" i="1"/>
  <c r="L19" i="1"/>
  <c r="M19" i="1"/>
  <c r="N19" i="1"/>
  <c r="O19" i="1"/>
  <c r="E39" i="1"/>
  <c r="E40" i="1"/>
  <c r="D117" i="3" s="1"/>
  <c r="J38" i="1"/>
  <c r="J39" i="1"/>
  <c r="I116" i="3" s="1"/>
  <c r="J40" i="1"/>
  <c r="I117" i="3" s="1"/>
  <c r="C39" i="1"/>
  <c r="D39" i="1"/>
  <c r="C40" i="1"/>
  <c r="D40" i="1"/>
  <c r="B40" i="1"/>
  <c r="B39" i="1"/>
  <c r="P40" i="1" l="1"/>
  <c r="O117" i="3" s="1"/>
  <c r="P39" i="1"/>
  <c r="O116" i="3" s="1"/>
  <c r="D116" i="3"/>
  <c r="O170" i="1" l="1"/>
  <c r="K170" i="1"/>
  <c r="K138" i="1" l="1"/>
  <c r="O138" i="1"/>
  <c r="O172" i="1" l="1"/>
  <c r="K172" i="1"/>
  <c r="O166" i="1"/>
  <c r="K166" i="1"/>
  <c r="O146" i="1"/>
  <c r="K146" i="1"/>
  <c r="O144" i="1"/>
  <c r="K144" i="1"/>
  <c r="O143" i="1"/>
  <c r="K143" i="1"/>
  <c r="F116" i="1"/>
  <c r="O59" i="1" l="1"/>
  <c r="O58" i="1"/>
  <c r="K59" i="1"/>
  <c r="K58" i="1"/>
  <c r="F59" i="1"/>
  <c r="G59" i="1"/>
  <c r="G58" i="1"/>
  <c r="F58" i="1"/>
  <c r="O57" i="1"/>
  <c r="O56" i="1"/>
  <c r="K57" i="1"/>
  <c r="K56" i="1"/>
  <c r="F57" i="1"/>
  <c r="G57" i="1"/>
  <c r="G56" i="1"/>
  <c r="F56" i="1"/>
  <c r="F88" i="1" l="1"/>
  <c r="F84" i="1"/>
  <c r="F82" i="1"/>
  <c r="O181" i="1"/>
  <c r="L181" i="1"/>
  <c r="O94" i="1" l="1"/>
  <c r="F130" i="1"/>
  <c r="F127" i="1"/>
  <c r="F126" i="1"/>
  <c r="O106" i="1"/>
  <c r="K106" i="1"/>
  <c r="O66" i="1"/>
  <c r="K66" i="1"/>
  <c r="F72" i="1"/>
  <c r="F63" i="1"/>
  <c r="F60" i="1"/>
  <c r="F37" i="1"/>
  <c r="F35" i="1"/>
  <c r="K35" i="1"/>
  <c r="O35" i="1"/>
  <c r="O34" i="1"/>
  <c r="K34" i="1"/>
  <c r="F34" i="1"/>
  <c r="F32" i="1"/>
  <c r="F33" i="1"/>
  <c r="F30" i="1"/>
  <c r="O115" i="1"/>
  <c r="K115" i="1"/>
  <c r="K94" i="1"/>
  <c r="F106" i="1"/>
  <c r="F135" i="1" l="1"/>
  <c r="G135" i="1"/>
  <c r="H135" i="1"/>
  <c r="I135" i="1"/>
  <c r="K135" i="1"/>
  <c r="L135" i="1"/>
  <c r="M135" i="1"/>
  <c r="N135" i="1"/>
  <c r="O135" i="1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J153" i="1"/>
  <c r="I119" i="3" s="1"/>
  <c r="I114" i="3" s="1"/>
  <c r="E153" i="1"/>
  <c r="D119" i="3" s="1"/>
  <c r="D114" i="3" s="1"/>
  <c r="J152" i="1"/>
  <c r="I118" i="3" s="1"/>
  <c r="E152" i="1"/>
  <c r="C152" i="1"/>
  <c r="D152" i="1"/>
  <c r="B152" i="1"/>
  <c r="E114" i="3"/>
  <c r="F114" i="3"/>
  <c r="G114" i="3"/>
  <c r="H114" i="3"/>
  <c r="J114" i="3"/>
  <c r="K114" i="3"/>
  <c r="L114" i="3"/>
  <c r="M114" i="3"/>
  <c r="N114" i="3"/>
  <c r="E201" i="1"/>
  <c r="P152" i="1" l="1"/>
  <c r="O118" i="3" s="1"/>
  <c r="P153" i="1"/>
  <c r="O119" i="3" s="1"/>
  <c r="O114" i="3" s="1"/>
  <c r="D118" i="3"/>
  <c r="N109" i="3"/>
  <c r="M109" i="3"/>
  <c r="L109" i="3"/>
  <c r="K109" i="3"/>
  <c r="J109" i="3"/>
  <c r="H109" i="3"/>
  <c r="G109" i="3"/>
  <c r="F109" i="3"/>
  <c r="E109" i="3"/>
  <c r="N79" i="1"/>
  <c r="M79" i="1"/>
  <c r="L79" i="1"/>
  <c r="I79" i="1"/>
  <c r="H79" i="1"/>
  <c r="J93" i="1"/>
  <c r="E93" i="1"/>
  <c r="D93" i="1"/>
  <c r="C93" i="1"/>
  <c r="B93" i="1"/>
  <c r="D173" i="1"/>
  <c r="C173" i="1"/>
  <c r="B173" i="1"/>
  <c r="D147" i="1"/>
  <c r="C147" i="1"/>
  <c r="B147" i="1"/>
  <c r="P93" i="1" l="1"/>
  <c r="N164" i="1"/>
  <c r="M164" i="1"/>
  <c r="L164" i="1"/>
  <c r="I164" i="1"/>
  <c r="H164" i="1"/>
  <c r="J173" i="1"/>
  <c r="E173" i="1"/>
  <c r="O169" i="1"/>
  <c r="K169" i="1"/>
  <c r="J147" i="1"/>
  <c r="E147" i="1"/>
  <c r="D109" i="3" s="1"/>
  <c r="F140" i="1"/>
  <c r="P173" i="1" l="1"/>
  <c r="I109" i="3"/>
  <c r="P147" i="1"/>
  <c r="O109" i="3" s="1"/>
  <c r="O167" i="1" l="1"/>
  <c r="L45" i="1" l="1"/>
  <c r="O126" i="1" l="1"/>
  <c r="K126" i="1"/>
  <c r="N129" i="3" l="1"/>
  <c r="M129" i="3"/>
  <c r="L129" i="3"/>
  <c r="J129" i="3"/>
  <c r="H129" i="3"/>
  <c r="G129" i="3"/>
  <c r="F129" i="3"/>
  <c r="E129" i="3"/>
  <c r="N151" i="3"/>
  <c r="M151" i="3"/>
  <c r="L151" i="3"/>
  <c r="K151" i="3"/>
  <c r="J151" i="3"/>
  <c r="H151" i="3"/>
  <c r="G151" i="3"/>
  <c r="F151" i="3"/>
  <c r="E151" i="3"/>
  <c r="N112" i="3" l="1"/>
  <c r="N102" i="3" s="1"/>
  <c r="N98" i="3" s="1"/>
  <c r="M112" i="3"/>
  <c r="M102" i="3" s="1"/>
  <c r="M98" i="3" s="1"/>
  <c r="L112" i="3"/>
  <c r="L102" i="3" s="1"/>
  <c r="L98" i="3" s="1"/>
  <c r="K112" i="3"/>
  <c r="K102" i="3" s="1"/>
  <c r="K98" i="3" s="1"/>
  <c r="J112" i="3"/>
  <c r="H112" i="3"/>
  <c r="H102" i="3" s="1"/>
  <c r="H98" i="3" s="1"/>
  <c r="G112" i="3"/>
  <c r="G102" i="3" s="1"/>
  <c r="G98" i="3" s="1"/>
  <c r="F112" i="3"/>
  <c r="F102" i="3" s="1"/>
  <c r="F98" i="3" s="1"/>
  <c r="E112" i="3"/>
  <c r="E102" i="3" s="1"/>
  <c r="E98" i="3" s="1"/>
  <c r="M111" i="3"/>
  <c r="L111" i="3"/>
  <c r="K111" i="3"/>
  <c r="H111" i="3"/>
  <c r="G111" i="3"/>
  <c r="F111" i="3"/>
  <c r="E111" i="3"/>
  <c r="O140" i="1" l="1"/>
  <c r="K140" i="1"/>
  <c r="K186" i="1" l="1"/>
  <c r="L178" i="1"/>
  <c r="L199" i="1" l="1"/>
  <c r="G184" i="1"/>
  <c r="F184" i="1"/>
  <c r="F179" i="1"/>
  <c r="J176" i="1"/>
  <c r="E176" i="1"/>
  <c r="O171" i="1"/>
  <c r="K171" i="1"/>
  <c r="O158" i="1"/>
  <c r="L156" i="1"/>
  <c r="O150" i="1"/>
  <c r="J150" i="1" s="1"/>
  <c r="K150" i="1"/>
  <c r="E151" i="1"/>
  <c r="E135" i="1" s="1"/>
  <c r="E150" i="1"/>
  <c r="J151" i="1"/>
  <c r="J135" i="1" s="1"/>
  <c r="F136" i="1"/>
  <c r="F128" i="1"/>
  <c r="O127" i="1"/>
  <c r="K127" i="1"/>
  <c r="K124" i="1" s="1"/>
  <c r="F125" i="1"/>
  <c r="F98" i="1"/>
  <c r="F89" i="1"/>
  <c r="F83" i="1"/>
  <c r="F81" i="1"/>
  <c r="F79" i="1" s="1"/>
  <c r="P176" i="1" l="1"/>
  <c r="P150" i="1"/>
  <c r="K129" i="3"/>
  <c r="P151" i="1"/>
  <c r="P135" i="1" s="1"/>
  <c r="O54" i="1"/>
  <c r="N54" i="1"/>
  <c r="M54" i="1"/>
  <c r="L54" i="1"/>
  <c r="I54" i="1"/>
  <c r="H54" i="1"/>
  <c r="G54" i="1"/>
  <c r="N53" i="1"/>
  <c r="M53" i="1"/>
  <c r="I53" i="1"/>
  <c r="E77" i="1"/>
  <c r="J77" i="1"/>
  <c r="I151" i="3" s="1"/>
  <c r="L76" i="1"/>
  <c r="L53" i="1" s="1"/>
  <c r="O72" i="1"/>
  <c r="K72" i="1"/>
  <c r="F66" i="1"/>
  <c r="P77" i="1" l="1"/>
  <c r="O151" i="3" s="1"/>
  <c r="D151" i="3"/>
  <c r="J74" i="1"/>
  <c r="E74" i="1"/>
  <c r="D112" i="3" s="1"/>
  <c r="D102" i="3" s="1"/>
  <c r="D98" i="3" s="1"/>
  <c r="P74" i="1" l="1"/>
  <c r="O112" i="3" s="1"/>
  <c r="O102" i="3" s="1"/>
  <c r="O98" i="3" s="1"/>
  <c r="I112" i="3"/>
  <c r="I102" i="3" s="1"/>
  <c r="I98" i="3" s="1"/>
  <c r="J102" i="3"/>
  <c r="J98" i="3" s="1"/>
  <c r="F62" i="1"/>
  <c r="O60" i="1"/>
  <c r="K60" i="1"/>
  <c r="O73" i="1"/>
  <c r="N111" i="3" s="1"/>
  <c r="K73" i="1"/>
  <c r="J111" i="3" s="1"/>
  <c r="E73" i="1"/>
  <c r="F54" i="1"/>
  <c r="F55" i="1"/>
  <c r="F48" i="1"/>
  <c r="F36" i="1"/>
  <c r="F29" i="1"/>
  <c r="F24" i="1"/>
  <c r="F20" i="1"/>
  <c r="G20" i="1"/>
  <c r="F53" i="1" l="1"/>
  <c r="K53" i="1"/>
  <c r="O53" i="1"/>
  <c r="J73" i="1"/>
  <c r="P73" i="1" s="1"/>
  <c r="O139" i="1"/>
  <c r="K139" i="1"/>
  <c r="J174" i="1" l="1"/>
  <c r="I111" i="3" s="1"/>
  <c r="E174" i="1"/>
  <c r="D111" i="3" s="1"/>
  <c r="O168" i="1"/>
  <c r="K168" i="1"/>
  <c r="P174" i="1" l="1"/>
  <c r="O111" i="3" s="1"/>
  <c r="O41" i="1" l="1"/>
  <c r="K41" i="1"/>
  <c r="F41" i="1"/>
  <c r="G120" i="1" l="1"/>
  <c r="F120" i="1"/>
  <c r="F112" i="1" l="1"/>
  <c r="G195" i="1"/>
  <c r="F195" i="1"/>
  <c r="G187" i="1"/>
  <c r="F187" i="1"/>
  <c r="G179" i="1"/>
  <c r="K164" i="1"/>
  <c r="G165" i="1"/>
  <c r="G164" i="1" s="1"/>
  <c r="F165" i="1"/>
  <c r="F164" i="1" s="1"/>
  <c r="G162" i="1"/>
  <c r="F162" i="1"/>
  <c r="I154" i="1"/>
  <c r="F154" i="1"/>
  <c r="G136" i="1"/>
  <c r="G125" i="1"/>
  <c r="G98" i="1"/>
  <c r="G81" i="1"/>
  <c r="G79" i="1" s="1"/>
  <c r="G55" i="1"/>
  <c r="N132" i="3" l="1"/>
  <c r="N131" i="3" s="1"/>
  <c r="M132" i="3"/>
  <c r="M131" i="3" s="1"/>
  <c r="L132" i="3"/>
  <c r="L131" i="3" s="1"/>
  <c r="K132" i="3"/>
  <c r="K131" i="3" s="1"/>
  <c r="J132" i="3"/>
  <c r="J131" i="3" s="1"/>
  <c r="H132" i="3"/>
  <c r="H131" i="3" s="1"/>
  <c r="G132" i="3"/>
  <c r="G131" i="3" s="1"/>
  <c r="F132" i="3"/>
  <c r="F131" i="3" s="1"/>
  <c r="E132" i="3"/>
  <c r="E131" i="3" s="1"/>
  <c r="J95" i="1"/>
  <c r="I132" i="3" s="1"/>
  <c r="I131" i="3" s="1"/>
  <c r="E95" i="1"/>
  <c r="D132" i="3" s="1"/>
  <c r="D131" i="3" s="1"/>
  <c r="P95" i="1" l="1"/>
  <c r="D100" i="1"/>
  <c r="O132" i="3" l="1"/>
  <c r="O131" i="3" s="1"/>
  <c r="C171" i="1" l="1"/>
  <c r="D171" i="1"/>
  <c r="B171" i="1"/>
  <c r="E106" i="3"/>
  <c r="F106" i="3"/>
  <c r="G106" i="3"/>
  <c r="H106" i="3"/>
  <c r="J106" i="3"/>
  <c r="K106" i="3"/>
  <c r="L106" i="3"/>
  <c r="M106" i="3"/>
  <c r="N106" i="3"/>
  <c r="D106" i="3"/>
  <c r="J171" i="1"/>
  <c r="I106" i="3" s="1"/>
  <c r="P171" i="1" l="1"/>
  <c r="O106" i="3" s="1"/>
  <c r="E38" i="3"/>
  <c r="F38" i="3"/>
  <c r="G38" i="3"/>
  <c r="H38" i="3"/>
  <c r="I38" i="3"/>
  <c r="J38" i="3"/>
  <c r="K38" i="3"/>
  <c r="L38" i="3"/>
  <c r="M38" i="3"/>
  <c r="N38" i="3"/>
  <c r="E69" i="1"/>
  <c r="P69" i="1" s="1"/>
  <c r="O38" i="3" s="1"/>
  <c r="K54" i="1"/>
  <c r="J57" i="1"/>
  <c r="I25" i="3" s="1"/>
  <c r="E25" i="3"/>
  <c r="F25" i="3"/>
  <c r="G25" i="3"/>
  <c r="H25" i="3"/>
  <c r="J25" i="3"/>
  <c r="K25" i="3"/>
  <c r="L25" i="3"/>
  <c r="M25" i="3"/>
  <c r="N25" i="3"/>
  <c r="E57" i="1"/>
  <c r="D25" i="3" s="1"/>
  <c r="G53" i="1"/>
  <c r="P57" i="1" l="1"/>
  <c r="O25" i="3" s="1"/>
  <c r="D38" i="3"/>
  <c r="O43" i="1"/>
  <c r="K43" i="1"/>
  <c r="F139" i="1" l="1"/>
  <c r="I139" i="1"/>
  <c r="D117" i="1" l="1"/>
  <c r="E150" i="3"/>
  <c r="F150" i="3"/>
  <c r="G150" i="3"/>
  <c r="H150" i="3"/>
  <c r="K150" i="3"/>
  <c r="L150" i="3"/>
  <c r="M150" i="3"/>
  <c r="F130" i="3"/>
  <c r="G130" i="3"/>
  <c r="H130" i="3"/>
  <c r="J130" i="3"/>
  <c r="K130" i="3"/>
  <c r="L130" i="3"/>
  <c r="M130" i="3"/>
  <c r="N130" i="3"/>
  <c r="E108" i="3"/>
  <c r="F108" i="3"/>
  <c r="G108" i="3"/>
  <c r="H108" i="3"/>
  <c r="J108" i="3"/>
  <c r="K108" i="3"/>
  <c r="L108" i="3"/>
  <c r="M108" i="3"/>
  <c r="N108" i="3"/>
  <c r="F96" i="3"/>
  <c r="G96" i="3"/>
  <c r="H96" i="3"/>
  <c r="J96" i="3"/>
  <c r="K96" i="3"/>
  <c r="L96" i="3"/>
  <c r="M96" i="3"/>
  <c r="N96" i="3"/>
  <c r="F20" i="3"/>
  <c r="G20" i="3"/>
  <c r="H20" i="3"/>
  <c r="J20" i="3"/>
  <c r="K20" i="3"/>
  <c r="L20" i="3"/>
  <c r="M20" i="3"/>
  <c r="N20" i="3"/>
  <c r="G97" i="1"/>
  <c r="H97" i="1"/>
  <c r="I97" i="1"/>
  <c r="L97" i="1"/>
  <c r="M97" i="1"/>
  <c r="N97" i="1"/>
  <c r="G194" i="1"/>
  <c r="H194" i="1"/>
  <c r="I194" i="1"/>
  <c r="K194" i="1"/>
  <c r="L194" i="1"/>
  <c r="M194" i="1"/>
  <c r="N194" i="1"/>
  <c r="O194" i="1"/>
  <c r="G186" i="1"/>
  <c r="H186" i="1"/>
  <c r="L186" i="1"/>
  <c r="M186" i="1"/>
  <c r="N186" i="1"/>
  <c r="O186" i="1"/>
  <c r="G178" i="1"/>
  <c r="H178" i="1"/>
  <c r="I178" i="1"/>
  <c r="K178" i="1"/>
  <c r="M178" i="1"/>
  <c r="N178" i="1"/>
  <c r="O178" i="1"/>
  <c r="G124" i="1"/>
  <c r="H124" i="1"/>
  <c r="I124" i="1"/>
  <c r="L124" i="1"/>
  <c r="M124" i="1"/>
  <c r="N124" i="1"/>
  <c r="G119" i="1"/>
  <c r="H119" i="1"/>
  <c r="I119" i="1"/>
  <c r="K119" i="1"/>
  <c r="L119" i="1"/>
  <c r="M119" i="1"/>
  <c r="N119" i="1"/>
  <c r="O119" i="1"/>
  <c r="G78" i="1"/>
  <c r="H78" i="1"/>
  <c r="I78" i="1"/>
  <c r="L78" i="1"/>
  <c r="M78" i="1"/>
  <c r="N78" i="1"/>
  <c r="G80" i="1"/>
  <c r="G204" i="1" s="1"/>
  <c r="H80" i="1"/>
  <c r="H204" i="1" s="1"/>
  <c r="I80" i="1"/>
  <c r="I204" i="1" s="1"/>
  <c r="K80" i="1"/>
  <c r="K204" i="1" s="1"/>
  <c r="L80" i="1"/>
  <c r="L204" i="1" s="1"/>
  <c r="M80" i="1"/>
  <c r="M204" i="1" s="1"/>
  <c r="N80" i="1"/>
  <c r="N204" i="1" s="1"/>
  <c r="O80" i="1"/>
  <c r="O204" i="1" s="1"/>
  <c r="F80" i="1" l="1"/>
  <c r="F204" i="1" s="1"/>
  <c r="H63" i="1" l="1"/>
  <c r="H53" i="1" s="1"/>
  <c r="O159" i="1"/>
  <c r="N150" i="3" s="1"/>
  <c r="K159" i="1"/>
  <c r="J150" i="3" s="1"/>
  <c r="F189" i="1" l="1"/>
  <c r="I189" i="1"/>
  <c r="I186" i="1" s="1"/>
  <c r="F192" i="1" l="1"/>
  <c r="E130" i="3" s="1"/>
  <c r="O155" i="1"/>
  <c r="K155" i="1"/>
  <c r="F186" i="1" l="1"/>
  <c r="F178" i="1"/>
  <c r="F119" i="1"/>
  <c r="F78" i="1"/>
  <c r="E20" i="3" l="1"/>
  <c r="O124" i="1"/>
  <c r="D159" i="1" l="1"/>
  <c r="F42" i="1" l="1"/>
  <c r="F200" i="1" l="1"/>
  <c r="F194" i="1" s="1"/>
  <c r="F124" i="1" l="1"/>
  <c r="O86" i="1" l="1"/>
  <c r="O79" i="1" s="1"/>
  <c r="K86" i="1"/>
  <c r="K79" i="1" s="1"/>
  <c r="O78" i="1" l="1"/>
  <c r="K78" i="1"/>
  <c r="E141" i="3"/>
  <c r="F141" i="3"/>
  <c r="G141" i="3"/>
  <c r="H141" i="3"/>
  <c r="J141" i="3"/>
  <c r="K141" i="3"/>
  <c r="L141" i="3"/>
  <c r="M141" i="3"/>
  <c r="N141" i="3"/>
  <c r="J132" i="1"/>
  <c r="E132" i="1"/>
  <c r="C132" i="1"/>
  <c r="D132" i="1"/>
  <c r="B132" i="1"/>
  <c r="P132" i="1" l="1"/>
  <c r="E21" i="3"/>
  <c r="F21" i="3"/>
  <c r="G21" i="3"/>
  <c r="H21" i="3"/>
  <c r="J21" i="3"/>
  <c r="K21" i="3"/>
  <c r="L21" i="3"/>
  <c r="M21" i="3"/>
  <c r="N21" i="3"/>
  <c r="E24" i="3"/>
  <c r="F24" i="3"/>
  <c r="G24" i="3"/>
  <c r="H24" i="3"/>
  <c r="K24" i="3"/>
  <c r="L24" i="3"/>
  <c r="M24" i="3"/>
  <c r="N24" i="3"/>
  <c r="E26" i="3"/>
  <c r="F26" i="3"/>
  <c r="G26" i="3"/>
  <c r="H26" i="3"/>
  <c r="K26" i="3"/>
  <c r="L26" i="3"/>
  <c r="M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3" i="3"/>
  <c r="F53" i="3"/>
  <c r="G53" i="3"/>
  <c r="H53" i="3"/>
  <c r="K53" i="3"/>
  <c r="L53" i="3"/>
  <c r="M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F69" i="3"/>
  <c r="G69" i="3"/>
  <c r="H69" i="3"/>
  <c r="J69" i="3"/>
  <c r="K69" i="3"/>
  <c r="L69" i="3"/>
  <c r="M69" i="3"/>
  <c r="N69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100" i="3"/>
  <c r="E99" i="3" s="1"/>
  <c r="F100" i="3"/>
  <c r="F99" i="3" s="1"/>
  <c r="G100" i="3"/>
  <c r="G99" i="3" s="1"/>
  <c r="H100" i="3"/>
  <c r="H99" i="3" s="1"/>
  <c r="J100" i="3"/>
  <c r="J99" i="3" s="1"/>
  <c r="K100" i="3"/>
  <c r="K99" i="3" s="1"/>
  <c r="L100" i="3"/>
  <c r="L99" i="3" s="1"/>
  <c r="M100" i="3"/>
  <c r="M99" i="3" s="1"/>
  <c r="N100" i="3"/>
  <c r="N99" i="3" s="1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10" i="3"/>
  <c r="F110" i="3"/>
  <c r="G110" i="3"/>
  <c r="H110" i="3"/>
  <c r="J110" i="3"/>
  <c r="K110" i="3"/>
  <c r="L110" i="3"/>
  <c r="M110" i="3"/>
  <c r="N110" i="3"/>
  <c r="E115" i="3"/>
  <c r="E113" i="3" s="1"/>
  <c r="F115" i="3"/>
  <c r="F113" i="3" s="1"/>
  <c r="G115" i="3"/>
  <c r="G113" i="3" s="1"/>
  <c r="H115" i="3"/>
  <c r="H113" i="3" s="1"/>
  <c r="J115" i="3"/>
  <c r="J113" i="3" s="1"/>
  <c r="K115" i="3"/>
  <c r="K113" i="3" s="1"/>
  <c r="L115" i="3"/>
  <c r="L113" i="3" s="1"/>
  <c r="M115" i="3"/>
  <c r="M113" i="3" s="1"/>
  <c r="N115" i="3"/>
  <c r="N113" i="3" s="1"/>
  <c r="E121" i="3"/>
  <c r="E120" i="3" s="1"/>
  <c r="F121" i="3"/>
  <c r="F120" i="3" s="1"/>
  <c r="G121" i="3"/>
  <c r="G120" i="3" s="1"/>
  <c r="H121" i="3"/>
  <c r="H120" i="3" s="1"/>
  <c r="J121" i="3"/>
  <c r="J120" i="3" s="1"/>
  <c r="K121" i="3"/>
  <c r="K120" i="3" s="1"/>
  <c r="L121" i="3"/>
  <c r="L120" i="3" s="1"/>
  <c r="M121" i="3"/>
  <c r="M120" i="3" s="1"/>
  <c r="N121" i="3"/>
  <c r="N120" i="3" s="1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F128" i="3"/>
  <c r="G128" i="3"/>
  <c r="H128" i="3"/>
  <c r="J128" i="3"/>
  <c r="K128" i="3"/>
  <c r="L128" i="3"/>
  <c r="M128" i="3"/>
  <c r="N128" i="3"/>
  <c r="E135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40" i="3"/>
  <c r="E139" i="3" s="1"/>
  <c r="F140" i="3"/>
  <c r="F139" i="3" s="1"/>
  <c r="G140" i="3"/>
  <c r="H140" i="3"/>
  <c r="J140" i="3"/>
  <c r="K140" i="3"/>
  <c r="K139" i="3" s="1"/>
  <c r="L140" i="3"/>
  <c r="M140" i="3"/>
  <c r="M139" i="3" s="1"/>
  <c r="N140" i="3"/>
  <c r="E143" i="3"/>
  <c r="E142" i="3" s="1"/>
  <c r="F143" i="3"/>
  <c r="F142" i="3" s="1"/>
  <c r="G143" i="3"/>
  <c r="G142" i="3" s="1"/>
  <c r="H143" i="3"/>
  <c r="H142" i="3" s="1"/>
  <c r="J143" i="3"/>
  <c r="J142" i="3" s="1"/>
  <c r="K143" i="3"/>
  <c r="K142" i="3" s="1"/>
  <c r="L143" i="3"/>
  <c r="L142" i="3" s="1"/>
  <c r="M143" i="3"/>
  <c r="M142" i="3" s="1"/>
  <c r="N143" i="3"/>
  <c r="N142" i="3" s="1"/>
  <c r="E144" i="3"/>
  <c r="F144" i="3"/>
  <c r="G144" i="3"/>
  <c r="H144" i="3"/>
  <c r="J144" i="3"/>
  <c r="K144" i="3"/>
  <c r="L144" i="3"/>
  <c r="M144" i="3"/>
  <c r="N144" i="3"/>
  <c r="D145" i="3"/>
  <c r="E145" i="3"/>
  <c r="F145" i="3"/>
  <c r="G145" i="3"/>
  <c r="H145" i="3"/>
  <c r="J145" i="3"/>
  <c r="K145" i="3"/>
  <c r="L145" i="3"/>
  <c r="M145" i="3"/>
  <c r="N145" i="3"/>
  <c r="E148" i="3"/>
  <c r="E147" i="3" s="1"/>
  <c r="F148" i="3"/>
  <c r="F147" i="3" s="1"/>
  <c r="G148" i="3"/>
  <c r="G147" i="3" s="1"/>
  <c r="H148" i="3"/>
  <c r="H147" i="3" s="1"/>
  <c r="J148" i="3"/>
  <c r="J147" i="3" s="1"/>
  <c r="K148" i="3"/>
  <c r="K147" i="3" s="1"/>
  <c r="L148" i="3"/>
  <c r="L147" i="3" s="1"/>
  <c r="M148" i="3"/>
  <c r="M147" i="3" s="1"/>
  <c r="N148" i="3"/>
  <c r="N147" i="3" s="1"/>
  <c r="E149" i="3"/>
  <c r="F149" i="3"/>
  <c r="G149" i="3"/>
  <c r="H149" i="3"/>
  <c r="J149" i="3"/>
  <c r="K149" i="3"/>
  <c r="L149" i="3"/>
  <c r="M149" i="3"/>
  <c r="N149" i="3"/>
  <c r="O175" i="1"/>
  <c r="O164" i="1" s="1"/>
  <c r="J56" i="1"/>
  <c r="I24" i="3" s="1"/>
  <c r="J196" i="1"/>
  <c r="J197" i="1"/>
  <c r="J198" i="1"/>
  <c r="I140" i="3" s="1"/>
  <c r="J199" i="1"/>
  <c r="J200" i="1"/>
  <c r="I144" i="3" s="1"/>
  <c r="J201" i="1"/>
  <c r="I145" i="3" s="1"/>
  <c r="J202" i="1"/>
  <c r="I148" i="3" s="1"/>
  <c r="I147" i="3" s="1"/>
  <c r="J195" i="1"/>
  <c r="J188" i="1"/>
  <c r="I100" i="3" s="1"/>
  <c r="I99" i="3" s="1"/>
  <c r="J189" i="1"/>
  <c r="J190" i="1"/>
  <c r="I125" i="3" s="1"/>
  <c r="J191" i="1"/>
  <c r="I126" i="3" s="1"/>
  <c r="J192" i="1"/>
  <c r="J187" i="1"/>
  <c r="J184" i="1"/>
  <c r="J166" i="1"/>
  <c r="J167" i="1"/>
  <c r="I95" i="3" s="1"/>
  <c r="J168" i="1"/>
  <c r="J169" i="1"/>
  <c r="I104" i="3" s="1"/>
  <c r="J170" i="1"/>
  <c r="I105" i="3" s="1"/>
  <c r="J172" i="1"/>
  <c r="J179" i="1"/>
  <c r="J180" i="1"/>
  <c r="J181" i="1"/>
  <c r="J165" i="1"/>
  <c r="J162" i="1"/>
  <c r="J137" i="1"/>
  <c r="J138" i="1"/>
  <c r="J139" i="1"/>
  <c r="I90" i="3" s="1"/>
  <c r="J140" i="1"/>
  <c r="I91" i="3" s="1"/>
  <c r="J141" i="1"/>
  <c r="I92" i="3" s="1"/>
  <c r="J142" i="1"/>
  <c r="J143" i="1"/>
  <c r="J144" i="1"/>
  <c r="J145" i="1"/>
  <c r="J146" i="1"/>
  <c r="J148" i="1"/>
  <c r="I108" i="3" s="1"/>
  <c r="J149" i="1"/>
  <c r="I110" i="3" s="1"/>
  <c r="J154" i="1"/>
  <c r="J155" i="1"/>
  <c r="J158" i="1"/>
  <c r="J159" i="1"/>
  <c r="J136" i="1"/>
  <c r="J127" i="1"/>
  <c r="I77" i="3" s="1"/>
  <c r="J128" i="1"/>
  <c r="J129" i="1"/>
  <c r="J130" i="1"/>
  <c r="J131" i="1"/>
  <c r="J125" i="1"/>
  <c r="J121" i="1"/>
  <c r="I61" i="3" s="1"/>
  <c r="J122" i="1"/>
  <c r="I62" i="3" s="1"/>
  <c r="J120" i="1"/>
  <c r="J100" i="1"/>
  <c r="I54" i="3" s="1"/>
  <c r="J101" i="1"/>
  <c r="J102" i="1"/>
  <c r="I56" i="3" s="1"/>
  <c r="J103" i="1"/>
  <c r="J104" i="1"/>
  <c r="I58" i="3" s="1"/>
  <c r="J105" i="1"/>
  <c r="I59" i="3" s="1"/>
  <c r="J106" i="1"/>
  <c r="I60" i="3" s="1"/>
  <c r="J107" i="1"/>
  <c r="I66" i="3" s="1"/>
  <c r="J108" i="1"/>
  <c r="I67" i="3" s="1"/>
  <c r="J109" i="1"/>
  <c r="I68" i="3" s="1"/>
  <c r="J110" i="1"/>
  <c r="I69" i="3" s="1"/>
  <c r="J111" i="1"/>
  <c r="I70" i="3" s="1"/>
  <c r="J112" i="1"/>
  <c r="I71" i="3" s="1"/>
  <c r="J113" i="1"/>
  <c r="I72" i="3" s="1"/>
  <c r="J114" i="1"/>
  <c r="J115" i="1"/>
  <c r="J116" i="1"/>
  <c r="J117" i="1"/>
  <c r="J98" i="1"/>
  <c r="J82" i="1"/>
  <c r="I41" i="3" s="1"/>
  <c r="J83" i="1"/>
  <c r="J84" i="1"/>
  <c r="I43" i="3" s="1"/>
  <c r="J85" i="1"/>
  <c r="I44" i="3" s="1"/>
  <c r="J86" i="1"/>
  <c r="I45" i="3" s="1"/>
  <c r="J87" i="1"/>
  <c r="I46" i="3" s="1"/>
  <c r="J88" i="1"/>
  <c r="I47" i="3" s="1"/>
  <c r="J89" i="1"/>
  <c r="I48" i="3" s="1"/>
  <c r="J90" i="1"/>
  <c r="I49" i="3" s="1"/>
  <c r="J91" i="1"/>
  <c r="I50" i="3" s="1"/>
  <c r="J92" i="1"/>
  <c r="I51" i="3" s="1"/>
  <c r="J81" i="1"/>
  <c r="J59" i="1"/>
  <c r="J60" i="1"/>
  <c r="I28" i="3" s="1"/>
  <c r="J61" i="1"/>
  <c r="I29" i="3" s="1"/>
  <c r="J62" i="1"/>
  <c r="I30" i="3" s="1"/>
  <c r="J63" i="1"/>
  <c r="I32" i="3" s="1"/>
  <c r="J64" i="1"/>
  <c r="I33" i="3" s="1"/>
  <c r="J65" i="1"/>
  <c r="I34" i="3" s="1"/>
  <c r="J66" i="1"/>
  <c r="I35" i="3" s="1"/>
  <c r="J67" i="1"/>
  <c r="I36" i="3" s="1"/>
  <c r="J68" i="1"/>
  <c r="I37" i="3" s="1"/>
  <c r="J70" i="1"/>
  <c r="J71" i="1"/>
  <c r="J72" i="1"/>
  <c r="J75" i="1"/>
  <c r="J76" i="1"/>
  <c r="J55" i="1"/>
  <c r="J21" i="1"/>
  <c r="J22" i="1"/>
  <c r="J23" i="1"/>
  <c r="J24" i="1"/>
  <c r="I63" i="3" s="1"/>
  <c r="J25" i="1"/>
  <c r="I64" i="3" s="1"/>
  <c r="J26" i="1"/>
  <c r="J27" i="1"/>
  <c r="J28" i="1"/>
  <c r="J29" i="1"/>
  <c r="J30" i="1"/>
  <c r="J31" i="1"/>
  <c r="J32" i="1"/>
  <c r="I82" i="3" s="1"/>
  <c r="J33" i="1"/>
  <c r="I83" i="3" s="1"/>
  <c r="J34" i="1"/>
  <c r="J35" i="1"/>
  <c r="I85" i="3" s="1"/>
  <c r="J36" i="1"/>
  <c r="I86" i="3" s="1"/>
  <c r="J37" i="1"/>
  <c r="I87" i="3" s="1"/>
  <c r="I115" i="3"/>
  <c r="I113" i="3" s="1"/>
  <c r="J41" i="1"/>
  <c r="I121" i="3" s="1"/>
  <c r="I120" i="3" s="1"/>
  <c r="J42" i="1"/>
  <c r="J43" i="1"/>
  <c r="J44" i="1"/>
  <c r="I128" i="3" s="1"/>
  <c r="J45" i="1"/>
  <c r="J46" i="1"/>
  <c r="J47" i="1"/>
  <c r="I135" i="3" s="1"/>
  <c r="J48" i="1"/>
  <c r="I136" i="3" s="1"/>
  <c r="J49" i="1"/>
  <c r="I137" i="3" s="1"/>
  <c r="J50" i="1"/>
  <c r="J51" i="1"/>
  <c r="I143" i="3" s="1"/>
  <c r="I142" i="3" s="1"/>
  <c r="J20" i="1"/>
  <c r="I93" i="3" l="1"/>
  <c r="J134" i="1"/>
  <c r="I21" i="3"/>
  <c r="J19" i="1"/>
  <c r="L101" i="3"/>
  <c r="G101" i="3"/>
  <c r="E101" i="3"/>
  <c r="N101" i="3"/>
  <c r="J101" i="3"/>
  <c r="M101" i="3"/>
  <c r="K101" i="3"/>
  <c r="H101" i="3"/>
  <c r="F101" i="3"/>
  <c r="M146" i="3"/>
  <c r="K146" i="3"/>
  <c r="H146" i="3"/>
  <c r="F146" i="3"/>
  <c r="N146" i="3"/>
  <c r="L146" i="3"/>
  <c r="J146" i="3"/>
  <c r="G146" i="3"/>
  <c r="E146" i="3"/>
  <c r="J54" i="1"/>
  <c r="M40" i="3"/>
  <c r="K40" i="3"/>
  <c r="H40" i="3"/>
  <c r="F40" i="3"/>
  <c r="N40" i="3"/>
  <c r="L40" i="3"/>
  <c r="J40" i="3"/>
  <c r="G40" i="3"/>
  <c r="E40" i="3"/>
  <c r="I89" i="3"/>
  <c r="I96" i="3"/>
  <c r="J194" i="1"/>
  <c r="I20" i="3"/>
  <c r="I19" i="3" s="1"/>
  <c r="I130" i="3"/>
  <c r="K122" i="3"/>
  <c r="I150" i="3"/>
  <c r="I149" i="3" s="1"/>
  <c r="I146" i="3" s="1"/>
  <c r="N23" i="3"/>
  <c r="L23" i="3"/>
  <c r="J23" i="3"/>
  <c r="G23" i="3"/>
  <c r="E23" i="3"/>
  <c r="M23" i="3"/>
  <c r="K23" i="3"/>
  <c r="H23" i="3"/>
  <c r="F23" i="3"/>
  <c r="N88" i="3"/>
  <c r="L88" i="3"/>
  <c r="J88" i="3"/>
  <c r="G88" i="3"/>
  <c r="M88" i="3"/>
  <c r="K88" i="3"/>
  <c r="H88" i="3"/>
  <c r="F88" i="3"/>
  <c r="L52" i="3"/>
  <c r="H52" i="3"/>
  <c r="F52" i="3"/>
  <c r="M52" i="3"/>
  <c r="K52" i="3"/>
  <c r="G52" i="3"/>
  <c r="I39" i="3"/>
  <c r="N39" i="3"/>
  <c r="L39" i="3"/>
  <c r="J39" i="3"/>
  <c r="G39" i="3"/>
  <c r="E39" i="3"/>
  <c r="M39" i="3"/>
  <c r="K39" i="3"/>
  <c r="H39" i="3"/>
  <c r="F39" i="3"/>
  <c r="L22" i="3"/>
  <c r="H22" i="3"/>
  <c r="F22" i="3"/>
  <c r="M22" i="3"/>
  <c r="K22" i="3"/>
  <c r="G22" i="3"/>
  <c r="E22" i="3"/>
  <c r="I27" i="3"/>
  <c r="I23" i="3" s="1"/>
  <c r="J186" i="1"/>
  <c r="J178" i="1"/>
  <c r="J177" i="1" s="1"/>
  <c r="J175" i="1"/>
  <c r="J164" i="1" s="1"/>
  <c r="J119" i="1"/>
  <c r="I80" i="3"/>
  <c r="I78" i="3"/>
  <c r="I42" i="3"/>
  <c r="I40" i="3" s="1"/>
  <c r="J80" i="1"/>
  <c r="I127" i="3"/>
  <c r="I79" i="3"/>
  <c r="E86" i="3"/>
  <c r="E81" i="3" s="1"/>
  <c r="I107" i="3"/>
  <c r="I103" i="3"/>
  <c r="L134" i="3"/>
  <c r="J134" i="3"/>
  <c r="G134" i="3"/>
  <c r="I75" i="3"/>
  <c r="I55" i="3"/>
  <c r="I141" i="3"/>
  <c r="I139" i="3" s="1"/>
  <c r="I123" i="3"/>
  <c r="I84" i="3"/>
  <c r="I81" i="3" s="1"/>
  <c r="I65" i="3"/>
  <c r="I73" i="3"/>
  <c r="N124" i="3"/>
  <c r="N122" i="3" s="1"/>
  <c r="N134" i="3"/>
  <c r="H134" i="3"/>
  <c r="M134" i="3"/>
  <c r="M133" i="3" s="1"/>
  <c r="K134" i="3"/>
  <c r="K133" i="3" s="1"/>
  <c r="F134" i="3"/>
  <c r="F133" i="3" s="1"/>
  <c r="E134" i="3"/>
  <c r="E133" i="3" s="1"/>
  <c r="L19" i="3"/>
  <c r="I94" i="3"/>
  <c r="I134" i="3"/>
  <c r="M81" i="3"/>
  <c r="F81" i="3"/>
  <c r="I74" i="3"/>
  <c r="I57" i="3"/>
  <c r="N139" i="3"/>
  <c r="L139" i="3"/>
  <c r="J139" i="3"/>
  <c r="H139" i="3"/>
  <c r="G139" i="3"/>
  <c r="M122" i="3"/>
  <c r="F122" i="3"/>
  <c r="K81" i="3"/>
  <c r="L76" i="3"/>
  <c r="H76" i="3"/>
  <c r="N19" i="3"/>
  <c r="J19" i="3"/>
  <c r="H19" i="3"/>
  <c r="G19" i="3"/>
  <c r="M19" i="3"/>
  <c r="K19" i="3"/>
  <c r="F19" i="3"/>
  <c r="E19" i="3"/>
  <c r="L122" i="3"/>
  <c r="H122" i="3"/>
  <c r="G122" i="3"/>
  <c r="N76" i="3"/>
  <c r="J76" i="3"/>
  <c r="G76" i="3"/>
  <c r="M76" i="3"/>
  <c r="K76" i="3"/>
  <c r="F76" i="3"/>
  <c r="E76" i="3"/>
  <c r="N81" i="3"/>
  <c r="L81" i="3"/>
  <c r="J81" i="3"/>
  <c r="H81" i="3"/>
  <c r="G81" i="3"/>
  <c r="J156" i="1"/>
  <c r="J204" i="1" l="1"/>
  <c r="I101" i="3"/>
  <c r="K153" i="3"/>
  <c r="L206" i="1" s="1"/>
  <c r="I129" i="3"/>
  <c r="G153" i="3"/>
  <c r="H206" i="1" s="1"/>
  <c r="J153" i="3"/>
  <c r="K206" i="1" s="1"/>
  <c r="N153" i="3"/>
  <c r="O206" i="1" s="1"/>
  <c r="M153" i="3"/>
  <c r="N206" i="1" s="1"/>
  <c r="H153" i="3"/>
  <c r="I206" i="1" s="1"/>
  <c r="I153" i="3"/>
  <c r="J206" i="1" s="1"/>
  <c r="E153" i="3"/>
  <c r="F206" i="1" s="1"/>
  <c r="L153" i="3"/>
  <c r="M206" i="1" s="1"/>
  <c r="F153" i="3"/>
  <c r="G206" i="1" s="1"/>
  <c r="I88" i="3"/>
  <c r="K97" i="3"/>
  <c r="K152" i="3" s="1"/>
  <c r="H97" i="3"/>
  <c r="M97" i="3"/>
  <c r="M152" i="3" s="1"/>
  <c r="G97" i="3"/>
  <c r="L97" i="3"/>
  <c r="F97" i="3"/>
  <c r="F152" i="3" s="1"/>
  <c r="N97" i="3"/>
  <c r="I76" i="3"/>
  <c r="L133" i="3"/>
  <c r="G133" i="3"/>
  <c r="N133" i="3"/>
  <c r="J133" i="3"/>
  <c r="I133" i="3"/>
  <c r="H133" i="3"/>
  <c r="E198" i="1"/>
  <c r="D140" i="3" s="1"/>
  <c r="C198" i="1"/>
  <c r="D198" i="1"/>
  <c r="B198" i="1"/>
  <c r="E96" i="3" l="1"/>
  <c r="E88" i="3" s="1"/>
  <c r="G152" i="3"/>
  <c r="L152" i="3"/>
  <c r="H152" i="3"/>
  <c r="E128" i="3"/>
  <c r="E122" i="3" s="1"/>
  <c r="E97" i="3" s="1"/>
  <c r="J94" i="1"/>
  <c r="J79" i="1" s="1"/>
  <c r="P198" i="1"/>
  <c r="O140" i="3" s="1"/>
  <c r="I124" i="3" l="1"/>
  <c r="I122" i="3" s="1"/>
  <c r="I97" i="3" s="1"/>
  <c r="J78" i="1"/>
  <c r="E149" i="1" l="1"/>
  <c r="C149" i="1"/>
  <c r="D149" i="1"/>
  <c r="B149" i="1"/>
  <c r="D110" i="3" l="1"/>
  <c r="P149" i="1"/>
  <c r="O110" i="3" s="1"/>
  <c r="F110" i="1"/>
  <c r="E69" i="3" l="1"/>
  <c r="F97" i="1"/>
  <c r="E52" i="3"/>
  <c r="E152" i="3" s="1"/>
  <c r="J24" i="3"/>
  <c r="N26" i="3" l="1"/>
  <c r="J26" i="3"/>
  <c r="J22" i="3" s="1"/>
  <c r="J58" i="1"/>
  <c r="J53" i="1" s="1"/>
  <c r="I26" i="3" l="1"/>
  <c r="N31" i="3"/>
  <c r="N22" i="3" s="1"/>
  <c r="J126" i="1"/>
  <c r="J124" i="1" s="1"/>
  <c r="D45" i="1"/>
  <c r="D181" i="1"/>
  <c r="D156" i="1"/>
  <c r="C128" i="1"/>
  <c r="D128" i="1"/>
  <c r="B128" i="1"/>
  <c r="D121" i="1"/>
  <c r="D68" i="1"/>
  <c r="D66" i="1"/>
  <c r="P201" i="1"/>
  <c r="O145" i="3" s="1"/>
  <c r="E196" i="1"/>
  <c r="E197" i="1"/>
  <c r="E199" i="1"/>
  <c r="E200" i="1"/>
  <c r="D144" i="3" s="1"/>
  <c r="E202" i="1"/>
  <c r="D148" i="3" s="1"/>
  <c r="D147" i="3" s="1"/>
  <c r="E195" i="1"/>
  <c r="K193" i="1"/>
  <c r="L193" i="1"/>
  <c r="M193" i="1"/>
  <c r="N193" i="1"/>
  <c r="O193" i="1"/>
  <c r="F193" i="1"/>
  <c r="G193" i="1"/>
  <c r="H193" i="1"/>
  <c r="I193" i="1"/>
  <c r="E188" i="1"/>
  <c r="D100" i="3" s="1"/>
  <c r="D99" i="3" s="1"/>
  <c r="E189" i="1"/>
  <c r="E190" i="1"/>
  <c r="D125" i="3" s="1"/>
  <c r="E191" i="1"/>
  <c r="D126" i="3" s="1"/>
  <c r="E192" i="1"/>
  <c r="E187" i="1"/>
  <c r="K185" i="1"/>
  <c r="L185" i="1"/>
  <c r="M185" i="1"/>
  <c r="N185" i="1"/>
  <c r="O185" i="1"/>
  <c r="F185" i="1"/>
  <c r="G185" i="1"/>
  <c r="H185" i="1"/>
  <c r="I185" i="1"/>
  <c r="J183" i="1"/>
  <c r="J182" i="1" s="1"/>
  <c r="E184" i="1"/>
  <c r="K183" i="1"/>
  <c r="K182" i="1" s="1"/>
  <c r="L183" i="1"/>
  <c r="L182" i="1" s="1"/>
  <c r="M183" i="1"/>
  <c r="M182" i="1" s="1"/>
  <c r="N183" i="1"/>
  <c r="N182" i="1" s="1"/>
  <c r="O183" i="1"/>
  <c r="O182" i="1" s="1"/>
  <c r="F183" i="1"/>
  <c r="F182" i="1" s="1"/>
  <c r="G183" i="1"/>
  <c r="G182" i="1" s="1"/>
  <c r="H183" i="1"/>
  <c r="H182" i="1" s="1"/>
  <c r="I183" i="1"/>
  <c r="I182" i="1" s="1"/>
  <c r="E183" i="1"/>
  <c r="E182" i="1" s="1"/>
  <c r="E180" i="1"/>
  <c r="E181" i="1"/>
  <c r="E179" i="1"/>
  <c r="K177" i="1"/>
  <c r="L177" i="1"/>
  <c r="M177" i="1"/>
  <c r="N177" i="1"/>
  <c r="O177" i="1"/>
  <c r="F177" i="1"/>
  <c r="G177" i="1"/>
  <c r="H177" i="1"/>
  <c r="I177" i="1"/>
  <c r="E166" i="1"/>
  <c r="E167" i="1"/>
  <c r="D95" i="3" s="1"/>
  <c r="E168" i="1"/>
  <c r="E169" i="1"/>
  <c r="D104" i="3" s="1"/>
  <c r="E170" i="1"/>
  <c r="D105" i="3" s="1"/>
  <c r="E172" i="1"/>
  <c r="E175" i="1"/>
  <c r="E165" i="1"/>
  <c r="K163" i="1"/>
  <c r="M163" i="1"/>
  <c r="N163" i="1"/>
  <c r="O163" i="1"/>
  <c r="F163" i="1"/>
  <c r="G163" i="1"/>
  <c r="H163" i="1"/>
  <c r="I163" i="1"/>
  <c r="J161" i="1"/>
  <c r="J160" i="1" s="1"/>
  <c r="E162" i="1"/>
  <c r="E161" i="1" s="1"/>
  <c r="E160" i="1" s="1"/>
  <c r="K161" i="1"/>
  <c r="K160" i="1" s="1"/>
  <c r="L161" i="1"/>
  <c r="L160" i="1" s="1"/>
  <c r="M161" i="1"/>
  <c r="M160" i="1" s="1"/>
  <c r="N161" i="1"/>
  <c r="N160" i="1" s="1"/>
  <c r="O161" i="1"/>
  <c r="O160" i="1" s="1"/>
  <c r="F161" i="1"/>
  <c r="F160" i="1" s="1"/>
  <c r="G161" i="1"/>
  <c r="G160" i="1" s="1"/>
  <c r="H161" i="1"/>
  <c r="H160" i="1" s="1"/>
  <c r="I161" i="1"/>
  <c r="I160" i="1" s="1"/>
  <c r="E137" i="1"/>
  <c r="P137" i="1" s="1"/>
  <c r="E138" i="1"/>
  <c r="D89" i="3" s="1"/>
  <c r="E139" i="1"/>
  <c r="E140" i="1"/>
  <c r="D91" i="3" s="1"/>
  <c r="E141" i="1"/>
  <c r="D92" i="3" s="1"/>
  <c r="E142" i="1"/>
  <c r="E143" i="1"/>
  <c r="E144" i="1"/>
  <c r="E145" i="1"/>
  <c r="E146" i="1"/>
  <c r="P146" i="1" s="1"/>
  <c r="E148" i="1"/>
  <c r="D108" i="3" s="1"/>
  <c r="E154" i="1"/>
  <c r="E155" i="1"/>
  <c r="P155" i="1" s="1"/>
  <c r="E156" i="1"/>
  <c r="P156" i="1" s="1"/>
  <c r="E158" i="1"/>
  <c r="P158" i="1" s="1"/>
  <c r="E159" i="1"/>
  <c r="E136" i="1"/>
  <c r="K133" i="1"/>
  <c r="L133" i="1"/>
  <c r="M133" i="1"/>
  <c r="N133" i="1"/>
  <c r="O133" i="1"/>
  <c r="F133" i="1"/>
  <c r="G133" i="1"/>
  <c r="H133" i="1"/>
  <c r="I133" i="1"/>
  <c r="E126" i="1"/>
  <c r="D31" i="3" s="1"/>
  <c r="E127" i="1"/>
  <c r="D77" i="3" s="1"/>
  <c r="E128" i="1"/>
  <c r="E129" i="1"/>
  <c r="E130" i="1"/>
  <c r="E131" i="1"/>
  <c r="E125" i="1"/>
  <c r="K123" i="1"/>
  <c r="L123" i="1"/>
  <c r="M123" i="1"/>
  <c r="N123" i="1"/>
  <c r="F123" i="1"/>
  <c r="G123" i="1"/>
  <c r="H123" i="1"/>
  <c r="I123" i="1"/>
  <c r="E121" i="1"/>
  <c r="D61" i="3" s="1"/>
  <c r="E122" i="1"/>
  <c r="D62" i="3" s="1"/>
  <c r="E120" i="1"/>
  <c r="K118" i="1"/>
  <c r="L118" i="1"/>
  <c r="M118" i="1"/>
  <c r="N118" i="1"/>
  <c r="O118" i="1"/>
  <c r="F118" i="1"/>
  <c r="G118" i="1"/>
  <c r="H118" i="1"/>
  <c r="I118" i="1"/>
  <c r="E99" i="1"/>
  <c r="D53" i="3" s="1"/>
  <c r="E100" i="1"/>
  <c r="D54" i="3" s="1"/>
  <c r="E101" i="1"/>
  <c r="E102" i="1"/>
  <c r="D56" i="3" s="1"/>
  <c r="E103" i="1"/>
  <c r="E104" i="1"/>
  <c r="D58" i="3" s="1"/>
  <c r="E105" i="1"/>
  <c r="D59" i="3" s="1"/>
  <c r="E106" i="1"/>
  <c r="D60" i="3" s="1"/>
  <c r="E107" i="1"/>
  <c r="D66" i="3" s="1"/>
  <c r="E108" i="1"/>
  <c r="E109" i="1"/>
  <c r="D68" i="3" s="1"/>
  <c r="E110" i="1"/>
  <c r="D69" i="3" s="1"/>
  <c r="E111" i="1"/>
  <c r="D70" i="3" s="1"/>
  <c r="E112" i="1"/>
  <c r="D71" i="3" s="1"/>
  <c r="E113" i="1"/>
  <c r="D72" i="3" s="1"/>
  <c r="E114" i="1"/>
  <c r="E115" i="1"/>
  <c r="E116" i="1"/>
  <c r="P116" i="1" s="1"/>
  <c r="E117" i="1"/>
  <c r="E98" i="1"/>
  <c r="L96" i="1"/>
  <c r="M96" i="1"/>
  <c r="N96" i="1"/>
  <c r="F96" i="1"/>
  <c r="G96" i="1"/>
  <c r="H96" i="1"/>
  <c r="I96" i="1"/>
  <c r="E82" i="1"/>
  <c r="D41" i="3" s="1"/>
  <c r="E83" i="1"/>
  <c r="E84" i="1"/>
  <c r="D43" i="3" s="1"/>
  <c r="E85" i="1"/>
  <c r="D44" i="3" s="1"/>
  <c r="E86" i="1"/>
  <c r="D45" i="3" s="1"/>
  <c r="E87" i="1"/>
  <c r="D46" i="3" s="1"/>
  <c r="E88" i="1"/>
  <c r="D47" i="3" s="1"/>
  <c r="E89" i="1"/>
  <c r="D48" i="3" s="1"/>
  <c r="E90" i="1"/>
  <c r="D49" i="3" s="1"/>
  <c r="E91" i="1"/>
  <c r="D50" i="3" s="1"/>
  <c r="E92" i="1"/>
  <c r="D51" i="3" s="1"/>
  <c r="E94" i="1"/>
  <c r="E81" i="1"/>
  <c r="K52" i="1"/>
  <c r="L52" i="1"/>
  <c r="M52" i="1"/>
  <c r="N52" i="1"/>
  <c r="O52" i="1"/>
  <c r="F52" i="1"/>
  <c r="G52" i="1"/>
  <c r="H52" i="1"/>
  <c r="I52" i="1"/>
  <c r="E56" i="1"/>
  <c r="D24" i="3" s="1"/>
  <c r="E58" i="1"/>
  <c r="E59" i="1"/>
  <c r="E60" i="1"/>
  <c r="D28" i="3" s="1"/>
  <c r="E61" i="1"/>
  <c r="D29" i="3" s="1"/>
  <c r="E62" i="1"/>
  <c r="D30" i="3" s="1"/>
  <c r="E63" i="1"/>
  <c r="D32" i="3" s="1"/>
  <c r="E64" i="1"/>
  <c r="D33" i="3" s="1"/>
  <c r="E65" i="1"/>
  <c r="D34" i="3" s="1"/>
  <c r="E66" i="1"/>
  <c r="D35" i="3" s="1"/>
  <c r="E67" i="1"/>
  <c r="D36" i="3" s="1"/>
  <c r="E68" i="1"/>
  <c r="D37" i="3" s="1"/>
  <c r="E70" i="1"/>
  <c r="E71" i="1"/>
  <c r="E72" i="1"/>
  <c r="E75" i="1"/>
  <c r="E76" i="1"/>
  <c r="P76" i="1" s="1"/>
  <c r="E55" i="1"/>
  <c r="E21" i="1"/>
  <c r="D21" i="3" s="1"/>
  <c r="E22" i="1"/>
  <c r="E23" i="1"/>
  <c r="E24" i="1"/>
  <c r="D63" i="3" s="1"/>
  <c r="E25" i="1"/>
  <c r="D64" i="3" s="1"/>
  <c r="E26" i="1"/>
  <c r="E27" i="1"/>
  <c r="E28" i="1"/>
  <c r="E29" i="1"/>
  <c r="E30" i="1"/>
  <c r="E31" i="1"/>
  <c r="E32" i="1"/>
  <c r="D82" i="3" s="1"/>
  <c r="E33" i="1"/>
  <c r="D83" i="3" s="1"/>
  <c r="E34" i="1"/>
  <c r="E35" i="1"/>
  <c r="D85" i="3" s="1"/>
  <c r="E36" i="1"/>
  <c r="D86" i="3" s="1"/>
  <c r="E37" i="1"/>
  <c r="D87" i="3" s="1"/>
  <c r="E38" i="1"/>
  <c r="D115" i="3" s="1"/>
  <c r="D113" i="3" s="1"/>
  <c r="E41" i="1"/>
  <c r="D121" i="3" s="1"/>
  <c r="D120" i="3" s="1"/>
  <c r="E42" i="1"/>
  <c r="E43" i="1"/>
  <c r="E44" i="1"/>
  <c r="D128" i="3" s="1"/>
  <c r="E45" i="1"/>
  <c r="E46" i="1"/>
  <c r="E47" i="1"/>
  <c r="D135" i="3" s="1"/>
  <c r="E48" i="1"/>
  <c r="D136" i="3" s="1"/>
  <c r="E49" i="1"/>
  <c r="D137" i="3" s="1"/>
  <c r="E50" i="1"/>
  <c r="E51" i="1"/>
  <c r="D143" i="3" s="1"/>
  <c r="D142" i="3" s="1"/>
  <c r="E20" i="1"/>
  <c r="E19" i="1" s="1"/>
  <c r="K18" i="1"/>
  <c r="M18" i="1"/>
  <c r="N18" i="1"/>
  <c r="O18" i="1"/>
  <c r="F18" i="1"/>
  <c r="G18" i="1"/>
  <c r="H18" i="1"/>
  <c r="I18" i="1"/>
  <c r="L18" i="1"/>
  <c r="D93" i="3" l="1"/>
  <c r="E134" i="1"/>
  <c r="E79" i="1"/>
  <c r="E78" i="1" s="1"/>
  <c r="E164" i="1"/>
  <c r="D129" i="3"/>
  <c r="E133" i="1"/>
  <c r="E54" i="1"/>
  <c r="D26" i="3"/>
  <c r="D22" i="3" s="1"/>
  <c r="E53" i="1"/>
  <c r="E52" i="1" s="1"/>
  <c r="D96" i="3"/>
  <c r="E163" i="1"/>
  <c r="E194" i="1"/>
  <c r="E193" i="1" s="1"/>
  <c r="H203" i="1"/>
  <c r="H205" i="1" s="1"/>
  <c r="N203" i="1"/>
  <c r="N205" i="1" s="1"/>
  <c r="D130" i="3"/>
  <c r="I203" i="1"/>
  <c r="I205" i="1" s="1"/>
  <c r="M203" i="1"/>
  <c r="M205" i="1" s="1"/>
  <c r="P159" i="1"/>
  <c r="D150" i="3"/>
  <c r="D149" i="3" s="1"/>
  <c r="D146" i="3" s="1"/>
  <c r="E97" i="1"/>
  <c r="E96" i="1" s="1"/>
  <c r="G203" i="1"/>
  <c r="G205" i="1" s="1"/>
  <c r="F203" i="1"/>
  <c r="F205" i="1" s="1"/>
  <c r="D20" i="3"/>
  <c r="D19" i="3" s="1"/>
  <c r="D90" i="3"/>
  <c r="D39" i="3"/>
  <c r="D27" i="3"/>
  <c r="D23" i="3" s="1"/>
  <c r="E178" i="1"/>
  <c r="E177" i="1" s="1"/>
  <c r="E186" i="1"/>
  <c r="E185" i="1" s="1"/>
  <c r="D94" i="3"/>
  <c r="E124" i="1"/>
  <c r="E123" i="1" s="1"/>
  <c r="E119" i="1"/>
  <c r="E118" i="1" s="1"/>
  <c r="D127" i="3"/>
  <c r="E80" i="1"/>
  <c r="E18" i="1"/>
  <c r="D42" i="3"/>
  <c r="D40" i="3" s="1"/>
  <c r="D67" i="3"/>
  <c r="D123" i="3"/>
  <c r="P136" i="1"/>
  <c r="O123" i="1"/>
  <c r="D79" i="3"/>
  <c r="D124" i="3"/>
  <c r="D73" i="3"/>
  <c r="D103" i="3"/>
  <c r="D141" i="3"/>
  <c r="D139" i="3" s="1"/>
  <c r="D80" i="3"/>
  <c r="D78" i="3"/>
  <c r="D107" i="3"/>
  <c r="I31" i="3"/>
  <c r="I22" i="3" s="1"/>
  <c r="J123" i="1"/>
  <c r="D134" i="3"/>
  <c r="D75" i="3"/>
  <c r="D84" i="3"/>
  <c r="D81" i="3" s="1"/>
  <c r="D65" i="3"/>
  <c r="P117" i="1"/>
  <c r="D74" i="3"/>
  <c r="D57" i="3"/>
  <c r="D55" i="3"/>
  <c r="P20" i="1"/>
  <c r="P50" i="1"/>
  <c r="P48" i="1"/>
  <c r="O136" i="3" s="1"/>
  <c r="P46" i="1"/>
  <c r="P44" i="1"/>
  <c r="O128" i="3" s="1"/>
  <c r="P42" i="1"/>
  <c r="P72" i="1"/>
  <c r="P70" i="1"/>
  <c r="P68" i="1"/>
  <c r="O37" i="3" s="1"/>
  <c r="P67" i="1"/>
  <c r="O36" i="3" s="1"/>
  <c r="P66" i="1"/>
  <c r="O35" i="3" s="1"/>
  <c r="P64" i="1"/>
  <c r="O33" i="3" s="1"/>
  <c r="P62" i="1"/>
  <c r="O30" i="3" s="1"/>
  <c r="P60" i="1"/>
  <c r="O28" i="3" s="1"/>
  <c r="P58" i="1"/>
  <c r="O26" i="3" s="1"/>
  <c r="P81" i="1"/>
  <c r="P113" i="1"/>
  <c r="O72" i="3" s="1"/>
  <c r="P111" i="1"/>
  <c r="O70" i="3" s="1"/>
  <c r="P109" i="1"/>
  <c r="O68" i="3" s="1"/>
  <c r="P107" i="1"/>
  <c r="O66" i="3" s="1"/>
  <c r="P105" i="1"/>
  <c r="O59" i="3" s="1"/>
  <c r="P103" i="1"/>
  <c r="P101" i="1"/>
  <c r="P144" i="1"/>
  <c r="P142" i="1"/>
  <c r="P139" i="1"/>
  <c r="O90" i="3" s="1"/>
  <c r="P169" i="1"/>
  <c r="O104" i="3" s="1"/>
  <c r="P202" i="1"/>
  <c r="O148" i="3" s="1"/>
  <c r="O147" i="3" s="1"/>
  <c r="P51" i="1"/>
  <c r="O143" i="3" s="1"/>
  <c r="O142" i="3" s="1"/>
  <c r="P49" i="1"/>
  <c r="O137" i="3" s="1"/>
  <c r="P47" i="1"/>
  <c r="O135" i="3" s="1"/>
  <c r="P45" i="1"/>
  <c r="J122" i="3" s="1"/>
  <c r="J97" i="3" s="1"/>
  <c r="P43" i="1"/>
  <c r="O127" i="3" s="1"/>
  <c r="P41" i="1"/>
  <c r="O121" i="3" s="1"/>
  <c r="O120" i="3" s="1"/>
  <c r="P75" i="1"/>
  <c r="P71" i="1"/>
  <c r="P65" i="1"/>
  <c r="O34" i="3" s="1"/>
  <c r="P63" i="1"/>
  <c r="O32" i="3" s="1"/>
  <c r="P61" i="1"/>
  <c r="O29" i="3" s="1"/>
  <c r="P59" i="1"/>
  <c r="P98" i="1"/>
  <c r="P114" i="1"/>
  <c r="O73" i="3" s="1"/>
  <c r="P112" i="1"/>
  <c r="O71" i="3" s="1"/>
  <c r="P110" i="1"/>
  <c r="O69" i="3" s="1"/>
  <c r="P108" i="1"/>
  <c r="O67" i="3" s="1"/>
  <c r="P106" i="1"/>
  <c r="O60" i="3" s="1"/>
  <c r="P104" i="1"/>
  <c r="O58" i="3" s="1"/>
  <c r="P102" i="1"/>
  <c r="O56" i="3" s="1"/>
  <c r="P100" i="1"/>
  <c r="O54" i="3" s="1"/>
  <c r="P148" i="1"/>
  <c r="O108" i="3" s="1"/>
  <c r="P143" i="1"/>
  <c r="P141" i="1"/>
  <c r="O92" i="3" s="1"/>
  <c r="P140" i="1"/>
  <c r="O91" i="3" s="1"/>
  <c r="P170" i="1"/>
  <c r="O105" i="3" s="1"/>
  <c r="P195" i="1"/>
  <c r="J133" i="1"/>
  <c r="P154" i="1"/>
  <c r="P179" i="1"/>
  <c r="P180" i="1"/>
  <c r="P190" i="1"/>
  <c r="O125" i="3" s="1"/>
  <c r="J185" i="1"/>
  <c r="P199" i="1"/>
  <c r="P196" i="1"/>
  <c r="P122" i="1"/>
  <c r="O62" i="3" s="1"/>
  <c r="P121" i="1"/>
  <c r="O61" i="3" s="1"/>
  <c r="P38" i="1"/>
  <c r="O115" i="3" s="1"/>
  <c r="O113" i="3" s="1"/>
  <c r="P34" i="1"/>
  <c r="P32" i="1"/>
  <c r="O82" i="3" s="1"/>
  <c r="P30" i="1"/>
  <c r="P28" i="1"/>
  <c r="P26" i="1"/>
  <c r="P24" i="1"/>
  <c r="O63" i="3" s="1"/>
  <c r="P22" i="1"/>
  <c r="P125" i="1"/>
  <c r="P175" i="1"/>
  <c r="P184" i="1"/>
  <c r="P183" i="1" s="1"/>
  <c r="P182" i="1" s="1"/>
  <c r="P191" i="1"/>
  <c r="O126" i="3" s="1"/>
  <c r="P189" i="1"/>
  <c r="P188" i="1"/>
  <c r="O100" i="3" s="1"/>
  <c r="O99" i="3" s="1"/>
  <c r="P192" i="1"/>
  <c r="P145" i="1"/>
  <c r="P37" i="1"/>
  <c r="O87" i="3" s="1"/>
  <c r="P35" i="1"/>
  <c r="O85" i="3" s="1"/>
  <c r="P33" i="1"/>
  <c r="O83" i="3" s="1"/>
  <c r="P31" i="1"/>
  <c r="P27" i="1"/>
  <c r="P25" i="1"/>
  <c r="O64" i="3" s="1"/>
  <c r="P23" i="1"/>
  <c r="P94" i="1"/>
  <c r="P92" i="1"/>
  <c r="O51" i="3" s="1"/>
  <c r="P91" i="1"/>
  <c r="O50" i="3" s="1"/>
  <c r="P89" i="1"/>
  <c r="O48" i="3" s="1"/>
  <c r="P88" i="1"/>
  <c r="O47" i="3" s="1"/>
  <c r="P86" i="1"/>
  <c r="O45" i="3" s="1"/>
  <c r="P84" i="1"/>
  <c r="O43" i="3" s="1"/>
  <c r="P82" i="1"/>
  <c r="O41" i="3" s="1"/>
  <c r="P90" i="1"/>
  <c r="O49" i="3" s="1"/>
  <c r="P87" i="1"/>
  <c r="O46" i="3" s="1"/>
  <c r="P85" i="1"/>
  <c r="O44" i="3" s="1"/>
  <c r="P83" i="1"/>
  <c r="J118" i="1"/>
  <c r="P130" i="1"/>
  <c r="P131" i="1"/>
  <c r="P127" i="1"/>
  <c r="O77" i="3" s="1"/>
  <c r="P172" i="1"/>
  <c r="P168" i="1"/>
  <c r="P21" i="1"/>
  <c r="O21" i="3" s="1"/>
  <c r="P29" i="1"/>
  <c r="P138" i="1"/>
  <c r="O89" i="3" s="1"/>
  <c r="P181" i="1"/>
  <c r="P36" i="1"/>
  <c r="O86" i="3" s="1"/>
  <c r="P56" i="1"/>
  <c r="O24" i="3" s="1"/>
  <c r="P120" i="1"/>
  <c r="P129" i="1"/>
  <c r="P128" i="1"/>
  <c r="P197" i="1"/>
  <c r="P165" i="1"/>
  <c r="P166" i="1"/>
  <c r="P200" i="1"/>
  <c r="O144" i="3" s="1"/>
  <c r="J193" i="1"/>
  <c r="J52" i="1"/>
  <c r="P187" i="1"/>
  <c r="P162" i="1"/>
  <c r="P161" i="1" s="1"/>
  <c r="P160" i="1" s="1"/>
  <c r="P55" i="1"/>
  <c r="J18" i="1"/>
  <c r="P115" i="1"/>
  <c r="P126" i="1"/>
  <c r="O31" i="3" s="1"/>
  <c r="O93" i="3" l="1"/>
  <c r="P134" i="1"/>
  <c r="P19" i="1"/>
  <c r="E204" i="1"/>
  <c r="P79" i="1"/>
  <c r="P78" i="1" s="1"/>
  <c r="D101" i="3"/>
  <c r="D153" i="3"/>
  <c r="E206" i="1" s="1"/>
  <c r="O129" i="3"/>
  <c r="O107" i="3"/>
  <c r="P53" i="1"/>
  <c r="P52" i="1" s="1"/>
  <c r="P54" i="1"/>
  <c r="O130" i="3"/>
  <c r="O20" i="3"/>
  <c r="O19" i="3" s="1"/>
  <c r="O96" i="3"/>
  <c r="O150" i="3"/>
  <c r="O149" i="3" s="1"/>
  <c r="O146" i="3" s="1"/>
  <c r="D88" i="3"/>
  <c r="E203" i="1"/>
  <c r="D52" i="3"/>
  <c r="O39" i="3"/>
  <c r="O22" i="3"/>
  <c r="O27" i="3"/>
  <c r="O23" i="3" s="1"/>
  <c r="P194" i="1"/>
  <c r="P186" i="1"/>
  <c r="P178" i="1"/>
  <c r="P124" i="1"/>
  <c r="P119" i="1"/>
  <c r="O42" i="3"/>
  <c r="O40" i="3" s="1"/>
  <c r="P80" i="1"/>
  <c r="O103" i="3"/>
  <c r="D122" i="3"/>
  <c r="O74" i="3"/>
  <c r="D133" i="3"/>
  <c r="D76" i="3"/>
  <c r="O123" i="3"/>
  <c r="O141" i="3"/>
  <c r="O139" i="3" s="1"/>
  <c r="O134" i="3"/>
  <c r="O94" i="3"/>
  <c r="O80" i="3"/>
  <c r="O79" i="3"/>
  <c r="O75" i="3"/>
  <c r="O57" i="3"/>
  <c r="O84" i="3"/>
  <c r="O81" i="3" s="1"/>
  <c r="O78" i="3"/>
  <c r="O124" i="3"/>
  <c r="O55" i="3"/>
  <c r="O65" i="3"/>
  <c r="L163" i="1"/>
  <c r="L203" i="1" s="1"/>
  <c r="L205" i="1" s="1"/>
  <c r="P204" i="1" l="1"/>
  <c r="D97" i="3"/>
  <c r="D152" i="3" s="1"/>
  <c r="E205" i="1" s="1"/>
  <c r="O101" i="3"/>
  <c r="O153" i="3"/>
  <c r="P206" i="1" s="1"/>
  <c r="O133" i="3"/>
  <c r="O122" i="3"/>
  <c r="O97" i="3" s="1"/>
  <c r="O76" i="3"/>
  <c r="P167" i="1"/>
  <c r="P164" i="1" s="1"/>
  <c r="J163" i="1"/>
  <c r="O95" i="3" l="1"/>
  <c r="O88" i="3" s="1"/>
  <c r="O99" i="1" l="1"/>
  <c r="K99" i="1"/>
  <c r="K97" i="1" s="1"/>
  <c r="J53" i="3" l="1"/>
  <c r="J52" i="3" s="1"/>
  <c r="J152" i="3" s="1"/>
  <c r="K96" i="1"/>
  <c r="K203" i="1" s="1"/>
  <c r="N53" i="3"/>
  <c r="O97" i="1"/>
  <c r="O96" i="1" s="1"/>
  <c r="O203" i="1" s="1"/>
  <c r="N52" i="3"/>
  <c r="N152" i="3" s="1"/>
  <c r="J99" i="1"/>
  <c r="O205" i="1" l="1"/>
  <c r="K205" i="1"/>
  <c r="I53" i="3"/>
  <c r="I52" i="3" s="1"/>
  <c r="I152" i="3" s="1"/>
  <c r="J97" i="1"/>
  <c r="P99" i="1"/>
  <c r="P18" i="1"/>
  <c r="P177" i="1"/>
  <c r="P193" i="1"/>
  <c r="O53" i="3" l="1"/>
  <c r="P97" i="1"/>
  <c r="P96" i="1" s="1"/>
  <c r="O52" i="3"/>
  <c r="O152" i="3" s="1"/>
  <c r="J96" i="1"/>
  <c r="J203" i="1" s="1"/>
  <c r="J205" i="1" s="1"/>
  <c r="P185" i="1"/>
  <c r="P163" i="1"/>
  <c r="P133" i="1"/>
  <c r="P123" i="1"/>
  <c r="P118" i="1"/>
  <c r="P203" i="1" l="1"/>
  <c r="P205" i="1" s="1"/>
  <c r="C48" i="1" l="1"/>
  <c r="C197" i="1" l="1"/>
  <c r="D197" i="1"/>
  <c r="B197" i="1"/>
  <c r="C155" i="1"/>
  <c r="D155" i="1"/>
  <c r="B155" i="1"/>
  <c r="C102" i="1" l="1"/>
  <c r="D102" i="1"/>
  <c r="B102" i="1"/>
  <c r="C29" i="1"/>
  <c r="D29" i="1"/>
  <c r="B29" i="1"/>
  <c r="C71" i="1"/>
  <c r="D71" i="1"/>
  <c r="B71" i="1"/>
  <c r="B89" i="1"/>
  <c r="C89" i="1"/>
  <c r="D89" i="1"/>
  <c r="D90" i="1"/>
  <c r="B108" i="1"/>
  <c r="C108" i="1"/>
  <c r="D108" i="1"/>
  <c r="B109" i="1"/>
  <c r="C109" i="1"/>
  <c r="D109" i="1"/>
  <c r="C105" i="1"/>
  <c r="D105" i="1"/>
  <c r="B105" i="1"/>
  <c r="C181" i="1"/>
  <c r="B181" i="1"/>
  <c r="C180" i="1"/>
  <c r="D180" i="1"/>
  <c r="B180" i="1"/>
  <c r="D92" i="1"/>
  <c r="C92" i="1"/>
  <c r="B92" i="1"/>
  <c r="C91" i="1"/>
  <c r="D91" i="1"/>
  <c r="B91" i="1"/>
  <c r="C45" i="1"/>
  <c r="B45" i="1"/>
  <c r="C117" i="1"/>
  <c r="B117" i="1"/>
  <c r="C115" i="1"/>
  <c r="D115" i="1"/>
  <c r="C116" i="1"/>
  <c r="D116" i="1"/>
  <c r="B116" i="1"/>
  <c r="B115" i="1"/>
  <c r="C114" i="1"/>
  <c r="D114" i="1"/>
  <c r="B114" i="1"/>
  <c r="C113" i="1"/>
  <c r="D113" i="1"/>
  <c r="B113" i="1"/>
  <c r="C112" i="1"/>
  <c r="D112" i="1"/>
  <c r="B112" i="1"/>
  <c r="C111" i="1"/>
  <c r="D111" i="1"/>
  <c r="B111" i="1"/>
  <c r="C110" i="1"/>
  <c r="D110" i="1"/>
  <c r="B110" i="1"/>
  <c r="C107" i="1"/>
  <c r="D107" i="1"/>
  <c r="B107" i="1"/>
  <c r="C106" i="1"/>
  <c r="D106" i="1"/>
  <c r="B106" i="1"/>
  <c r="C104" i="1"/>
  <c r="D104" i="1"/>
  <c r="B104" i="1"/>
  <c r="C103" i="1"/>
  <c r="D103" i="1"/>
  <c r="B103" i="1"/>
  <c r="C101" i="1"/>
  <c r="D101" i="1"/>
  <c r="B101" i="1"/>
  <c r="C100" i="1"/>
  <c r="B100" i="1"/>
  <c r="C99" i="1"/>
  <c r="D99" i="1"/>
  <c r="B99" i="1"/>
  <c r="C94" i="1"/>
  <c r="D94" i="1"/>
  <c r="B94" i="1"/>
  <c r="C88" i="1"/>
  <c r="D88" i="1"/>
  <c r="B88" i="1"/>
  <c r="C86" i="1"/>
  <c r="D86" i="1"/>
  <c r="B86" i="1"/>
  <c r="C84" i="1"/>
  <c r="D84" i="1"/>
  <c r="B84" i="1"/>
  <c r="C82" i="1"/>
  <c r="D82" i="1"/>
  <c r="B82" i="1"/>
  <c r="C76" i="1"/>
  <c r="D76" i="1"/>
  <c r="B76" i="1"/>
  <c r="C75" i="1"/>
  <c r="D75" i="1"/>
  <c r="B75" i="1"/>
  <c r="C72" i="1"/>
  <c r="D72" i="1"/>
  <c r="B72" i="1"/>
  <c r="D70" i="1"/>
  <c r="C70" i="1"/>
  <c r="B70" i="1"/>
  <c r="C66" i="1"/>
  <c r="C67" i="1"/>
  <c r="D67" i="1"/>
  <c r="B67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2" i="1"/>
  <c r="C122" i="1"/>
  <c r="B122" i="1"/>
  <c r="C126" i="1"/>
  <c r="D126" i="1"/>
  <c r="B126" i="1"/>
  <c r="C127" i="1"/>
  <c r="D127" i="1"/>
  <c r="B127" i="1"/>
  <c r="C129" i="1"/>
  <c r="D129" i="1"/>
  <c r="C130" i="1"/>
  <c r="D130" i="1"/>
  <c r="B130" i="1"/>
  <c r="B129" i="1"/>
  <c r="C131" i="1"/>
  <c r="D131" i="1"/>
  <c r="B131" i="1"/>
  <c r="C137" i="1"/>
  <c r="D137" i="1"/>
  <c r="B137" i="1"/>
  <c r="C141" i="1"/>
  <c r="D141" i="1"/>
  <c r="B141" i="1"/>
  <c r="C140" i="1"/>
  <c r="D140" i="1"/>
  <c r="B140" i="1"/>
  <c r="C139" i="1"/>
  <c r="D139" i="1"/>
  <c r="B139" i="1"/>
  <c r="C138" i="1"/>
  <c r="D138" i="1"/>
  <c r="B138" i="1"/>
  <c r="C142" i="1"/>
  <c r="D142" i="1"/>
  <c r="B142" i="1"/>
  <c r="C143" i="1"/>
  <c r="D143" i="1"/>
  <c r="B143" i="1"/>
  <c r="C144" i="1"/>
  <c r="D144" i="1"/>
  <c r="B144" i="1"/>
  <c r="C145" i="1"/>
  <c r="D145" i="1"/>
  <c r="B145" i="1"/>
  <c r="C146" i="1"/>
  <c r="D146" i="1"/>
  <c r="B146" i="1"/>
  <c r="C148" i="1"/>
  <c r="D148" i="1"/>
  <c r="B148" i="1"/>
  <c r="C154" i="1"/>
  <c r="D154" i="1"/>
  <c r="B154" i="1"/>
  <c r="C158" i="1"/>
  <c r="D158" i="1"/>
  <c r="B158" i="1"/>
  <c r="C159" i="1"/>
  <c r="B159" i="1"/>
  <c r="C166" i="1"/>
  <c r="D166" i="1"/>
  <c r="B166" i="1"/>
  <c r="C167" i="1"/>
  <c r="D167" i="1"/>
  <c r="B167" i="1"/>
  <c r="C168" i="1"/>
  <c r="D168" i="1"/>
  <c r="B168" i="1"/>
  <c r="C170" i="1"/>
  <c r="D170" i="1"/>
  <c r="B170" i="1"/>
  <c r="C169" i="1"/>
  <c r="D169" i="1"/>
  <c r="B169" i="1"/>
  <c r="C172" i="1"/>
  <c r="D172" i="1"/>
  <c r="B172" i="1"/>
  <c r="C175" i="1"/>
  <c r="D175" i="1"/>
  <c r="B175" i="1"/>
  <c r="C188" i="1"/>
  <c r="D188" i="1"/>
  <c r="B188" i="1"/>
  <c r="C189" i="1"/>
  <c r="D189" i="1"/>
  <c r="B189" i="1"/>
  <c r="C190" i="1"/>
  <c r="D190" i="1"/>
  <c r="B190" i="1"/>
  <c r="C191" i="1"/>
  <c r="D191" i="1"/>
  <c r="B191" i="1"/>
  <c r="C192" i="1"/>
  <c r="D192" i="1"/>
  <c r="B192" i="1"/>
  <c r="C196" i="1"/>
  <c r="D196" i="1"/>
  <c r="B196" i="1"/>
  <c r="C199" i="1"/>
  <c r="D199" i="1"/>
  <c r="B199" i="1"/>
  <c r="C200" i="1"/>
  <c r="D200" i="1"/>
  <c r="B200" i="1"/>
  <c r="C201" i="1"/>
  <c r="D201" i="1"/>
  <c r="B201" i="1"/>
  <c r="C202" i="1"/>
  <c r="D202" i="1"/>
  <c r="B202" i="1"/>
  <c r="C195" i="1"/>
  <c r="B195" i="1"/>
  <c r="C187" i="1"/>
  <c r="B187" i="1"/>
  <c r="C184" i="1"/>
  <c r="B184" i="1"/>
  <c r="C179" i="1"/>
  <c r="B179" i="1"/>
  <c r="C165" i="1"/>
  <c r="B165" i="1"/>
  <c r="C162" i="1"/>
  <c r="B162" i="1"/>
  <c r="C136" i="1"/>
  <c r="B136" i="1"/>
  <c r="C125" i="1"/>
  <c r="B125" i="1"/>
  <c r="C120" i="1"/>
  <c r="B120" i="1"/>
  <c r="C98" i="1"/>
  <c r="B98" i="1"/>
  <c r="C81" i="1"/>
  <c r="B81" i="1"/>
  <c r="C55" i="1"/>
  <c r="B55" i="1"/>
  <c r="C20" i="1"/>
  <c r="B20" i="1"/>
  <c r="D195" i="1"/>
  <c r="D187" i="1"/>
  <c r="D184" i="1"/>
  <c r="D179" i="1"/>
  <c r="D165" i="1"/>
  <c r="D162" i="1"/>
  <c r="D136" i="1"/>
  <c r="D125" i="1"/>
  <c r="D120" i="1"/>
  <c r="D98" i="1"/>
  <c r="D81" i="1"/>
  <c r="D55" i="1"/>
  <c r="D20" i="1"/>
</calcChain>
</file>

<file path=xl/sharedStrings.xml><?xml version="1.0" encoding="utf-8"?>
<sst xmlns="http://schemas.openxmlformats.org/spreadsheetml/2006/main" count="621" uniqueCount="474">
  <si>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</si>
  <si>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</si>
  <si>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</si>
  <si>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</si>
  <si>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</si>
  <si>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</si>
  <si>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</si>
  <si>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</si>
  <si>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</si>
  <si>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</si>
  <si>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</si>
  <si>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</si>
  <si>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</si>
  <si>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</si>
  <si>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</si>
  <si>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</si>
  <si>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</si>
  <si>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</si>
  <si>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</si>
  <si>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</si>
  <si>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</si>
  <si>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</si>
  <si>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</si>
  <si>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</si>
  <si>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</si>
  <si>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</si>
  <si>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</si>
  <si>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</si>
  <si>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</si>
  <si>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</si>
  <si>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</si>
  <si>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</si>
  <si>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</si>
  <si>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</si>
  <si>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</si>
  <si>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</si>
  <si>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</si>
  <si>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</si>
  <si>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</si>
  <si>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</si>
  <si>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</si>
  <si>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</si>
  <si>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</si>
  <si>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</si>
  <si>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</si>
  <si>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</si>
  <si>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</si>
  <si>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</si>
  <si>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</si>
  <si>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</si>
  <si>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</si>
  <si>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</si>
  <si>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</si>
  <si>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</si>
  <si>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</si>
  <si>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</si>
  <si>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</si>
  <si>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</si>
  <si>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</si>
  <si>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</si>
  <si>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</si>
  <si>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</si>
  <si>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</si>
  <si>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</si>
  <si>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</si>
  <si>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</si>
  <si>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</si>
  <si>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</si>
  <si>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</si>
  <si>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</si>
  <si>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</si>
  <si>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</si>
  <si>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</si>
  <si>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</si>
  <si>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</si>
  <si>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</si>
  <si>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</si>
  <si>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</si>
  <si>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</si>
  <si>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</si>
  <si>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</si>
  <si>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</si>
  <si>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</si>
  <si>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</si>
  <si>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</si>
  <si>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</si>
  <si>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</si>
  <si>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</si>
  <si>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</si>
  <si>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</si>
  <si>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</si>
  <si>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</si>
  <si>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</si>
  <si>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</si>
  <si>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</si>
  <si>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</si>
  <si>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</si>
  <si>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</si>
  <si>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</si>
  <si>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</si>
  <si>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</si>
  <si>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</si>
  <si>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</si>
  <si>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</si>
  <si>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</si>
  <si>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</si>
  <si>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</si>
  <si>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</si>
  <si>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</si>
  <si>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</si>
  <si>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</si>
  <si>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</si>
  <si>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</si>
  <si>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</si>
  <si>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</si>
  <si>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</si>
  <si>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</si>
  <si>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</si>
  <si>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</si>
  <si>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</si>
  <si>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</si>
  <si>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</si>
  <si>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</si>
  <si>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</si>
  <si>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</si>
  <si>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</si>
  <si>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</si>
  <si>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</si>
  <si>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</si>
  <si>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</si>
  <si>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</si>
  <si>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</si>
  <si>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</si>
  <si>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</si>
  <si>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</si>
  <si>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</si>
  <si>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</si>
  <si>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</si>
  <si>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</si>
  <si>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</si>
  <si>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</si>
  <si>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</si>
  <si>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</si>
  <si>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</si>
  <si>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</si>
  <si>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</si>
  <si>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</si>
  <si>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</si>
  <si>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</si>
  <si>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</si>
  <si>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</si>
  <si>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</si>
  <si>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</si>
  <si>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</si>
  <si>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</si>
  <si>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</si>
  <si>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</si>
  <si>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</si>
  <si>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</si>
  <si>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</si>
  <si>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</si>
  <si>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</si>
  <si>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</si>
  <si>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</si>
  <si>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</si>
  <si>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</si>
  <si>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</si>
  <si>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</si>
  <si>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</si>
  <si>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</si>
  <si>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</si>
  <si>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</si>
  <si>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</si>
  <si>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</si>
  <si>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</si>
  <si>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</si>
  <si>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</si>
  <si>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</si>
  <si>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</si>
  <si>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</si>
  <si>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</si>
  <si>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</si>
  <si>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</si>
  <si>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</si>
  <si>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</si>
  <si>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</si>
  <si>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</si>
  <si>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</si>
  <si>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</si>
  <si>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</si>
  <si>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</si>
  <si>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</si>
  <si>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</si>
  <si>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</si>
  <si>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</si>
  <si>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</si>
  <si>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</si>
  <si>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</si>
  <si>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</si>
  <si>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</si>
  <si>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</si>
  <si>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</si>
  <si>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</si>
  <si>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</si>
  <si>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</si>
  <si>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</si>
  <si>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</si>
  <si>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</si>
  <si>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</si>
  <si>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</si>
  <si>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</si>
  <si>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</si>
  <si>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</si>
  <si>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</si>
  <si>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</si>
  <si>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</si>
  <si>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</si>
  <si>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</si>
  <si>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</si>
  <si>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</si>
  <si>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</si>
  <si>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</si>
  <si>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</si>
  <si>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</si>
  <si>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</si>
  <si>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</si>
  <si>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</si>
  <si>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</si>
  <si>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</si>
  <si>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</si>
  <si>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</si>
  <si>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</si>
  <si>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</si>
  <si>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</si>
  <si>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</si>
  <si>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</si>
  <si>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</si>
  <si>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</si>
  <si>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</si>
  <si>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</si>
  <si>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</si>
  <si>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</si>
  <si>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</si>
  <si>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</si>
  <si>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</si>
  <si>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</si>
  <si>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</si>
  <si>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</si>
  <si>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</si>
  <si>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</si>
  <si>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</si>
  <si>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</si>
  <si>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</si>
  <si>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</si>
  <si>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</si>
  <si>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</si>
  <si>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</si>
  <si>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</si>
  <si>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</si>
  <si>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</si>
  <si>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</si>
  <si>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</si>
  <si>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</si>
  <si>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</si>
  <si>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</si>
  <si>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</si>
  <si>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</si>
  <si>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</si>
  <si>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</si>
  <si>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</si>
  <si>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</si>
  <si>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</si>
  <si>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</si>
  <si>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</si>
  <si>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</si>
  <si>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</si>
  <si>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</si>
  <si>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</si>
  <si>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</si>
  <si>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</si>
  <si>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</si>
  <si>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</si>
  <si>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</si>
  <si>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</si>
  <si>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</si>
  <si>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</si>
  <si>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</si>
  <si>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</si>
  <si>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</si>
  <si>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</si>
  <si>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</si>
  <si>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</si>
  <si>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</si>
  <si>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</si>
  <si>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</si>
  <si>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</si>
  <si>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</si>
  <si>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</si>
  <si>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</si>
  <si>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</si>
  <si>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</si>
  <si>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</si>
  <si>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</si>
  <si>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</si>
  <si>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</si>
  <si>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</si>
  <si>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</si>
  <si>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</si>
  <si>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</si>
  <si>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</si>
  <si>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</si>
  <si>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</si>
  <si>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</si>
  <si>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</si>
  <si>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</si>
  <si>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</si>
  <si>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</si>
  <si>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</si>
  <si>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</si>
  <si>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</si>
  <si>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</si>
  <si>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</si>
  <si>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</si>
  <si>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</si>
  <si>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</si>
  <si>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</si>
  <si>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</si>
  <si>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</si>
  <si>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</si>
  <si>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</si>
  <si>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</si>
  <si>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</si>
  <si>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</si>
  <si>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</si>
  <si>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</si>
  <si>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</si>
  <si>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</si>
  <si>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</si>
  <si>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</si>
  <si>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</si>
  <si>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</si>
  <si>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</si>
  <si>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</si>
  <si>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</si>
  <si>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</si>
  <si>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</si>
  <si>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</si>
  <si>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</si>
  <si>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</si>
  <si>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</si>
  <si>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</si>
  <si>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</si>
  <si>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</si>
  <si>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</si>
  <si>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</si>
  <si>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</si>
  <si>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</si>
  <si>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</si>
  <si>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</si>
  <si>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</si>
  <si>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</si>
  <si>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</si>
  <si>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</si>
  <si>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</si>
  <si>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</si>
  <si>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</si>
  <si>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</si>
  <si>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</si>
  <si>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</si>
  <si>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</si>
  <si>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</si>
  <si>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</si>
  <si>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</si>
  <si>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</si>
  <si>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</si>
  <si>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</si>
  <si>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</si>
  <si>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</si>
  <si>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</si>
  <si>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</si>
  <si>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</si>
  <si>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</si>
  <si>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</si>
  <si>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</si>
  <si>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</si>
  <si>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</si>
  <si>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</si>
  <si>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</si>
  <si>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</si>
  <si>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</si>
  <si>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</si>
  <si>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</si>
  <si>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</si>
  <si>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</si>
  <si>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</si>
  <si>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</si>
  <si>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</si>
  <si>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</si>
  <si>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</si>
  <si>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</si>
  <si>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</si>
  <si>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</si>
  <si>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</si>
  <si>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</si>
  <si>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</si>
  <si>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</si>
  <si>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</si>
  <si>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</si>
  <si>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</si>
  <si>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</si>
  <si>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</si>
  <si>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</si>
  <si>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</si>
  <si>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</si>
  <si>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</si>
  <si>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</si>
  <si>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</si>
  <si>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</si>
  <si>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</si>
  <si>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</si>
  <si>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</si>
  <si>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</si>
  <si>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</si>
  <si>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</si>
  <si>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</si>
  <si>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</si>
  <si>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</si>
  <si>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</si>
  <si>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</si>
  <si>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</si>
  <si>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</si>
  <si>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</si>
  <si>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</si>
  <si>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</si>
  <si>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</si>
  <si>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</si>
  <si>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</si>
  <si>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</si>
  <si>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</si>
  <si>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</si>
  <si>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</si>
  <si>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</si>
  <si>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</si>
  <si>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</si>
  <si>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</si>
  <si>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</si>
  <si>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</si>
  <si>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</si>
  <si>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</si>
  <si>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</si>
  <si>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</si>
  <si>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</si>
  <si>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</si>
  <si>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</si>
  <si>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 xml:space="preserve">                        Додаток № 3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</si>
  <si>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</si>
  <si>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</si>
  <si>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</si>
  <si>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</si>
  <si>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територіальної   громади   на   2020   рік»  </t>
  </si>
  <si>
    <t>Сумський міський голова</t>
  </si>
  <si>
    <t>О.М. Лисенко</t>
  </si>
  <si>
    <t>Виконавець: Липова С.А.</t>
  </si>
  <si>
    <t xml:space="preserve"> __________________</t>
  </si>
  <si>
    <t xml:space="preserve">територіальної   громади   на   2020   рік» </t>
  </si>
  <si>
    <t>(зі змінами)»</t>
  </si>
  <si>
    <t xml:space="preserve">                        Додаток № 2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</si>
  <si>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</si>
  <si>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</si>
  <si>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</si>
  <si>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</si>
  <si>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</si>
  <si>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</si>
  <si>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від  31  березня  2020   року  № 6682 -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</si>
</sst>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" fontId="23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703"/>
  <sheetViews>
    <sheetView showGridLines="0" showZeros="0" view="pageBreakPreview" topLeftCell="D1" zoomScale="70" zoomScaleNormal="71" zoomScaleSheetLayoutView="70" workbookViewId="0">
      <selection activeCell="I10" sqref="I10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529" width="9.1640625" style="34"/>
    <col min="530" max="16384" width="9.1640625" style="20"/>
  </cols>
  <sheetData>
    <row r="1" spans="1:529" ht="26.25" customHeight="1" x14ac:dyDescent="0.25">
      <c r="K1" s="132" t="s">
        <v>451</v>
      </c>
      <c r="L1" s="152" t="s">
        <v>466</v>
      </c>
      <c r="M1" s="152"/>
      <c r="N1" s="152"/>
      <c r="O1" s="152"/>
      <c r="P1" s="123"/>
    </row>
    <row r="2" spans="1:529" ht="26.25" customHeight="1" x14ac:dyDescent="0.25">
      <c r="K2" s="132"/>
      <c r="L2" s="123" t="s">
        <v>455</v>
      </c>
      <c r="M2" s="123"/>
      <c r="N2" s="123"/>
      <c r="O2" s="123"/>
      <c r="P2" s="94"/>
    </row>
    <row r="3" spans="1:529" ht="26.25" customHeight="1" x14ac:dyDescent="0.25">
      <c r="K3" s="132"/>
      <c r="L3" s="154" t="s">
        <v>456</v>
      </c>
      <c r="M3" s="154"/>
      <c r="N3" s="154"/>
      <c r="O3" s="154"/>
      <c r="P3" s="154"/>
    </row>
    <row r="4" spans="1:529" ht="26.25" customHeight="1" x14ac:dyDescent="0.25">
      <c r="K4" s="132"/>
      <c r="L4" s="153" t="s">
        <v>457</v>
      </c>
      <c r="M4" s="153"/>
      <c r="N4" s="153"/>
      <c r="O4" s="153"/>
      <c r="P4" s="153"/>
    </row>
    <row r="5" spans="1:529" ht="26.25" customHeight="1" x14ac:dyDescent="0.25">
      <c r="K5" s="132"/>
      <c r="L5" s="123" t="s">
        <v>458</v>
      </c>
      <c r="M5" s="123"/>
      <c r="N5" s="123"/>
      <c r="O5" s="123"/>
      <c r="P5" s="123"/>
    </row>
    <row r="6" spans="1:529" ht="23.25" customHeight="1" x14ac:dyDescent="0.25">
      <c r="K6" s="135"/>
      <c r="L6" s="123" t="s">
        <v>467</v>
      </c>
      <c r="M6" s="123"/>
      <c r="N6" s="123"/>
      <c r="O6" s="123"/>
      <c r="P6" s="123"/>
    </row>
    <row r="7" spans="1:529" ht="26.25" customHeight="1" x14ac:dyDescent="0.25">
      <c r="K7" s="115"/>
      <c r="L7" s="123" t="s">
        <v>464</v>
      </c>
      <c r="M7" s="123"/>
      <c r="N7" s="123"/>
      <c r="O7" s="123"/>
      <c r="P7" s="123"/>
      <c r="Q7" s="115"/>
    </row>
    <row r="8" spans="1:529" ht="26.25" customHeight="1" x14ac:dyDescent="0.25">
      <c r="K8" s="149"/>
      <c r="L8" s="149" t="s">
        <v>465</v>
      </c>
      <c r="M8" s="149"/>
      <c r="N8" s="149"/>
      <c r="O8" s="149"/>
      <c r="P8" s="149"/>
      <c r="Q8" s="149"/>
    </row>
    <row r="9" spans="1:529" ht="26.25" x14ac:dyDescent="0.4">
      <c r="L9" s="113" t="s">
        <v>473</v>
      </c>
      <c r="M9" s="113"/>
      <c r="N9" s="113"/>
      <c r="O9" s="113"/>
      <c r="P9" s="113"/>
    </row>
    <row r="10" spans="1:529" ht="26.25" x14ac:dyDescent="0.4">
      <c r="L10" s="113"/>
      <c r="M10" s="113"/>
      <c r="N10" s="113"/>
      <c r="O10" s="113"/>
      <c r="P10" s="113"/>
    </row>
    <row r="11" spans="1:529" s="56" customFormat="1" ht="59.25" customHeight="1" x14ac:dyDescent="0.3">
      <c r="A11" s="156" t="s">
        <v>418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2" customHeight="1" x14ac:dyDescent="0.3">
      <c r="A12" s="136" t="s">
        <v>424</v>
      </c>
      <c r="B12" s="136"/>
      <c r="C12" s="120"/>
      <c r="D12" s="120"/>
      <c r="E12" s="120"/>
      <c r="F12" s="120"/>
      <c r="G12" s="120"/>
      <c r="H12" s="120"/>
      <c r="I12" s="120"/>
      <c r="J12" s="120"/>
      <c r="K12" s="97"/>
      <c r="L12" s="97"/>
      <c r="M12" s="97"/>
      <c r="N12" s="97"/>
      <c r="O12" s="97"/>
      <c r="P12" s="97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6" customFormat="1" ht="31.5" customHeight="1" x14ac:dyDescent="0.3">
      <c r="A13" s="137" t="s">
        <v>446</v>
      </c>
      <c r="B13" s="137"/>
      <c r="C13" s="120"/>
      <c r="D13" s="120"/>
      <c r="E13" s="120"/>
      <c r="F13" s="120"/>
      <c r="G13" s="120"/>
      <c r="H13" s="120"/>
      <c r="I13" s="120"/>
      <c r="J13" s="120"/>
      <c r="K13" s="97"/>
      <c r="L13" s="97"/>
      <c r="M13" s="97"/>
      <c r="N13" s="97"/>
      <c r="O13" s="97"/>
      <c r="P13" s="97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</row>
    <row r="14" spans="1:529" s="58" customFormat="1" ht="14.25" customHeight="1" x14ac:dyDescent="0.3">
      <c r="A14" s="86"/>
      <c r="B14" s="63"/>
      <c r="C14" s="63"/>
      <c r="D14" s="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22" t="s">
        <v>420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</row>
    <row r="15" spans="1:529" s="21" customFormat="1" ht="34.5" customHeight="1" x14ac:dyDescent="0.2">
      <c r="A15" s="157" t="s">
        <v>397</v>
      </c>
      <c r="B15" s="151" t="s">
        <v>398</v>
      </c>
      <c r="C15" s="151" t="s">
        <v>384</v>
      </c>
      <c r="D15" s="151" t="s">
        <v>399</v>
      </c>
      <c r="E15" s="151" t="s">
        <v>265</v>
      </c>
      <c r="F15" s="151"/>
      <c r="G15" s="151"/>
      <c r="H15" s="151"/>
      <c r="I15" s="151"/>
      <c r="J15" s="151" t="s">
        <v>266</v>
      </c>
      <c r="K15" s="151"/>
      <c r="L15" s="151"/>
      <c r="M15" s="151"/>
      <c r="N15" s="151"/>
      <c r="O15" s="151"/>
      <c r="P15" s="151" t="s">
        <v>267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57"/>
      <c r="B16" s="151"/>
      <c r="C16" s="151"/>
      <c r="D16" s="151"/>
      <c r="E16" s="151" t="s">
        <v>385</v>
      </c>
      <c r="F16" s="151" t="s">
        <v>268</v>
      </c>
      <c r="G16" s="151" t="s">
        <v>269</v>
      </c>
      <c r="H16" s="151"/>
      <c r="I16" s="151" t="s">
        <v>270</v>
      </c>
      <c r="J16" s="151" t="s">
        <v>385</v>
      </c>
      <c r="K16" s="151" t="s">
        <v>386</v>
      </c>
      <c r="L16" s="151" t="s">
        <v>268</v>
      </c>
      <c r="M16" s="151" t="s">
        <v>269</v>
      </c>
      <c r="N16" s="151"/>
      <c r="O16" s="151" t="s">
        <v>270</v>
      </c>
      <c r="P16" s="15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54" customHeight="1" x14ac:dyDescent="0.2">
      <c r="A17" s="157"/>
      <c r="B17" s="151"/>
      <c r="C17" s="151"/>
      <c r="D17" s="151"/>
      <c r="E17" s="151"/>
      <c r="F17" s="151"/>
      <c r="G17" s="121" t="s">
        <v>271</v>
      </c>
      <c r="H17" s="121" t="s">
        <v>272</v>
      </c>
      <c r="I17" s="151"/>
      <c r="J17" s="151"/>
      <c r="K17" s="151"/>
      <c r="L17" s="151"/>
      <c r="M17" s="79" t="s">
        <v>271</v>
      </c>
      <c r="N17" s="79" t="s">
        <v>272</v>
      </c>
      <c r="O17" s="151"/>
      <c r="P17" s="15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87" t="s">
        <v>180</v>
      </c>
      <c r="B18" s="65"/>
      <c r="C18" s="65"/>
      <c r="D18" s="32" t="s">
        <v>48</v>
      </c>
      <c r="E18" s="66">
        <f>E19</f>
        <v>183580503</v>
      </c>
      <c r="F18" s="66">
        <f t="shared" ref="F18:J18" si="0">F19</f>
        <v>173580503</v>
      </c>
      <c r="G18" s="66">
        <f t="shared" si="0"/>
        <v>93458455</v>
      </c>
      <c r="H18" s="66">
        <f t="shared" si="0"/>
        <v>5289300</v>
      </c>
      <c r="I18" s="66">
        <f t="shared" si="0"/>
        <v>10000000</v>
      </c>
      <c r="J18" s="66">
        <f t="shared" si="0"/>
        <v>34549593.200000003</v>
      </c>
      <c r="K18" s="66">
        <f t="shared" ref="K18" si="1">K19</f>
        <v>34032750</v>
      </c>
      <c r="L18" s="66">
        <f t="shared" ref="L18" si="2">L19</f>
        <v>516843.2</v>
      </c>
      <c r="M18" s="66">
        <f t="shared" ref="M18" si="3">M19</f>
        <v>91105</v>
      </c>
      <c r="N18" s="66">
        <f t="shared" ref="N18" si="4">N19</f>
        <v>52450</v>
      </c>
      <c r="O18" s="66">
        <f t="shared" ref="O18:P18" si="5">O19</f>
        <v>34032750</v>
      </c>
      <c r="P18" s="66">
        <f t="shared" si="5"/>
        <v>218130096.19999999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19.5" customHeight="1" x14ac:dyDescent="0.25">
      <c r="A19" s="77" t="s">
        <v>181</v>
      </c>
      <c r="B19" s="67"/>
      <c r="C19" s="67"/>
      <c r="D19" s="33" t="s">
        <v>48</v>
      </c>
      <c r="E19" s="68">
        <f>E20+E21+E22+E23+E24+E25+E26+E27+E28+E29+E30+E31+E32+E33+E34+E35+E36+E37+E38+E41+E42+E43+E44+E45+E46+E47+E48+E49+E50+E51+E39+E40</f>
        <v>183580503</v>
      </c>
      <c r="F19" s="68">
        <f t="shared" ref="F19:P19" si="6">F20+F21+F22+F23+F24+F25+F26+F27+F28+F29+F30+F31+F32+F33+F34+F35+F36+F37+F38+F41+F42+F43+F44+F45+F46+F47+F48+F49+F50+F51+F39+F40</f>
        <v>173580503</v>
      </c>
      <c r="G19" s="68">
        <f t="shared" si="6"/>
        <v>93458455</v>
      </c>
      <c r="H19" s="68">
        <f t="shared" si="6"/>
        <v>5289300</v>
      </c>
      <c r="I19" s="68">
        <f t="shared" si="6"/>
        <v>10000000</v>
      </c>
      <c r="J19" s="68">
        <f t="shared" si="6"/>
        <v>34549593.200000003</v>
      </c>
      <c r="K19" s="68">
        <f t="shared" si="6"/>
        <v>34032750</v>
      </c>
      <c r="L19" s="68">
        <f t="shared" si="6"/>
        <v>516843.2</v>
      </c>
      <c r="M19" s="68">
        <f t="shared" si="6"/>
        <v>91105</v>
      </c>
      <c r="N19" s="68">
        <f t="shared" si="6"/>
        <v>52450</v>
      </c>
      <c r="O19" s="68">
        <f t="shared" si="6"/>
        <v>34032750</v>
      </c>
      <c r="P19" s="68">
        <f t="shared" si="6"/>
        <v>218130096.19999999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23" customFormat="1" ht="46.5" customHeight="1" x14ac:dyDescent="0.25">
      <c r="A20" s="43" t="s">
        <v>182</v>
      </c>
      <c r="B20" s="44" t="str">
        <f>'дод 3'!A20</f>
        <v>0160</v>
      </c>
      <c r="C20" s="44" t="str">
        <f>'дод 3'!B20</f>
        <v>0111</v>
      </c>
      <c r="D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0" s="69">
        <f t="shared" ref="E20:E51" si="7">F20+I20</f>
        <v>100282882</v>
      </c>
      <c r="F20" s="69">
        <f>105070300+350000+405400-4697800+243482-1103300+14800</f>
        <v>100282882</v>
      </c>
      <c r="G20" s="69">
        <f>77144000-3850700+199575</f>
        <v>73492875</v>
      </c>
      <c r="H20" s="69">
        <v>2750400</v>
      </c>
      <c r="I20" s="69"/>
      <c r="J20" s="69">
        <f>L20+O20</f>
        <v>1230200</v>
      </c>
      <c r="K20" s="69">
        <v>1230200</v>
      </c>
      <c r="L20" s="69"/>
      <c r="M20" s="69"/>
      <c r="N20" s="69"/>
      <c r="O20" s="69">
        <v>1230200</v>
      </c>
      <c r="P20" s="69">
        <f t="shared" ref="P20:P51" si="8">E20+J20</f>
        <v>101513082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21.75" customHeight="1" x14ac:dyDescent="0.25">
      <c r="A21" s="43" t="s">
        <v>283</v>
      </c>
      <c r="B21" s="44" t="str">
        <f>'дод 3'!A21</f>
        <v>0180</v>
      </c>
      <c r="C21" s="44" t="str">
        <f>'дод 3'!B21</f>
        <v>0133</v>
      </c>
      <c r="D21" s="24" t="str">
        <f>'дод 3'!C21</f>
        <v>Інша діяльність у сфері державного управління</v>
      </c>
      <c r="E21" s="69">
        <f t="shared" si="7"/>
        <v>310000</v>
      </c>
      <c r="F21" s="69">
        <v>310000</v>
      </c>
      <c r="G21" s="69"/>
      <c r="H21" s="69"/>
      <c r="I21" s="69"/>
      <c r="J21" s="69">
        <f t="shared" ref="J21:J51" si="9">L21+O21</f>
        <v>0</v>
      </c>
      <c r="K21" s="69"/>
      <c r="L21" s="69"/>
      <c r="M21" s="69"/>
      <c r="N21" s="69"/>
      <c r="O21" s="69"/>
      <c r="P21" s="69">
        <f t="shared" si="8"/>
        <v>310000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43.5" customHeight="1" x14ac:dyDescent="0.25">
      <c r="A22" s="43" t="s">
        <v>299</v>
      </c>
      <c r="B22" s="44" t="str">
        <f>'дод 3'!A55</f>
        <v>3033</v>
      </c>
      <c r="C22" s="44" t="str">
        <f>'дод 3'!B55</f>
        <v>1070</v>
      </c>
      <c r="D22" s="24" t="str">
        <f>'дод 3'!C55</f>
        <v>Компенсаційні виплати на пільговий проїзд автомобільним транспортом окремим категоріям громадян</v>
      </c>
      <c r="E22" s="69">
        <f t="shared" si="7"/>
        <v>124200</v>
      </c>
      <c r="F22" s="69">
        <v>124200</v>
      </c>
      <c r="G22" s="69"/>
      <c r="H22" s="69"/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124200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6.75" customHeight="1" x14ac:dyDescent="0.25">
      <c r="A23" s="43" t="s">
        <v>183</v>
      </c>
      <c r="B23" s="44" t="str">
        <f>'дод 3'!A57</f>
        <v>3036</v>
      </c>
      <c r="C23" s="44" t="str">
        <f>'дод 3'!B57</f>
        <v>1070</v>
      </c>
      <c r="D23" s="24" t="str">
        <f>'дод 3'!C57</f>
        <v>Компенсаційні виплати на пільговий проїзд електротранспортом окремим категоріям громадян</v>
      </c>
      <c r="E23" s="69">
        <f t="shared" si="7"/>
        <v>270325</v>
      </c>
      <c r="F23" s="69">
        <v>270325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270325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" customHeight="1" x14ac:dyDescent="0.25">
      <c r="A24" s="43" t="s">
        <v>184</v>
      </c>
      <c r="B24" s="44" t="str">
        <f>'дод 3'!A63</f>
        <v>3121</v>
      </c>
      <c r="C24" s="44" t="str">
        <f>'дод 3'!B63</f>
        <v>1040</v>
      </c>
      <c r="D24" s="24" t="str">
        <f>'дод 3'!C63</f>
        <v>Утримання та забезпечення діяльності центрів соціальних служб для сім’ї, дітей та молоді</v>
      </c>
      <c r="E24" s="69">
        <f t="shared" si="7"/>
        <v>2529735</v>
      </c>
      <c r="F24" s="69">
        <f>2487735+42000</f>
        <v>2529735</v>
      </c>
      <c r="G24" s="69">
        <v>1883250</v>
      </c>
      <c r="H24" s="69">
        <v>50170</v>
      </c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2529735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48.75" customHeight="1" x14ac:dyDescent="0.25">
      <c r="A25" s="43" t="s">
        <v>185</v>
      </c>
      <c r="B25" s="44" t="str">
        <f>'дод 3'!A64</f>
        <v>3131</v>
      </c>
      <c r="C25" s="44" t="str">
        <f>'дод 3'!B64</f>
        <v>1040</v>
      </c>
      <c r="D25" s="24" t="str">
        <f>'дод 3'!C64</f>
        <v>Здійснення заходів та реалізація проектів на виконання Державної цільової соціальної програми "Молодь України"</v>
      </c>
      <c r="E25" s="69">
        <f t="shared" si="7"/>
        <v>850000</v>
      </c>
      <c r="F25" s="69">
        <v>850000</v>
      </c>
      <c r="G25" s="69"/>
      <c r="H25" s="69"/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850000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60" customHeight="1" x14ac:dyDescent="0.25">
      <c r="A26" s="43" t="s">
        <v>186</v>
      </c>
      <c r="B26" s="44" t="str">
        <f>'дод 3'!A65</f>
        <v>3140</v>
      </c>
      <c r="C26" s="44" t="str">
        <f>'дод 3'!B65</f>
        <v>1040</v>
      </c>
      <c r="D26" s="24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9">
        <f t="shared" si="7"/>
        <v>560000</v>
      </c>
      <c r="F26" s="69">
        <v>560000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560000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7.5" customHeight="1" x14ac:dyDescent="0.25">
      <c r="A27" s="43" t="s">
        <v>355</v>
      </c>
      <c r="B27" s="44" t="str">
        <f>'дод 3'!A74</f>
        <v>3241</v>
      </c>
      <c r="C27" s="44" t="str">
        <f>'дод 3'!B74</f>
        <v>1090</v>
      </c>
      <c r="D27" s="24" t="str">
        <f>'дод 3'!C74</f>
        <v>Забезпечення діяльності інших закладів у сфері соціального захисту і соціального забезпечення</v>
      </c>
      <c r="E27" s="69">
        <f t="shared" si="7"/>
        <v>1198395</v>
      </c>
      <c r="F27" s="69">
        <v>1198395</v>
      </c>
      <c r="G27" s="69">
        <v>852910</v>
      </c>
      <c r="H27" s="69">
        <v>114300</v>
      </c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1198395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3.75" customHeight="1" x14ac:dyDescent="0.25">
      <c r="A28" s="43" t="s">
        <v>356</v>
      </c>
      <c r="B28" s="44" t="str">
        <f>'дод 3'!A75</f>
        <v>3242</v>
      </c>
      <c r="C28" s="44" t="str">
        <f>'дод 3'!B75</f>
        <v>1090</v>
      </c>
      <c r="D28" s="24" t="str">
        <f>'дод 3'!C75</f>
        <v>Інші заходи у сфері соціального захисту і соціального забезпечення</v>
      </c>
      <c r="E28" s="69">
        <f t="shared" si="7"/>
        <v>218310</v>
      </c>
      <c r="F28" s="69">
        <v>218310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218310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375</v>
      </c>
      <c r="B29" s="44" t="str">
        <f>'дод 3'!A78</f>
        <v>4060</v>
      </c>
      <c r="C29" s="44" t="str">
        <f>'дод 3'!B78</f>
        <v>0828</v>
      </c>
      <c r="D29" s="24" t="str">
        <f>'дод 3'!C78</f>
        <v>Забезпечення діяльності палаців i будинків культури, клубів, центрів дозвілля та iнших клубних закладів</v>
      </c>
      <c r="E29" s="69">
        <f t="shared" si="7"/>
        <v>4595000</v>
      </c>
      <c r="F29" s="70">
        <f>4745000-150000</f>
        <v>4595000</v>
      </c>
      <c r="G29" s="69">
        <v>2098000</v>
      </c>
      <c r="H29" s="69">
        <v>727600</v>
      </c>
      <c r="I29" s="69"/>
      <c r="J29" s="69">
        <f t="shared" si="9"/>
        <v>25500</v>
      </c>
      <c r="K29" s="69">
        <v>25500</v>
      </c>
      <c r="L29" s="69"/>
      <c r="M29" s="69"/>
      <c r="N29" s="69"/>
      <c r="O29" s="69">
        <v>25500</v>
      </c>
      <c r="P29" s="69">
        <f t="shared" si="8"/>
        <v>4620500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0.75" customHeight="1" x14ac:dyDescent="0.25">
      <c r="A30" s="43" t="s">
        <v>353</v>
      </c>
      <c r="B30" s="44" t="str">
        <f>'дод 3'!A79</f>
        <v>4081</v>
      </c>
      <c r="C30" s="44" t="str">
        <f>'дод 3'!B79</f>
        <v>0829</v>
      </c>
      <c r="D30" s="24" t="str">
        <f>'дод 3'!C79</f>
        <v>Забезпечення діяльності інших закладів в галузі культури і мистецтва</v>
      </c>
      <c r="E30" s="69">
        <f t="shared" si="7"/>
        <v>3437900</v>
      </c>
      <c r="F30" s="69">
        <f>2374900+300000+276000+150000+337000</f>
        <v>3437900</v>
      </c>
      <c r="G30" s="69">
        <v>1389000</v>
      </c>
      <c r="H30" s="69">
        <v>91200</v>
      </c>
      <c r="I30" s="69"/>
      <c r="J30" s="69">
        <f t="shared" si="9"/>
        <v>224000</v>
      </c>
      <c r="K30" s="69">
        <v>224000</v>
      </c>
      <c r="L30" s="69"/>
      <c r="M30" s="69"/>
      <c r="N30" s="69"/>
      <c r="O30" s="69">
        <v>224000</v>
      </c>
      <c r="P30" s="69">
        <f t="shared" si="8"/>
        <v>3661900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25.5" customHeight="1" x14ac:dyDescent="0.25">
      <c r="A31" s="43" t="s">
        <v>354</v>
      </c>
      <c r="B31" s="44" t="str">
        <f>'дод 3'!A80</f>
        <v>4082</v>
      </c>
      <c r="C31" s="44" t="str">
        <f>'дод 3'!B80</f>
        <v>0829</v>
      </c>
      <c r="D31" s="24" t="str">
        <f>'дод 3'!C80</f>
        <v>Інші заходи в галузі культури і мистецтва</v>
      </c>
      <c r="E31" s="69">
        <f t="shared" si="7"/>
        <v>465000</v>
      </c>
      <c r="F31" s="69">
        <v>465000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465000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6.75" customHeight="1" x14ac:dyDescent="0.25">
      <c r="A32" s="52" t="s">
        <v>187</v>
      </c>
      <c r="B32" s="45" t="str">
        <f>'дод 3'!A82</f>
        <v>5011</v>
      </c>
      <c r="C32" s="45" t="str">
        <f>'дод 3'!B82</f>
        <v>0810</v>
      </c>
      <c r="D32" s="22" t="str">
        <f>'дод 3'!C82</f>
        <v>Проведення навчально-тренувальних зборів і змагань з олімпійських видів спорту</v>
      </c>
      <c r="E32" s="69">
        <f t="shared" si="7"/>
        <v>1761000</v>
      </c>
      <c r="F32" s="69">
        <f>750000+1000000+11000</f>
        <v>1761000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1761000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4.5" customHeight="1" x14ac:dyDescent="0.25">
      <c r="A33" s="52" t="s">
        <v>188</v>
      </c>
      <c r="B33" s="45" t="str">
        <f>'дод 3'!A83</f>
        <v>5012</v>
      </c>
      <c r="C33" s="45" t="str">
        <f>'дод 3'!B83</f>
        <v>0810</v>
      </c>
      <c r="D33" s="22" t="str">
        <f>'дод 3'!C83</f>
        <v>Проведення навчально-тренувальних зборів і змагань з неолімпійських видів спорту</v>
      </c>
      <c r="E33" s="69">
        <f t="shared" si="7"/>
        <v>2275000</v>
      </c>
      <c r="F33" s="69">
        <f>750000+1300000+127000+98000</f>
        <v>2275000</v>
      </c>
      <c r="G33" s="69"/>
      <c r="H33" s="69"/>
      <c r="I33" s="69"/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2275000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9" customHeight="1" x14ac:dyDescent="0.25">
      <c r="A34" s="52" t="s">
        <v>189</v>
      </c>
      <c r="B34" s="45" t="str">
        <f>'дод 3'!A84</f>
        <v>5031</v>
      </c>
      <c r="C34" s="45" t="str">
        <f>'дод 3'!B84</f>
        <v>0810</v>
      </c>
      <c r="D34" s="22" t="str">
        <f>'дод 3'!C84</f>
        <v>Утримання та навчально-тренувальна робота комунальних дитячо-юнацьких спортивних шкіл</v>
      </c>
      <c r="E34" s="69">
        <f t="shared" si="7"/>
        <v>13555830</v>
      </c>
      <c r="F34" s="69">
        <f>13106830+37000+412000</f>
        <v>13555830</v>
      </c>
      <c r="G34" s="69">
        <v>9753300</v>
      </c>
      <c r="H34" s="69">
        <v>819990</v>
      </c>
      <c r="I34" s="69">
        <v>0</v>
      </c>
      <c r="J34" s="69">
        <f t="shared" si="9"/>
        <v>728000</v>
      </c>
      <c r="K34" s="69">
        <f>500000+228000</f>
        <v>728000</v>
      </c>
      <c r="L34" s="69"/>
      <c r="M34" s="69"/>
      <c r="N34" s="69"/>
      <c r="O34" s="69">
        <f>500000+228000</f>
        <v>728000</v>
      </c>
      <c r="P34" s="69">
        <f t="shared" si="8"/>
        <v>14283830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3.75" customHeight="1" x14ac:dyDescent="0.25">
      <c r="A35" s="52" t="s">
        <v>419</v>
      </c>
      <c r="B35" s="45" t="str">
        <f>'дод 3'!A85</f>
        <v>5032</v>
      </c>
      <c r="C35" s="45" t="str">
        <f>'дод 3'!B85</f>
        <v>0810</v>
      </c>
      <c r="D35" s="22" t="str">
        <f>'дод 3'!C85</f>
        <v>Фінансова підтримка дитячо-юнацьких спортивних шкіл фізкультурно-спортивних товариств</v>
      </c>
      <c r="E35" s="69">
        <f t="shared" si="7"/>
        <v>11306630</v>
      </c>
      <c r="F35" s="69">
        <f>11143630+20000+143000</f>
        <v>11306630</v>
      </c>
      <c r="G35" s="69"/>
      <c r="H35" s="69"/>
      <c r="I35" s="69"/>
      <c r="J35" s="69">
        <f t="shared" si="9"/>
        <v>100000</v>
      </c>
      <c r="K35" s="69">
        <f>93000+7000</f>
        <v>100000</v>
      </c>
      <c r="L35" s="69"/>
      <c r="M35" s="69"/>
      <c r="N35" s="69"/>
      <c r="O35" s="69">
        <f>93000+7000</f>
        <v>100000</v>
      </c>
      <c r="P35" s="69">
        <f t="shared" si="8"/>
        <v>11406630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48" customHeight="1" x14ac:dyDescent="0.25">
      <c r="A36" s="52" t="s">
        <v>190</v>
      </c>
      <c r="B36" s="45" t="str">
        <f>'дод 3'!A86</f>
        <v>5061</v>
      </c>
      <c r="C36" s="45" t="str">
        <f>'дод 3'!B86</f>
        <v>0810</v>
      </c>
      <c r="D36" s="22" t="str">
        <f>'дод 3'!C86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9">
        <f t="shared" si="7"/>
        <v>3943120</v>
      </c>
      <c r="F36" s="69">
        <f>3728120+165000+50000</f>
        <v>3943120</v>
      </c>
      <c r="G36" s="69">
        <v>2446900</v>
      </c>
      <c r="H36" s="69">
        <v>370100</v>
      </c>
      <c r="I36" s="69"/>
      <c r="J36" s="69">
        <f t="shared" si="9"/>
        <v>1079120</v>
      </c>
      <c r="K36" s="69">
        <v>900000</v>
      </c>
      <c r="L36" s="69">
        <v>179120</v>
      </c>
      <c r="M36" s="69">
        <v>91105</v>
      </c>
      <c r="N36" s="69">
        <v>51050</v>
      </c>
      <c r="O36" s="69">
        <v>900000</v>
      </c>
      <c r="P36" s="69">
        <f t="shared" si="8"/>
        <v>5022240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9" customHeight="1" x14ac:dyDescent="0.25">
      <c r="A37" s="52" t="s">
        <v>410</v>
      </c>
      <c r="B37" s="45" t="str">
        <f>'дод 3'!A87</f>
        <v>5062</v>
      </c>
      <c r="C37" s="45" t="str">
        <f>'дод 3'!B87</f>
        <v>0810</v>
      </c>
      <c r="D37" s="22" t="str">
        <f>'дод 3'!C87</f>
        <v>Підтримка спорту вищих досягнень та організацій, які здійснюють фізкультурно-спортивну діяльність в регіоні</v>
      </c>
      <c r="E37" s="69">
        <f t="shared" si="7"/>
        <v>7023390</v>
      </c>
      <c r="F37" s="69">
        <f>6608390+200000+215000</f>
        <v>7023390</v>
      </c>
      <c r="G37" s="69"/>
      <c r="H37" s="69"/>
      <c r="I37" s="69"/>
      <c r="J37" s="69">
        <f t="shared" si="9"/>
        <v>43450</v>
      </c>
      <c r="K37" s="69">
        <v>43450</v>
      </c>
      <c r="L37" s="69"/>
      <c r="M37" s="69"/>
      <c r="N37" s="69"/>
      <c r="O37" s="69">
        <v>43450</v>
      </c>
      <c r="P37" s="69">
        <f t="shared" si="8"/>
        <v>7066840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24" customHeight="1" x14ac:dyDescent="0.25">
      <c r="A38" s="52" t="s">
        <v>191</v>
      </c>
      <c r="B38" s="45" t="str">
        <f>'дод 3'!A115</f>
        <v>7412</v>
      </c>
      <c r="C38" s="45" t="str">
        <f>'дод 3'!B115</f>
        <v>0451</v>
      </c>
      <c r="D38" s="22" t="str">
        <f>'дод 3'!C115</f>
        <v>Регулювання цін на послуги місцевого автотранспорту</v>
      </c>
      <c r="E38" s="69">
        <f t="shared" si="7"/>
        <v>10000000</v>
      </c>
      <c r="F38" s="69"/>
      <c r="G38" s="69"/>
      <c r="H38" s="69"/>
      <c r="I38" s="69">
        <v>10000000</v>
      </c>
      <c r="J38" s="69">
        <f t="shared" si="9"/>
        <v>0</v>
      </c>
      <c r="K38" s="69"/>
      <c r="L38" s="69"/>
      <c r="M38" s="69"/>
      <c r="N38" s="69"/>
      <c r="O38" s="69"/>
      <c r="P38" s="69">
        <f t="shared" si="8"/>
        <v>10000000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24" hidden="1" customHeight="1" x14ac:dyDescent="0.25">
      <c r="A39" s="52" t="s">
        <v>470</v>
      </c>
      <c r="B39" s="45">
        <f>'дод 3'!A116</f>
        <v>7413</v>
      </c>
      <c r="C39" s="45" t="str">
        <f>'дод 3'!B116</f>
        <v>0451</v>
      </c>
      <c r="D39" s="150" t="str">
        <f>'дод 3'!C116</f>
        <v>Інші заходи у сфері автотранспорту</v>
      </c>
      <c r="E39" s="69">
        <f t="shared" si="7"/>
        <v>0</v>
      </c>
      <c r="F39" s="69"/>
      <c r="G39" s="69"/>
      <c r="H39" s="69"/>
      <c r="I39" s="69"/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24" hidden="1" customHeight="1" x14ac:dyDescent="0.25">
      <c r="A40" s="52" t="s">
        <v>471</v>
      </c>
      <c r="B40" s="45">
        <f>'дод 3'!A117</f>
        <v>7426</v>
      </c>
      <c r="C40" s="45">
        <f>'дод 3'!B117</f>
        <v>453</v>
      </c>
      <c r="D40" s="150" t="str">
        <f>'дод 3'!C117</f>
        <v>Інші заходи у сфері електротранспорту</v>
      </c>
      <c r="E40" s="69">
        <f t="shared" si="7"/>
        <v>0</v>
      </c>
      <c r="F40" s="69"/>
      <c r="G40" s="69"/>
      <c r="H40" s="69"/>
      <c r="I40" s="69"/>
      <c r="J40" s="69">
        <f t="shared" si="9"/>
        <v>0</v>
      </c>
      <c r="K40" s="69"/>
      <c r="L40" s="69"/>
      <c r="M40" s="69"/>
      <c r="N40" s="69"/>
      <c r="O40" s="69"/>
      <c r="P40" s="69">
        <f t="shared" si="8"/>
        <v>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1.5" customHeight="1" x14ac:dyDescent="0.25">
      <c r="A41" s="52" t="s">
        <v>275</v>
      </c>
      <c r="B41" s="45" t="str">
        <f>'дод 3'!A121</f>
        <v>7530</v>
      </c>
      <c r="C41" s="45" t="str">
        <f>'дод 3'!B121</f>
        <v>0460</v>
      </c>
      <c r="D41" s="22" t="str">
        <f>'дод 3'!C121</f>
        <v>Інші заходи у сфері зв'язку, телекомунікації та інформатики</v>
      </c>
      <c r="E41" s="69">
        <f t="shared" si="7"/>
        <v>13450000</v>
      </c>
      <c r="F41" s="69">
        <f>10000000+3450000</f>
        <v>13450000</v>
      </c>
      <c r="G41" s="69"/>
      <c r="H41" s="69"/>
      <c r="I41" s="69"/>
      <c r="J41" s="69">
        <f t="shared" si="9"/>
        <v>6050000</v>
      </c>
      <c r="K41" s="69">
        <f>5000000+1050000</f>
        <v>6050000</v>
      </c>
      <c r="L41" s="69"/>
      <c r="M41" s="69"/>
      <c r="N41" s="69"/>
      <c r="O41" s="69">
        <f>5000000+1050000</f>
        <v>6050000</v>
      </c>
      <c r="P41" s="69">
        <f t="shared" si="8"/>
        <v>19500000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0.25" customHeight="1" x14ac:dyDescent="0.25">
      <c r="A42" s="52" t="s">
        <v>192</v>
      </c>
      <c r="B42" s="45" t="str">
        <f>'дод 3'!A123</f>
        <v>7610</v>
      </c>
      <c r="C42" s="45" t="str">
        <f>'дод 3'!B123</f>
        <v>0411</v>
      </c>
      <c r="D42" s="22" t="str">
        <f>'дод 3'!C123</f>
        <v>Сприяння розвитку малого та середнього підприємництва</v>
      </c>
      <c r="E42" s="69">
        <f t="shared" si="7"/>
        <v>215000</v>
      </c>
      <c r="F42" s="69">
        <f>115000+100000</f>
        <v>215000</v>
      </c>
      <c r="G42" s="69"/>
      <c r="H42" s="69"/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215000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3.25" customHeight="1" x14ac:dyDescent="0.25">
      <c r="A43" s="52" t="s">
        <v>193</v>
      </c>
      <c r="B43" s="45" t="str">
        <f>'дод 3'!A127</f>
        <v>7670</v>
      </c>
      <c r="C43" s="45" t="str">
        <f>'дод 3'!B127</f>
        <v>0490</v>
      </c>
      <c r="D43" s="22" t="str">
        <f>'дод 3'!C127</f>
        <v>Внески до статутного капіталу суб’єктів господарювання</v>
      </c>
      <c r="E43" s="69">
        <f t="shared" si="7"/>
        <v>0</v>
      </c>
      <c r="F43" s="69"/>
      <c r="G43" s="69"/>
      <c r="H43" s="69"/>
      <c r="I43" s="69"/>
      <c r="J43" s="69">
        <f t="shared" si="9"/>
        <v>22572000</v>
      </c>
      <c r="K43" s="69">
        <f>22572000</f>
        <v>22572000</v>
      </c>
      <c r="L43" s="69"/>
      <c r="M43" s="69"/>
      <c r="N43" s="69"/>
      <c r="O43" s="69">
        <f>22572000</f>
        <v>22572000</v>
      </c>
      <c r="P43" s="69">
        <f t="shared" si="8"/>
        <v>22572000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6.75" customHeight="1" x14ac:dyDescent="0.25">
      <c r="A44" s="52" t="s">
        <v>289</v>
      </c>
      <c r="B44" s="45" t="str">
        <f>'дод 3'!A128</f>
        <v>7680</v>
      </c>
      <c r="C44" s="45" t="str">
        <f>'дод 3'!B128</f>
        <v>0490</v>
      </c>
      <c r="D44" s="22" t="str">
        <f>'дод 3'!C128</f>
        <v>Членські внески до асоціацій органів місцевого самоврядування</v>
      </c>
      <c r="E44" s="69">
        <f t="shared" si="7"/>
        <v>241467</v>
      </c>
      <c r="F44" s="69">
        <f>158069+82000+1715-317</f>
        <v>241467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241467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90" customHeight="1" x14ac:dyDescent="0.25">
      <c r="A45" s="52" t="s">
        <v>351</v>
      </c>
      <c r="B45" s="45" t="str">
        <f>'дод 3'!A129</f>
        <v>7691</v>
      </c>
      <c r="C45" s="45" t="str">
        <f>'дод 3'!B129</f>
        <v>0490</v>
      </c>
      <c r="D45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9">
        <f t="shared" si="7"/>
        <v>0</v>
      </c>
      <c r="F45" s="69"/>
      <c r="G45" s="69"/>
      <c r="H45" s="69"/>
      <c r="I45" s="69"/>
      <c r="J45" s="69">
        <f t="shared" si="9"/>
        <v>68223.199999999997</v>
      </c>
      <c r="K45" s="69"/>
      <c r="L45" s="69">
        <f>64711+3512.2</f>
        <v>68223.199999999997</v>
      </c>
      <c r="M45" s="69"/>
      <c r="N45" s="69"/>
      <c r="O45" s="69"/>
      <c r="P45" s="69">
        <f t="shared" si="8"/>
        <v>68223.199999999997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282</v>
      </c>
      <c r="B46" s="45" t="str">
        <f>'дод 3'!A130</f>
        <v>7693</v>
      </c>
      <c r="C46" s="45" t="str">
        <f>'дод 3'!B130</f>
        <v>0490</v>
      </c>
      <c r="D46" s="22" t="str">
        <f>'дод 3'!C130</f>
        <v>Інші заходи, пов'язані з економічною діяльністю</v>
      </c>
      <c r="E46" s="69">
        <f t="shared" si="7"/>
        <v>1869189</v>
      </c>
      <c r="F46" s="69">
        <f>1617587+250000+3000-1398</f>
        <v>1869189</v>
      </c>
      <c r="G46" s="69"/>
      <c r="H46" s="69"/>
      <c r="I46" s="69"/>
      <c r="J46" s="69">
        <f t="shared" si="9"/>
        <v>0</v>
      </c>
      <c r="K46" s="69"/>
      <c r="L46" s="69"/>
      <c r="M46" s="69"/>
      <c r="N46" s="69"/>
      <c r="O46" s="69"/>
      <c r="P46" s="69">
        <f t="shared" si="8"/>
        <v>1869189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4.5" customHeight="1" x14ac:dyDescent="0.25">
      <c r="A47" s="52" t="s">
        <v>194</v>
      </c>
      <c r="B47" s="45" t="str">
        <f>'дод 3'!A135</f>
        <v>8110</v>
      </c>
      <c r="C47" s="45" t="str">
        <f>'дод 3'!B135</f>
        <v>0320</v>
      </c>
      <c r="D47" s="22" t="str">
        <f>'дод 3'!C135</f>
        <v>Заходи із запобігання та ліквідації надзвичайних ситуацій та наслідків стихійного лиха</v>
      </c>
      <c r="E47" s="69">
        <f t="shared" si="7"/>
        <v>284500</v>
      </c>
      <c r="F47" s="69">
        <v>284500</v>
      </c>
      <c r="G47" s="69"/>
      <c r="H47" s="69">
        <v>7500</v>
      </c>
      <c r="I47" s="69"/>
      <c r="J47" s="69">
        <f t="shared" si="9"/>
        <v>2159600</v>
      </c>
      <c r="K47" s="69">
        <v>2159600</v>
      </c>
      <c r="L47" s="69"/>
      <c r="M47" s="69"/>
      <c r="N47" s="69"/>
      <c r="O47" s="69">
        <v>2159600</v>
      </c>
      <c r="P47" s="69">
        <f t="shared" si="8"/>
        <v>2444100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19.5" customHeight="1" x14ac:dyDescent="0.25">
      <c r="A48" s="52" t="s">
        <v>264</v>
      </c>
      <c r="B48" s="45" t="str">
        <f>'дод 3'!A136</f>
        <v>8120</v>
      </c>
      <c r="C48" s="45" t="str">
        <f>'дод 3'!B136</f>
        <v>0320</v>
      </c>
      <c r="D48" s="22" t="str">
        <f>'дод 3'!C136</f>
        <v>Заходи з організації рятування на водах</v>
      </c>
      <c r="E48" s="69">
        <f t="shared" si="7"/>
        <v>2030270</v>
      </c>
      <c r="F48" s="69">
        <f>1892080+19210+32020+78970+7990</f>
        <v>2030270</v>
      </c>
      <c r="G48" s="69">
        <v>1542220</v>
      </c>
      <c r="H48" s="69">
        <v>79880</v>
      </c>
      <c r="I48" s="69"/>
      <c r="J48" s="69">
        <f t="shared" si="9"/>
        <v>5500</v>
      </c>
      <c r="K48" s="69"/>
      <c r="L48" s="69">
        <v>5500</v>
      </c>
      <c r="M48" s="69"/>
      <c r="N48" s="69">
        <v>1400</v>
      </c>
      <c r="O48" s="69"/>
      <c r="P48" s="69">
        <f t="shared" si="8"/>
        <v>2035770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1.75" customHeight="1" x14ac:dyDescent="0.25">
      <c r="A49" s="52" t="s">
        <v>285</v>
      </c>
      <c r="B49" s="45" t="str">
        <f>'дод 3'!A138</f>
        <v>8230</v>
      </c>
      <c r="C49" s="45" t="str">
        <f>'дод 3'!B138</f>
        <v>0380</v>
      </c>
      <c r="D49" s="22" t="str">
        <f>'дод 3'!C138</f>
        <v>Інші заходи громадського порядку та безпеки</v>
      </c>
      <c r="E49" s="69">
        <f t="shared" si="7"/>
        <v>683360</v>
      </c>
      <c r="F49" s="69">
        <v>683360</v>
      </c>
      <c r="G49" s="69"/>
      <c r="H49" s="69">
        <v>278160</v>
      </c>
      <c r="I49" s="69"/>
      <c r="J49" s="69">
        <f t="shared" si="9"/>
        <v>0</v>
      </c>
      <c r="K49" s="69"/>
      <c r="L49" s="69"/>
      <c r="M49" s="69"/>
      <c r="N49" s="69"/>
      <c r="O49" s="69"/>
      <c r="P49" s="69">
        <f t="shared" si="8"/>
        <v>683360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43" t="s">
        <v>195</v>
      </c>
      <c r="B50" s="44" t="str">
        <f>'дод 3'!A141</f>
        <v>8340</v>
      </c>
      <c r="C50" s="44" t="str">
        <f>'дод 3'!B141</f>
        <v>0540</v>
      </c>
      <c r="D50" s="24" t="str">
        <f>'дод 3'!C141</f>
        <v>Природоохоронні заходи за рахунок цільових фондів</v>
      </c>
      <c r="E50" s="69">
        <f t="shared" si="7"/>
        <v>0</v>
      </c>
      <c r="F50" s="69"/>
      <c r="G50" s="69"/>
      <c r="H50" s="69"/>
      <c r="I50" s="69"/>
      <c r="J50" s="69">
        <f t="shared" si="9"/>
        <v>264000</v>
      </c>
      <c r="K50" s="69"/>
      <c r="L50" s="69">
        <v>264000</v>
      </c>
      <c r="M50" s="69"/>
      <c r="N50" s="69"/>
      <c r="O50" s="69"/>
      <c r="P50" s="69">
        <f t="shared" si="8"/>
        <v>264000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26.25" customHeight="1" x14ac:dyDescent="0.25">
      <c r="A51" s="52" t="s">
        <v>296</v>
      </c>
      <c r="B51" s="45" t="str">
        <f>'дод 3'!A143</f>
        <v>8420</v>
      </c>
      <c r="C51" s="45" t="str">
        <f>'дод 3'!B143</f>
        <v>0830</v>
      </c>
      <c r="D51" s="22" t="str">
        <f>'дод 3'!C143</f>
        <v>Інші заходи у сфері засобів масової інформації</v>
      </c>
      <c r="E51" s="69">
        <f t="shared" si="7"/>
        <v>100000</v>
      </c>
      <c r="F51" s="69">
        <v>100000</v>
      </c>
      <c r="G51" s="69"/>
      <c r="H51" s="69"/>
      <c r="I51" s="69"/>
      <c r="J51" s="69">
        <f t="shared" si="9"/>
        <v>0</v>
      </c>
      <c r="K51" s="69"/>
      <c r="L51" s="69"/>
      <c r="M51" s="69"/>
      <c r="N51" s="69"/>
      <c r="O51" s="69"/>
      <c r="P51" s="69">
        <f t="shared" si="8"/>
        <v>100000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31" customFormat="1" ht="23.25" customHeight="1" x14ac:dyDescent="0.2">
      <c r="A52" s="88" t="s">
        <v>196</v>
      </c>
      <c r="B52" s="72"/>
      <c r="C52" s="72"/>
      <c r="D52" s="30" t="s">
        <v>34</v>
      </c>
      <c r="E52" s="66">
        <f>E53</f>
        <v>971189864</v>
      </c>
      <c r="F52" s="66">
        <f t="shared" ref="F52:J52" si="10">F53</f>
        <v>971189864</v>
      </c>
      <c r="G52" s="66">
        <f t="shared" si="10"/>
        <v>651442027</v>
      </c>
      <c r="H52" s="66">
        <f t="shared" si="10"/>
        <v>83561807</v>
      </c>
      <c r="I52" s="66">
        <f t="shared" si="10"/>
        <v>0</v>
      </c>
      <c r="J52" s="66">
        <f t="shared" si="10"/>
        <v>87173293.549999997</v>
      </c>
      <c r="K52" s="66">
        <f t="shared" ref="K52" si="11">K53</f>
        <v>33456785.550000001</v>
      </c>
      <c r="L52" s="66">
        <f t="shared" ref="L52" si="12">L53</f>
        <v>53527508</v>
      </c>
      <c r="M52" s="66">
        <f t="shared" ref="M52" si="13">M53</f>
        <v>4208876</v>
      </c>
      <c r="N52" s="66">
        <f t="shared" ref="N52" si="14">N53</f>
        <v>3124191</v>
      </c>
      <c r="O52" s="66">
        <f t="shared" ref="O52:P52" si="15">O53</f>
        <v>33645785.549999997</v>
      </c>
      <c r="P52" s="66">
        <f t="shared" si="15"/>
        <v>1058363157.55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</row>
    <row r="53" spans="1:529" s="40" customFormat="1" ht="26.25" customHeight="1" x14ac:dyDescent="0.25">
      <c r="A53" s="89" t="s">
        <v>197</v>
      </c>
      <c r="B53" s="73"/>
      <c r="C53" s="73"/>
      <c r="D53" s="33" t="s">
        <v>34</v>
      </c>
      <c r="E53" s="68">
        <f>E55+E56+E58+E60+E62+E63+E65+E66+E67+E68+E70+E71+E72+E73+E75+E76+E77</f>
        <v>971189864</v>
      </c>
      <c r="F53" s="68">
        <f t="shared" ref="F53:P53" si="16">F55+F56+F58+F60+F62+F63+F65+F66+F67+F68+F70+F71+F72+F73+F75+F76+F77</f>
        <v>971189864</v>
      </c>
      <c r="G53" s="68">
        <f t="shared" si="16"/>
        <v>651442027</v>
      </c>
      <c r="H53" s="68">
        <f t="shared" si="16"/>
        <v>83561807</v>
      </c>
      <c r="I53" s="68">
        <f t="shared" si="16"/>
        <v>0</v>
      </c>
      <c r="J53" s="68">
        <f t="shared" si="16"/>
        <v>87173293.549999997</v>
      </c>
      <c r="K53" s="68">
        <f>K55+K56+K58+K60+K62+K63+K65+K66+K67+K68+K70+K71+K72+K73+K75+K76+K77</f>
        <v>33456785.550000001</v>
      </c>
      <c r="L53" s="68">
        <f t="shared" si="16"/>
        <v>53527508</v>
      </c>
      <c r="M53" s="68">
        <f t="shared" si="16"/>
        <v>4208876</v>
      </c>
      <c r="N53" s="68">
        <f t="shared" si="16"/>
        <v>3124191</v>
      </c>
      <c r="O53" s="68">
        <f t="shared" si="16"/>
        <v>33645785.549999997</v>
      </c>
      <c r="P53" s="68">
        <f t="shared" si="16"/>
        <v>1058363157.55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</row>
    <row r="54" spans="1:529" s="40" customFormat="1" ht="18.75" customHeight="1" x14ac:dyDescent="0.25">
      <c r="A54" s="89"/>
      <c r="B54" s="73"/>
      <c r="C54" s="73"/>
      <c r="D54" s="33" t="s">
        <v>308</v>
      </c>
      <c r="E54" s="68">
        <f>E59++E61+E64+E57+E69+E74</f>
        <v>382256478</v>
      </c>
      <c r="F54" s="68">
        <f t="shared" ref="F54:P54" si="17">F59++F61+F64+F57+F69+F74</f>
        <v>382256478</v>
      </c>
      <c r="G54" s="68">
        <f t="shared" si="17"/>
        <v>307191100</v>
      </c>
      <c r="H54" s="68">
        <f t="shared" si="17"/>
        <v>0</v>
      </c>
      <c r="I54" s="68">
        <f t="shared" si="17"/>
        <v>0</v>
      </c>
      <c r="J54" s="68">
        <f>J59++J61+J64+J57+J69+J74</f>
        <v>1736617.55</v>
      </c>
      <c r="K54" s="68">
        <f t="shared" si="17"/>
        <v>1736617.55</v>
      </c>
      <c r="L54" s="68">
        <f t="shared" si="17"/>
        <v>0</v>
      </c>
      <c r="M54" s="68">
        <f t="shared" si="17"/>
        <v>0</v>
      </c>
      <c r="N54" s="68">
        <f t="shared" si="17"/>
        <v>0</v>
      </c>
      <c r="O54" s="68">
        <f t="shared" si="17"/>
        <v>1736617.55</v>
      </c>
      <c r="P54" s="68">
        <f t="shared" si="17"/>
        <v>383993095.55000001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</row>
    <row r="55" spans="1:529" s="23" customFormat="1" ht="46.5" customHeight="1" x14ac:dyDescent="0.25">
      <c r="A55" s="43" t="s">
        <v>198</v>
      </c>
      <c r="B55" s="44" t="str">
        <f>'дод 3'!A20</f>
        <v>0160</v>
      </c>
      <c r="C55" s="44" t="str">
        <f>'дод 3'!B20</f>
        <v>0111</v>
      </c>
      <c r="D5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55" s="69">
        <f t="shared" ref="E55:E77" si="18">F55+I55</f>
        <v>3554900</v>
      </c>
      <c r="F55" s="69">
        <f>3470000+3900-161800+242800</f>
        <v>3554900</v>
      </c>
      <c r="G55" s="69">
        <f>2711100-132600</f>
        <v>2578500</v>
      </c>
      <c r="H55" s="69">
        <v>48700</v>
      </c>
      <c r="I55" s="69"/>
      <c r="J55" s="69">
        <f>L55+O55</f>
        <v>0</v>
      </c>
      <c r="K55" s="69"/>
      <c r="L55" s="69"/>
      <c r="M55" s="69"/>
      <c r="N55" s="69"/>
      <c r="O55" s="69"/>
      <c r="P55" s="69">
        <f t="shared" ref="P55:P77" si="19">E55+J55</f>
        <v>3554900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21.75" customHeight="1" x14ac:dyDescent="0.25">
      <c r="A56" s="43" t="s">
        <v>199</v>
      </c>
      <c r="B56" s="44" t="str">
        <f>'дод 3'!A24</f>
        <v>1010</v>
      </c>
      <c r="C56" s="44" t="str">
        <f>'дод 3'!B24</f>
        <v>0910</v>
      </c>
      <c r="D56" s="24" t="str">
        <f>'дод 3'!C24</f>
        <v>Надання дошкільної освіти</v>
      </c>
      <c r="E56" s="69">
        <f t="shared" si="18"/>
        <v>242937226</v>
      </c>
      <c r="F56" s="69">
        <f>244339090+176336+1322957+112300-3000000-13457</f>
        <v>242937226</v>
      </c>
      <c r="G56" s="69">
        <f>159350000+144540-11030</f>
        <v>159483510</v>
      </c>
      <c r="H56" s="69">
        <v>26923940</v>
      </c>
      <c r="I56" s="69"/>
      <c r="J56" s="69">
        <f>L56+O56</f>
        <v>22916603</v>
      </c>
      <c r="K56" s="69">
        <f>4200000+500000+88136+760000+703043+347304-7536</f>
        <v>6590947</v>
      </c>
      <c r="L56" s="69">
        <v>16325656</v>
      </c>
      <c r="M56" s="69"/>
      <c r="N56" s="69"/>
      <c r="O56" s="69">
        <f>4200000+500000+88136+760000+703043+347304-7536</f>
        <v>6590947</v>
      </c>
      <c r="P56" s="69">
        <f t="shared" si="19"/>
        <v>265853829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21.75" customHeight="1" x14ac:dyDescent="0.25">
      <c r="A57" s="43"/>
      <c r="B57" s="44"/>
      <c r="C57" s="44"/>
      <c r="D57" s="22" t="s">
        <v>308</v>
      </c>
      <c r="E57" s="69">
        <f t="shared" si="18"/>
        <v>162879</v>
      </c>
      <c r="F57" s="69">
        <f>176336-13457</f>
        <v>162879</v>
      </c>
      <c r="G57" s="69">
        <f>144540-11030</f>
        <v>133510</v>
      </c>
      <c r="H57" s="69"/>
      <c r="I57" s="69"/>
      <c r="J57" s="69">
        <f>L57+O57</f>
        <v>80600</v>
      </c>
      <c r="K57" s="69">
        <f>88136-7536</f>
        <v>80600</v>
      </c>
      <c r="L57" s="69"/>
      <c r="M57" s="69"/>
      <c r="N57" s="69"/>
      <c r="O57" s="69">
        <f>88136-7536</f>
        <v>80600</v>
      </c>
      <c r="P57" s="69">
        <f t="shared" si="19"/>
        <v>243479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54" customHeight="1" x14ac:dyDescent="0.25">
      <c r="A58" s="43" t="s">
        <v>200</v>
      </c>
      <c r="B58" s="44" t="str">
        <f>'дод 3'!A26</f>
        <v>1020</v>
      </c>
      <c r="C58" s="44" t="str">
        <f>'дод 3'!B26</f>
        <v>0921</v>
      </c>
      <c r="D58" s="24" t="str">
        <f>'дод 3'!C26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8" s="69">
        <f t="shared" si="18"/>
        <v>541969603</v>
      </c>
      <c r="F58" s="69">
        <f>533365430-2738900+2738900-50000+2067000+1396248+800+1533444+15313000-11301200+106000+50000+70000+213600-7000000+208752+5996529</f>
        <v>541969603</v>
      </c>
      <c r="G58" s="69">
        <f>373446500+1144470+657+12572250-9278430+171100</f>
        <v>378056547</v>
      </c>
      <c r="H58" s="69">
        <v>40458440</v>
      </c>
      <c r="I58" s="69"/>
      <c r="J58" s="69">
        <f t="shared" ref="J58:J77" si="20">L58+O58</f>
        <v>50872804.640000001</v>
      </c>
      <c r="K58" s="69">
        <f>11599400+2199897+739872+3050000+2916586+700000-106000-7502.36+202738-76472+742539</f>
        <v>21961057.640000001</v>
      </c>
      <c r="L58" s="69">
        <v>28911747</v>
      </c>
      <c r="M58" s="69">
        <v>1713303</v>
      </c>
      <c r="N58" s="69">
        <v>147329</v>
      </c>
      <c r="O58" s="69">
        <f>11599400+2199897+739872+3050000+2916586+700000-106000-7502.36+202738-76472+742539</f>
        <v>21961057.640000001</v>
      </c>
      <c r="P58" s="69">
        <f t="shared" si="19"/>
        <v>592842407.63999999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x14ac:dyDescent="0.25">
      <c r="A59" s="43"/>
      <c r="B59" s="44"/>
      <c r="C59" s="44"/>
      <c r="D59" s="22" t="s">
        <v>308</v>
      </c>
      <c r="E59" s="69">
        <f t="shared" si="18"/>
        <v>356817929</v>
      </c>
      <c r="F59" s="69">
        <f>331836400+2067000+1396248+15313000+208752+5996529</f>
        <v>356817929</v>
      </c>
      <c r="G59" s="69">
        <f>272443700+1144470+12572250+171100</f>
        <v>286331520</v>
      </c>
      <c r="H59" s="69"/>
      <c r="I59" s="69"/>
      <c r="J59" s="69">
        <f t="shared" si="20"/>
        <v>1405939</v>
      </c>
      <c r="K59" s="69">
        <f>739872-76472+742539</f>
        <v>1405939</v>
      </c>
      <c r="L59" s="69"/>
      <c r="M59" s="69"/>
      <c r="N59" s="69"/>
      <c r="O59" s="69">
        <f>739872+742539-76472</f>
        <v>1405939</v>
      </c>
      <c r="P59" s="69">
        <f t="shared" si="19"/>
        <v>358223868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23" customFormat="1" ht="63.75" customHeight="1" x14ac:dyDescent="0.25">
      <c r="A60" s="43" t="s">
        <v>431</v>
      </c>
      <c r="B60" s="44">
        <f>'дод 3'!A28</f>
        <v>1030</v>
      </c>
      <c r="C60" s="44" t="str">
        <f>'дод 3'!B28</f>
        <v>0922</v>
      </c>
      <c r="D60" s="24" t="str">
        <f>'дод 3'!C28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0" s="69">
        <f t="shared" si="18"/>
        <v>9418880</v>
      </c>
      <c r="F60" s="69">
        <f>9152880+50000+110000+106000</f>
        <v>9418880</v>
      </c>
      <c r="G60" s="69">
        <v>6532300</v>
      </c>
      <c r="H60" s="69">
        <v>709270</v>
      </c>
      <c r="I60" s="69">
        <v>0</v>
      </c>
      <c r="J60" s="69">
        <f t="shared" si="20"/>
        <v>172000</v>
      </c>
      <c r="K60" s="69">
        <f>150000+22000</f>
        <v>172000</v>
      </c>
      <c r="L60" s="69"/>
      <c r="M60" s="69"/>
      <c r="N60" s="69"/>
      <c r="O60" s="69">
        <f>150000+22000</f>
        <v>172000</v>
      </c>
      <c r="P60" s="69">
        <f t="shared" si="19"/>
        <v>9590880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</row>
    <row r="61" spans="1:529" s="23" customFormat="1" ht="17.25" customHeight="1" x14ac:dyDescent="0.25">
      <c r="A61" s="43"/>
      <c r="B61" s="44"/>
      <c r="C61" s="44"/>
      <c r="D61" s="22" t="s">
        <v>308</v>
      </c>
      <c r="E61" s="69">
        <f t="shared" si="18"/>
        <v>6214300</v>
      </c>
      <c r="F61" s="69">
        <v>6214300</v>
      </c>
      <c r="G61" s="69">
        <v>5102000</v>
      </c>
      <c r="H61" s="69">
        <v>0</v>
      </c>
      <c r="I61" s="69">
        <v>0</v>
      </c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6214300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</row>
    <row r="62" spans="1:529" s="23" customFormat="1" ht="32.25" customHeight="1" x14ac:dyDescent="0.25">
      <c r="A62" s="43" t="s">
        <v>263</v>
      </c>
      <c r="B62" s="44" t="str">
        <f>'дод 3'!A30</f>
        <v>1090</v>
      </c>
      <c r="C62" s="44" t="str">
        <f>'дод 3'!B30</f>
        <v>0960</v>
      </c>
      <c r="D62" s="24" t="str">
        <f>'дод 3'!C30</f>
        <v>Надання позашкільної освіти закладами позашкільної освіти, заходи із позашкільної роботи з дітьми</v>
      </c>
      <c r="E62" s="69">
        <f t="shared" si="18"/>
        <v>28023440</v>
      </c>
      <c r="F62" s="69">
        <f>27792840+230600</f>
        <v>28023440</v>
      </c>
      <c r="G62" s="69">
        <v>19715700</v>
      </c>
      <c r="H62" s="69">
        <v>3358190</v>
      </c>
      <c r="I62" s="69">
        <v>0</v>
      </c>
      <c r="J62" s="69">
        <f t="shared" si="20"/>
        <v>300000</v>
      </c>
      <c r="K62" s="69">
        <v>300000</v>
      </c>
      <c r="L62" s="69"/>
      <c r="M62" s="69"/>
      <c r="N62" s="69"/>
      <c r="O62" s="69">
        <v>300000</v>
      </c>
      <c r="P62" s="69">
        <f t="shared" si="19"/>
        <v>28323440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</row>
    <row r="63" spans="1:529" s="23" customFormat="1" ht="33.75" customHeight="1" x14ac:dyDescent="0.25">
      <c r="A63" s="43" t="s">
        <v>262</v>
      </c>
      <c r="B63" s="44" t="str">
        <f>'дод 3'!A32</f>
        <v>1110</v>
      </c>
      <c r="C63" s="44" t="str">
        <f>'дод 3'!B32</f>
        <v>0930</v>
      </c>
      <c r="D63" s="24" t="str">
        <f>'дод 3'!C32</f>
        <v>Підготовка кадрів закладами професійної (професійно-технічної) освіти та іншими закладами освіти</v>
      </c>
      <c r="E63" s="69">
        <f t="shared" si="18"/>
        <v>116807900</v>
      </c>
      <c r="F63" s="69">
        <f>116310900-341000+217000+621000</f>
        <v>116807900</v>
      </c>
      <c r="G63" s="69">
        <v>69744500</v>
      </c>
      <c r="H63" s="69">
        <f>11348217-341000</f>
        <v>11007217</v>
      </c>
      <c r="I63" s="69"/>
      <c r="J63" s="69">
        <f t="shared" si="20"/>
        <v>8079105</v>
      </c>
      <c r="K63" s="69"/>
      <c r="L63" s="69">
        <v>7974105</v>
      </c>
      <c r="M63" s="69">
        <v>2495573</v>
      </c>
      <c r="N63" s="69">
        <v>2976862</v>
      </c>
      <c r="O63" s="69">
        <v>105000</v>
      </c>
      <c r="P63" s="69">
        <f t="shared" si="19"/>
        <v>124887005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</row>
    <row r="64" spans="1:529" s="23" customFormat="1" ht="15.75" customHeight="1" x14ac:dyDescent="0.25">
      <c r="A64" s="43"/>
      <c r="B64" s="44"/>
      <c r="C64" s="44"/>
      <c r="D64" s="22" t="s">
        <v>308</v>
      </c>
      <c r="E64" s="69">
        <f t="shared" si="18"/>
        <v>17825000</v>
      </c>
      <c r="F64" s="69">
        <v>17825000</v>
      </c>
      <c r="G64" s="69">
        <v>14610650</v>
      </c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17825000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</row>
    <row r="65" spans="1:529" s="23" customFormat="1" ht="21.75" customHeight="1" x14ac:dyDescent="0.25">
      <c r="A65" s="43" t="s">
        <v>201</v>
      </c>
      <c r="B65" s="44" t="str">
        <f>'дод 3'!A34</f>
        <v>1150</v>
      </c>
      <c r="C65" s="44" t="str">
        <f>'дод 3'!B34</f>
        <v>0990</v>
      </c>
      <c r="D65" s="24" t="str">
        <f>'дод 3'!C34</f>
        <v>Методичне забезпечення діяльності закладів освіти</v>
      </c>
      <c r="E65" s="69">
        <f t="shared" si="18"/>
        <v>2893730</v>
      </c>
      <c r="F65" s="69">
        <v>2893730</v>
      </c>
      <c r="G65" s="69">
        <v>2237500</v>
      </c>
      <c r="H65" s="69">
        <v>120380</v>
      </c>
      <c r="I65" s="69"/>
      <c r="J65" s="69">
        <f t="shared" si="20"/>
        <v>0</v>
      </c>
      <c r="K65" s="69"/>
      <c r="L65" s="69"/>
      <c r="M65" s="69"/>
      <c r="N65" s="69"/>
      <c r="O65" s="69"/>
      <c r="P65" s="69">
        <f t="shared" si="19"/>
        <v>2893730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</row>
    <row r="66" spans="1:529" s="23" customFormat="1" ht="16.5" customHeight="1" x14ac:dyDescent="0.25">
      <c r="A66" s="43" t="s">
        <v>357</v>
      </c>
      <c r="B66" s="44" t="str">
        <f>'дод 3'!A35</f>
        <v>1161</v>
      </c>
      <c r="C66" s="44" t="str">
        <f>'дод 3'!B35</f>
        <v>0990</v>
      </c>
      <c r="D66" s="24" t="str">
        <f>'дод 3'!C35</f>
        <v>Забезпечення діяльності інших закладів у сфері освіти</v>
      </c>
      <c r="E66" s="69">
        <f t="shared" si="18"/>
        <v>9345170</v>
      </c>
      <c r="F66" s="69">
        <f>9333170+12000</f>
        <v>9345170</v>
      </c>
      <c r="G66" s="69">
        <v>6782550</v>
      </c>
      <c r="H66" s="69">
        <v>613500</v>
      </c>
      <c r="I66" s="69"/>
      <c r="J66" s="69">
        <f t="shared" si="20"/>
        <v>432000</v>
      </c>
      <c r="K66" s="69">
        <f>100000+200000+132000</f>
        <v>432000</v>
      </c>
      <c r="L66" s="69"/>
      <c r="M66" s="69"/>
      <c r="N66" s="69"/>
      <c r="O66" s="69">
        <f>100000+200000+132000</f>
        <v>432000</v>
      </c>
      <c r="P66" s="69">
        <f t="shared" si="19"/>
        <v>9777170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20.25" customHeight="1" x14ac:dyDescent="0.25">
      <c r="A67" s="43" t="s">
        <v>358</v>
      </c>
      <c r="B67" s="44" t="str">
        <f>'дод 3'!A36</f>
        <v>1162</v>
      </c>
      <c r="C67" s="44" t="str">
        <f>'дод 3'!B36</f>
        <v>0990</v>
      </c>
      <c r="D67" s="24" t="str">
        <f>'дод 3'!C36</f>
        <v>Інші програми та заходи у сфері освіти</v>
      </c>
      <c r="E67" s="69">
        <f t="shared" si="18"/>
        <v>107400</v>
      </c>
      <c r="F67" s="69">
        <v>107400</v>
      </c>
      <c r="G67" s="69"/>
      <c r="H67" s="69"/>
      <c r="I67" s="69"/>
      <c r="J67" s="69">
        <f t="shared" si="20"/>
        <v>0</v>
      </c>
      <c r="K67" s="69"/>
      <c r="L67" s="69"/>
      <c r="M67" s="69"/>
      <c r="N67" s="69"/>
      <c r="O67" s="69"/>
      <c r="P67" s="69">
        <f t="shared" si="19"/>
        <v>107400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x14ac:dyDescent="0.25">
      <c r="A68" s="43" t="s">
        <v>395</v>
      </c>
      <c r="B68" s="44">
        <v>1170</v>
      </c>
      <c r="C68" s="44" t="s">
        <v>75</v>
      </c>
      <c r="D68" s="22" t="str">
        <f>'дод 3'!C37</f>
        <v>Забезпечення діяльності інклюзивно-ресурсних центрів</v>
      </c>
      <c r="E68" s="69">
        <f t="shared" si="18"/>
        <v>1627940</v>
      </c>
      <c r="F68" s="69">
        <v>1627940</v>
      </c>
      <c r="G68" s="69">
        <v>1224320</v>
      </c>
      <c r="H68" s="69">
        <v>81470</v>
      </c>
      <c r="I68" s="69"/>
      <c r="J68" s="69">
        <f t="shared" si="20"/>
        <v>0</v>
      </c>
      <c r="K68" s="69"/>
      <c r="L68" s="69"/>
      <c r="M68" s="69"/>
      <c r="N68" s="69"/>
      <c r="O68" s="69"/>
      <c r="P68" s="69">
        <f t="shared" si="19"/>
        <v>1627940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x14ac:dyDescent="0.25">
      <c r="A69" s="43"/>
      <c r="B69" s="44"/>
      <c r="C69" s="44"/>
      <c r="D69" s="22" t="s">
        <v>308</v>
      </c>
      <c r="E69" s="69">
        <f t="shared" si="18"/>
        <v>1236370</v>
      </c>
      <c r="F69" s="69">
        <v>1236370</v>
      </c>
      <c r="G69" s="69">
        <v>1013420</v>
      </c>
      <c r="H69" s="69"/>
      <c r="I69" s="69"/>
      <c r="J69" s="69"/>
      <c r="K69" s="69"/>
      <c r="L69" s="69"/>
      <c r="M69" s="69"/>
      <c r="N69" s="69"/>
      <c r="O69" s="69"/>
      <c r="P69" s="69">
        <f t="shared" si="19"/>
        <v>1236370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3" customFormat="1" ht="64.5" customHeight="1" x14ac:dyDescent="0.25">
      <c r="A70" s="43" t="s">
        <v>202</v>
      </c>
      <c r="B70" s="44" t="str">
        <f>'дод 3'!A65</f>
        <v>3140</v>
      </c>
      <c r="C70" s="44" t="str">
        <f>'дод 3'!B65</f>
        <v>1040</v>
      </c>
      <c r="D70" s="24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0" s="69">
        <f t="shared" si="18"/>
        <v>7000000</v>
      </c>
      <c r="F70" s="69">
        <v>7000000</v>
      </c>
      <c r="G70" s="69"/>
      <c r="H70" s="69"/>
      <c r="I70" s="69"/>
      <c r="J70" s="69">
        <f t="shared" si="20"/>
        <v>0</v>
      </c>
      <c r="K70" s="69"/>
      <c r="L70" s="69"/>
      <c r="M70" s="69"/>
      <c r="N70" s="69"/>
      <c r="O70" s="69"/>
      <c r="P70" s="69">
        <f t="shared" si="19"/>
        <v>7000000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ht="31.5" customHeight="1" x14ac:dyDescent="0.25">
      <c r="A71" s="43" t="s">
        <v>374</v>
      </c>
      <c r="B71" s="44" t="str">
        <f>'дод 3'!A75</f>
        <v>3242</v>
      </c>
      <c r="C71" s="44" t="str">
        <f>'дод 3'!B75</f>
        <v>1090</v>
      </c>
      <c r="D71" s="24" t="str">
        <f>'дод 3'!C75</f>
        <v>Інші заходи у сфері соціального захисту і соціального забезпечення</v>
      </c>
      <c r="E71" s="69">
        <f t="shared" si="18"/>
        <v>52490</v>
      </c>
      <c r="F71" s="69">
        <v>52490</v>
      </c>
      <c r="G71" s="69"/>
      <c r="H71" s="69"/>
      <c r="I71" s="69"/>
      <c r="J71" s="69">
        <f t="shared" si="20"/>
        <v>0</v>
      </c>
      <c r="K71" s="69"/>
      <c r="L71" s="69"/>
      <c r="M71" s="69"/>
      <c r="N71" s="69"/>
      <c r="O71" s="69"/>
      <c r="P71" s="69">
        <f t="shared" si="19"/>
        <v>52490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3" customFormat="1" ht="33" customHeight="1" x14ac:dyDescent="0.25">
      <c r="A72" s="43" t="s">
        <v>203</v>
      </c>
      <c r="B72" s="44" t="str">
        <f>'дод 3'!A84</f>
        <v>5031</v>
      </c>
      <c r="C72" s="44" t="str">
        <f>'дод 3'!B84</f>
        <v>0810</v>
      </c>
      <c r="D72" s="24" t="str">
        <f>'дод 3'!C84</f>
        <v>Утримання та навчально-тренувальна робота комунальних дитячо-юнацьких спортивних шкіл</v>
      </c>
      <c r="E72" s="69">
        <f t="shared" si="18"/>
        <v>6787500</v>
      </c>
      <c r="F72" s="69">
        <f>6725500+60000+2000</f>
        <v>6787500</v>
      </c>
      <c r="G72" s="69">
        <v>5086600</v>
      </c>
      <c r="H72" s="69">
        <v>240700</v>
      </c>
      <c r="I72" s="69"/>
      <c r="J72" s="69">
        <f t="shared" si="20"/>
        <v>750000</v>
      </c>
      <c r="K72" s="69">
        <f>550000+200000</f>
        <v>750000</v>
      </c>
      <c r="L72" s="69"/>
      <c r="M72" s="69"/>
      <c r="N72" s="69"/>
      <c r="O72" s="69">
        <f>550000+200000</f>
        <v>750000</v>
      </c>
      <c r="P72" s="69">
        <f t="shared" si="19"/>
        <v>7537500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</row>
    <row r="73" spans="1:529" s="23" customFormat="1" ht="45.75" customHeight="1" x14ac:dyDescent="0.25">
      <c r="A73" s="43" t="s">
        <v>439</v>
      </c>
      <c r="B73" s="44">
        <v>7363</v>
      </c>
      <c r="C73" s="117" t="s">
        <v>102</v>
      </c>
      <c r="D73" s="118" t="s">
        <v>438</v>
      </c>
      <c r="E73" s="69">
        <f t="shared" si="18"/>
        <v>0</v>
      </c>
      <c r="F73" s="69"/>
      <c r="G73" s="69"/>
      <c r="H73" s="69"/>
      <c r="I73" s="69"/>
      <c r="J73" s="69">
        <f t="shared" si="20"/>
        <v>257580.90999999997</v>
      </c>
      <c r="K73" s="69">
        <f>7502.36+250078.55</f>
        <v>257580.90999999997</v>
      </c>
      <c r="L73" s="69"/>
      <c r="M73" s="69"/>
      <c r="N73" s="69"/>
      <c r="O73" s="69">
        <f>7502.36+250078.55</f>
        <v>257580.90999999997</v>
      </c>
      <c r="P73" s="69">
        <f t="shared" si="19"/>
        <v>257580.90999999997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3" customFormat="1" x14ac:dyDescent="0.25">
      <c r="A74" s="43"/>
      <c r="B74" s="44"/>
      <c r="C74" s="44"/>
      <c r="D74" s="22" t="s">
        <v>308</v>
      </c>
      <c r="E74" s="69">
        <f t="shared" ref="E74" si="21">F74+I74</f>
        <v>0</v>
      </c>
      <c r="F74" s="69"/>
      <c r="G74" s="69"/>
      <c r="H74" s="69"/>
      <c r="I74" s="69"/>
      <c r="J74" s="69">
        <f t="shared" ref="J74" si="22">L74+O74</f>
        <v>250078.55</v>
      </c>
      <c r="K74" s="69">
        <v>250078.55</v>
      </c>
      <c r="L74" s="69"/>
      <c r="M74" s="69"/>
      <c r="N74" s="69"/>
      <c r="O74" s="69">
        <v>250078.55</v>
      </c>
      <c r="P74" s="69">
        <f t="shared" si="19"/>
        <v>250078.55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</row>
    <row r="75" spans="1:529" s="23" customFormat="1" ht="25.5" customHeight="1" x14ac:dyDescent="0.25">
      <c r="A75" s="43" t="s">
        <v>204</v>
      </c>
      <c r="B75" s="44" t="str">
        <f>'дод 3'!A124</f>
        <v>7640</v>
      </c>
      <c r="C75" s="44" t="str">
        <f>'дод 3'!B124</f>
        <v>0470</v>
      </c>
      <c r="D75" s="24" t="str">
        <f>'дод 3'!C124</f>
        <v>Заходи з енергозбереження</v>
      </c>
      <c r="E75" s="69">
        <f t="shared" si="18"/>
        <v>578800</v>
      </c>
      <c r="F75" s="69">
        <v>578800</v>
      </c>
      <c r="G75" s="69"/>
      <c r="H75" s="69"/>
      <c r="I75" s="69"/>
      <c r="J75" s="69">
        <f t="shared" si="20"/>
        <v>2993200</v>
      </c>
      <c r="K75" s="69">
        <v>2993200</v>
      </c>
      <c r="L75" s="69"/>
      <c r="M75" s="69"/>
      <c r="N75" s="69"/>
      <c r="O75" s="69">
        <v>2993200</v>
      </c>
      <c r="P75" s="69">
        <f t="shared" si="19"/>
        <v>3572000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</row>
    <row r="76" spans="1:529" s="23" customFormat="1" ht="27" customHeight="1" x14ac:dyDescent="0.25">
      <c r="A76" s="43" t="s">
        <v>205</v>
      </c>
      <c r="B76" s="44" t="str">
        <f>'дод 3'!A141</f>
        <v>8340</v>
      </c>
      <c r="C76" s="44" t="str">
        <f>'дод 3'!B141</f>
        <v>0540</v>
      </c>
      <c r="D76" s="24" t="str">
        <f>'дод 3'!C141</f>
        <v>Природоохоронні заходи за рахунок цільових фондів</v>
      </c>
      <c r="E76" s="69">
        <f t="shared" si="18"/>
        <v>0</v>
      </c>
      <c r="F76" s="69"/>
      <c r="G76" s="69"/>
      <c r="H76" s="69"/>
      <c r="I76" s="69"/>
      <c r="J76" s="69">
        <f t="shared" si="20"/>
        <v>400000</v>
      </c>
      <c r="K76" s="69"/>
      <c r="L76" s="69">
        <f>306000+10000</f>
        <v>316000</v>
      </c>
      <c r="M76" s="69"/>
      <c r="N76" s="69"/>
      <c r="O76" s="69">
        <v>84000</v>
      </c>
      <c r="P76" s="69">
        <f t="shared" si="19"/>
        <v>400000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</row>
    <row r="77" spans="1:529" s="23" customFormat="1" ht="48.75" customHeight="1" x14ac:dyDescent="0.25">
      <c r="A77" s="43" t="s">
        <v>440</v>
      </c>
      <c r="B77" s="44">
        <v>9800</v>
      </c>
      <c r="C77" s="45" t="s">
        <v>59</v>
      </c>
      <c r="D77" s="119" t="s">
        <v>441</v>
      </c>
      <c r="E77" s="69">
        <f t="shared" si="18"/>
        <v>84885</v>
      </c>
      <c r="F77" s="69">
        <v>84885</v>
      </c>
      <c r="G77" s="69"/>
      <c r="H77" s="69"/>
      <c r="I77" s="69"/>
      <c r="J77" s="69">
        <f t="shared" si="20"/>
        <v>0</v>
      </c>
      <c r="K77" s="69"/>
      <c r="L77" s="69"/>
      <c r="M77" s="69"/>
      <c r="N77" s="69"/>
      <c r="O77" s="69"/>
      <c r="P77" s="69">
        <f t="shared" si="19"/>
        <v>84885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</row>
    <row r="78" spans="1:529" s="31" customFormat="1" ht="21" customHeight="1" x14ac:dyDescent="0.2">
      <c r="A78" s="76" t="s">
        <v>206</v>
      </c>
      <c r="B78" s="74"/>
      <c r="C78" s="74"/>
      <c r="D78" s="30" t="s">
        <v>36</v>
      </c>
      <c r="E78" s="66">
        <f>E79</f>
        <v>235910211</v>
      </c>
      <c r="F78" s="66">
        <f t="shared" ref="F78:P78" si="23">F79</f>
        <v>235711211</v>
      </c>
      <c r="G78" s="66">
        <f t="shared" si="23"/>
        <v>1641400</v>
      </c>
      <c r="H78" s="66">
        <f t="shared" si="23"/>
        <v>35400</v>
      </c>
      <c r="I78" s="66">
        <f t="shared" si="23"/>
        <v>199000</v>
      </c>
      <c r="J78" s="66">
        <f t="shared" si="23"/>
        <v>97305074</v>
      </c>
      <c r="K78" s="66">
        <f t="shared" si="23"/>
        <v>96420074</v>
      </c>
      <c r="L78" s="66">
        <f t="shared" si="23"/>
        <v>0</v>
      </c>
      <c r="M78" s="66">
        <f t="shared" si="23"/>
        <v>0</v>
      </c>
      <c r="N78" s="66">
        <f t="shared" si="23"/>
        <v>0</v>
      </c>
      <c r="O78" s="66">
        <f t="shared" si="23"/>
        <v>97305074</v>
      </c>
      <c r="P78" s="66">
        <f t="shared" si="23"/>
        <v>333215285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</row>
    <row r="79" spans="1:529" s="40" customFormat="1" ht="18.75" customHeight="1" x14ac:dyDescent="0.25">
      <c r="A79" s="77" t="s">
        <v>207</v>
      </c>
      <c r="B79" s="75"/>
      <c r="C79" s="75"/>
      <c r="D79" s="33" t="s">
        <v>36</v>
      </c>
      <c r="E79" s="68">
        <f>E81+E82+E84+E86+E88+E89+E91+E92+E93+E94+E95</f>
        <v>235910211</v>
      </c>
      <c r="F79" s="68">
        <f t="shared" ref="F79:P79" si="24">F81+F82+F84+F86+F88+F89+F91+F92+F93+F94+F95</f>
        <v>235711211</v>
      </c>
      <c r="G79" s="68">
        <f t="shared" si="24"/>
        <v>1641400</v>
      </c>
      <c r="H79" s="68">
        <f t="shared" si="24"/>
        <v>35400</v>
      </c>
      <c r="I79" s="68">
        <f t="shared" si="24"/>
        <v>199000</v>
      </c>
      <c r="J79" s="68">
        <f t="shared" si="24"/>
        <v>97305074</v>
      </c>
      <c r="K79" s="68">
        <f t="shared" si="24"/>
        <v>96420074</v>
      </c>
      <c r="L79" s="68">
        <f t="shared" si="24"/>
        <v>0</v>
      </c>
      <c r="M79" s="68">
        <f t="shared" si="24"/>
        <v>0</v>
      </c>
      <c r="N79" s="68">
        <f t="shared" si="24"/>
        <v>0</v>
      </c>
      <c r="O79" s="68">
        <f t="shared" si="24"/>
        <v>97305074</v>
      </c>
      <c r="P79" s="68">
        <f t="shared" si="24"/>
        <v>333215285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</row>
    <row r="80" spans="1:529" s="40" customFormat="1" ht="18.75" customHeight="1" x14ac:dyDescent="0.25">
      <c r="A80" s="77"/>
      <c r="B80" s="75"/>
      <c r="C80" s="75"/>
      <c r="D80" s="33" t="s">
        <v>308</v>
      </c>
      <c r="E80" s="68">
        <f>E83+E85+E87+E90</f>
        <v>57157811</v>
      </c>
      <c r="F80" s="68">
        <f t="shared" ref="F80:P80" si="25">F83+F85+F87+F90</f>
        <v>57157811</v>
      </c>
      <c r="G80" s="68">
        <f t="shared" si="25"/>
        <v>0</v>
      </c>
      <c r="H80" s="68">
        <f t="shared" si="25"/>
        <v>0</v>
      </c>
      <c r="I80" s="68">
        <f t="shared" si="25"/>
        <v>0</v>
      </c>
      <c r="J80" s="68">
        <f t="shared" si="25"/>
        <v>0</v>
      </c>
      <c r="K80" s="68">
        <f t="shared" si="25"/>
        <v>0</v>
      </c>
      <c r="L80" s="68">
        <f t="shared" si="25"/>
        <v>0</v>
      </c>
      <c r="M80" s="68">
        <f t="shared" si="25"/>
        <v>0</v>
      </c>
      <c r="N80" s="68">
        <f t="shared" si="25"/>
        <v>0</v>
      </c>
      <c r="O80" s="68">
        <f t="shared" si="25"/>
        <v>0</v>
      </c>
      <c r="P80" s="68">
        <f t="shared" si="25"/>
        <v>57157811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</row>
    <row r="81" spans="1:529" s="23" customFormat="1" ht="50.25" customHeight="1" x14ac:dyDescent="0.25">
      <c r="A81" s="43" t="s">
        <v>208</v>
      </c>
      <c r="B81" s="44" t="str">
        <f>'дод 3'!A20</f>
        <v>0160</v>
      </c>
      <c r="C81" s="44" t="str">
        <f>'дод 3'!B20</f>
        <v>0111</v>
      </c>
      <c r="D81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81" s="69">
        <f t="shared" ref="E81:E95" si="26">F81+I81</f>
        <v>2351000</v>
      </c>
      <c r="F81" s="69">
        <f>2218500+30000+3500-97800+196800</f>
        <v>2351000</v>
      </c>
      <c r="G81" s="69">
        <f>1721600-80200</f>
        <v>1641400</v>
      </c>
      <c r="H81" s="69">
        <v>35400</v>
      </c>
      <c r="I81" s="69"/>
      <c r="J81" s="69">
        <f>L81+O81</f>
        <v>0</v>
      </c>
      <c r="K81" s="69"/>
      <c r="L81" s="69"/>
      <c r="M81" s="69"/>
      <c r="N81" s="69"/>
      <c r="O81" s="69"/>
      <c r="P81" s="69">
        <f t="shared" ref="P81:P95" si="27">E81+J81</f>
        <v>2351000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</row>
    <row r="82" spans="1:529" s="23" customFormat="1" ht="14.25" customHeight="1" x14ac:dyDescent="0.25">
      <c r="A82" s="43" t="s">
        <v>209</v>
      </c>
      <c r="B82" s="44" t="str">
        <f>'дод 3'!A41</f>
        <v>2010</v>
      </c>
      <c r="C82" s="44" t="str">
        <f>'дод 3'!B41</f>
        <v>0731</v>
      </c>
      <c r="D82" s="24" t="str">
        <f>'дод 3'!C41</f>
        <v>Багатопрофільна стаціонарна медична допомога населенню</v>
      </c>
      <c r="E82" s="69">
        <f t="shared" si="26"/>
        <v>119979491</v>
      </c>
      <c r="F82" s="69">
        <f>118457491+150000+717000-100000+30000+725000</f>
        <v>119979491</v>
      </c>
      <c r="G82" s="69"/>
      <c r="H82" s="69"/>
      <c r="I82" s="71"/>
      <c r="J82" s="69">
        <f t="shared" ref="J82:J95" si="28">L82+O82</f>
        <v>39265500</v>
      </c>
      <c r="K82" s="69">
        <f>27530000+1100000+1606500-3000000+1500000+10000000+6000000+75000+10000000+454000-16000000</f>
        <v>39265500</v>
      </c>
      <c r="L82" s="69"/>
      <c r="M82" s="69"/>
      <c r="N82" s="69"/>
      <c r="O82" s="69">
        <f>27530000+1100000+1606500-3000000+1500000+10000000+6000000+75000+10000000+454000-16000000</f>
        <v>39265500</v>
      </c>
      <c r="P82" s="69">
        <f t="shared" si="27"/>
        <v>159244991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17.25" customHeight="1" x14ac:dyDescent="0.25">
      <c r="A83" s="43"/>
      <c r="B83" s="44"/>
      <c r="C83" s="44"/>
      <c r="D83" s="22" t="s">
        <v>308</v>
      </c>
      <c r="E83" s="69">
        <f t="shared" si="26"/>
        <v>48187871</v>
      </c>
      <c r="F83" s="69">
        <f>45209900+2680300+147671+150000</f>
        <v>48187871</v>
      </c>
      <c r="G83" s="69"/>
      <c r="H83" s="69"/>
      <c r="I83" s="71"/>
      <c r="J83" s="69">
        <f t="shared" si="28"/>
        <v>0</v>
      </c>
      <c r="K83" s="69"/>
      <c r="L83" s="69"/>
      <c r="M83" s="69"/>
      <c r="N83" s="69"/>
      <c r="O83" s="69"/>
      <c r="P83" s="69">
        <f t="shared" si="27"/>
        <v>48187871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36.75" customHeight="1" x14ac:dyDescent="0.25">
      <c r="A84" s="43" t="s">
        <v>214</v>
      </c>
      <c r="B84" s="44" t="str">
        <f>'дод 3'!A43</f>
        <v>2030</v>
      </c>
      <c r="C84" s="44" t="str">
        <f>'дод 3'!B43</f>
        <v>0733</v>
      </c>
      <c r="D84" s="24" t="str">
        <f>'дод 3'!C43</f>
        <v>Лікарсько-акушерська допомога вагітним, породіллям та новонародженим</v>
      </c>
      <c r="E84" s="69">
        <f t="shared" si="26"/>
        <v>15420473</v>
      </c>
      <c r="F84" s="69">
        <f>15275473+50000+95000</f>
        <v>15420473</v>
      </c>
      <c r="G84" s="71"/>
      <c r="H84" s="71"/>
      <c r="I84" s="71"/>
      <c r="J84" s="69">
        <f t="shared" si="28"/>
        <v>15040600</v>
      </c>
      <c r="K84" s="69">
        <v>15040600</v>
      </c>
      <c r="L84" s="69"/>
      <c r="M84" s="69"/>
      <c r="N84" s="69"/>
      <c r="O84" s="69">
        <v>15040600</v>
      </c>
      <c r="P84" s="69">
        <f t="shared" si="27"/>
        <v>30461073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16.5" customHeight="1" x14ac:dyDescent="0.25">
      <c r="A85" s="43"/>
      <c r="B85" s="44"/>
      <c r="C85" s="44"/>
      <c r="D85" s="22" t="s">
        <v>308</v>
      </c>
      <c r="E85" s="69">
        <f t="shared" si="26"/>
        <v>6347600</v>
      </c>
      <c r="F85" s="69">
        <v>6347600</v>
      </c>
      <c r="G85" s="71"/>
      <c r="H85" s="71"/>
      <c r="I85" s="71"/>
      <c r="J85" s="69">
        <f t="shared" si="28"/>
        <v>0</v>
      </c>
      <c r="K85" s="69"/>
      <c r="L85" s="69"/>
      <c r="M85" s="69"/>
      <c r="N85" s="69"/>
      <c r="O85" s="69"/>
      <c r="P85" s="69">
        <f t="shared" si="27"/>
        <v>6347600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24" customHeight="1" x14ac:dyDescent="0.25">
      <c r="A86" s="43" t="s">
        <v>213</v>
      </c>
      <c r="B86" s="44" t="str">
        <f>'дод 3'!A45</f>
        <v>2100</v>
      </c>
      <c r="C86" s="44" t="str">
        <f>'дод 3'!B45</f>
        <v>0722</v>
      </c>
      <c r="D86" s="24" t="str">
        <f>'дод 3'!C45</f>
        <v>Стоматологічна допомога населенню</v>
      </c>
      <c r="E86" s="69">
        <f t="shared" si="26"/>
        <v>6663426</v>
      </c>
      <c r="F86" s="69">
        <v>6663426</v>
      </c>
      <c r="G86" s="71"/>
      <c r="H86" s="71"/>
      <c r="I86" s="71"/>
      <c r="J86" s="69">
        <f t="shared" si="28"/>
        <v>1130000</v>
      </c>
      <c r="K86" s="69">
        <f>1210600-80600</f>
        <v>1130000</v>
      </c>
      <c r="L86" s="69"/>
      <c r="M86" s="69"/>
      <c r="N86" s="69"/>
      <c r="O86" s="69">
        <f>1210600-80600</f>
        <v>1130000</v>
      </c>
      <c r="P86" s="69">
        <f t="shared" si="27"/>
        <v>7793426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5" customHeight="1" x14ac:dyDescent="0.25">
      <c r="A87" s="43"/>
      <c r="B87" s="44"/>
      <c r="C87" s="44"/>
      <c r="D87" s="22" t="s">
        <v>308</v>
      </c>
      <c r="E87" s="69">
        <f t="shared" si="26"/>
        <v>1132200</v>
      </c>
      <c r="F87" s="69">
        <v>1132200</v>
      </c>
      <c r="G87" s="71"/>
      <c r="H87" s="71"/>
      <c r="I87" s="71"/>
      <c r="J87" s="69">
        <f t="shared" si="28"/>
        <v>0</v>
      </c>
      <c r="K87" s="69"/>
      <c r="L87" s="69"/>
      <c r="M87" s="69"/>
      <c r="N87" s="69"/>
      <c r="O87" s="69"/>
      <c r="P87" s="69">
        <f t="shared" si="27"/>
        <v>1132200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40.5" customHeight="1" x14ac:dyDescent="0.25">
      <c r="A88" s="43" t="s">
        <v>212</v>
      </c>
      <c r="B88" s="44" t="str">
        <f>'дод 3'!A47</f>
        <v>2111</v>
      </c>
      <c r="C88" s="44" t="str">
        <f>'дод 3'!B47</f>
        <v>0726</v>
      </c>
      <c r="D88" s="24" t="str">
        <f>'дод 3'!C47</f>
        <v>Первинна медична допомога населенню, що надається центрами первинної медичної (медико-санітарної) допомоги</v>
      </c>
      <c r="E88" s="69">
        <f t="shared" si="26"/>
        <v>1882468</v>
      </c>
      <c r="F88" s="69">
        <f>1672468+173000+25000+12000</f>
        <v>1882468</v>
      </c>
      <c r="G88" s="71"/>
      <c r="H88" s="71"/>
      <c r="I88" s="71"/>
      <c r="J88" s="69">
        <f t="shared" si="28"/>
        <v>0</v>
      </c>
      <c r="K88" s="69"/>
      <c r="L88" s="69"/>
      <c r="M88" s="69"/>
      <c r="N88" s="69"/>
      <c r="O88" s="69"/>
      <c r="P88" s="69">
        <f t="shared" si="27"/>
        <v>1882468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32.25" customHeight="1" x14ac:dyDescent="0.25">
      <c r="A89" s="43" t="s">
        <v>211</v>
      </c>
      <c r="B89" s="44">
        <f>'дод 3'!A48</f>
        <v>2144</v>
      </c>
      <c r="C89" s="44" t="str">
        <f>'дод 3'!B48</f>
        <v>0763</v>
      </c>
      <c r="D89" s="25" t="str">
        <f>'дод 3'!C48</f>
        <v>Централізовані заходи з лікування хворих на цукровий та нецукровий діабет</v>
      </c>
      <c r="E89" s="69">
        <f t="shared" si="26"/>
        <v>3090140</v>
      </c>
      <c r="F89" s="69">
        <f>2090140+1000000</f>
        <v>3090140</v>
      </c>
      <c r="G89" s="71"/>
      <c r="H89" s="71"/>
      <c r="I89" s="71"/>
      <c r="J89" s="69">
        <f t="shared" si="28"/>
        <v>0</v>
      </c>
      <c r="K89" s="69"/>
      <c r="L89" s="69"/>
      <c r="M89" s="69"/>
      <c r="N89" s="69"/>
      <c r="O89" s="69"/>
      <c r="P89" s="69">
        <f t="shared" si="27"/>
        <v>3090140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18.75" customHeight="1" x14ac:dyDescent="0.25">
      <c r="A90" s="43"/>
      <c r="B90" s="44"/>
      <c r="C90" s="44"/>
      <c r="D90" s="25" t="str">
        <f>'дод 3'!C49</f>
        <v>у т.ч. за рахунок субвенцій з держбюджету</v>
      </c>
      <c r="E90" s="69">
        <f t="shared" si="26"/>
        <v>1490140</v>
      </c>
      <c r="F90" s="69">
        <v>1490140</v>
      </c>
      <c r="G90" s="71"/>
      <c r="H90" s="71"/>
      <c r="I90" s="71"/>
      <c r="J90" s="69">
        <f t="shared" si="28"/>
        <v>0</v>
      </c>
      <c r="K90" s="69"/>
      <c r="L90" s="69"/>
      <c r="M90" s="69"/>
      <c r="N90" s="69"/>
      <c r="O90" s="69"/>
      <c r="P90" s="69">
        <f t="shared" si="27"/>
        <v>1490140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30" customHeight="1" x14ac:dyDescent="0.25">
      <c r="A91" s="43" t="s">
        <v>382</v>
      </c>
      <c r="B91" s="45" t="str">
        <f>'дод 3'!A50</f>
        <v>2151</v>
      </c>
      <c r="C91" s="45" t="str">
        <f>'дод 3'!B50</f>
        <v>0763</v>
      </c>
      <c r="D91" s="24" t="str">
        <f>'дод 3'!C50</f>
        <v>Забезпечення діяльності інших закладів у сфері охорони здоров’я</v>
      </c>
      <c r="E91" s="69">
        <f t="shared" si="26"/>
        <v>2894213</v>
      </c>
      <c r="F91" s="69">
        <v>2894213</v>
      </c>
      <c r="G91" s="71"/>
      <c r="H91" s="71"/>
      <c r="I91" s="71"/>
      <c r="J91" s="69">
        <f t="shared" si="28"/>
        <v>0</v>
      </c>
      <c r="K91" s="69"/>
      <c r="L91" s="69"/>
      <c r="M91" s="69"/>
      <c r="N91" s="69"/>
      <c r="O91" s="69"/>
      <c r="P91" s="69">
        <f t="shared" si="27"/>
        <v>2894213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24.75" customHeight="1" x14ac:dyDescent="0.25">
      <c r="A92" s="43" t="s">
        <v>383</v>
      </c>
      <c r="B92" s="45" t="str">
        <f>'дод 3'!A51</f>
        <v>2152</v>
      </c>
      <c r="C92" s="45" t="str">
        <f>'дод 3'!B51</f>
        <v>0763</v>
      </c>
      <c r="D92" s="22" t="str">
        <f>'дод 3'!C51</f>
        <v>Інші програми та заходи у сфері охорони здоров’я</v>
      </c>
      <c r="E92" s="69">
        <f t="shared" si="26"/>
        <v>83430000</v>
      </c>
      <c r="F92" s="69">
        <f>18815000+3000000+7000000+625000+63490000-8000000-1500000</f>
        <v>83430000</v>
      </c>
      <c r="G92" s="69"/>
      <c r="H92" s="69"/>
      <c r="I92" s="69"/>
      <c r="J92" s="69">
        <f t="shared" si="28"/>
        <v>16000000</v>
      </c>
      <c r="K92" s="69">
        <v>16000000</v>
      </c>
      <c r="L92" s="69"/>
      <c r="M92" s="69"/>
      <c r="N92" s="69"/>
      <c r="O92" s="69">
        <v>16000000</v>
      </c>
      <c r="P92" s="69">
        <f t="shared" si="27"/>
        <v>99430000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23" customFormat="1" ht="44.25" customHeight="1" x14ac:dyDescent="0.25">
      <c r="A93" s="43" t="s">
        <v>450</v>
      </c>
      <c r="B93" s="45">
        <f>'дод 3'!A109</f>
        <v>7361</v>
      </c>
      <c r="C93" s="45" t="str">
        <f>'дод 3'!B109</f>
        <v>0490</v>
      </c>
      <c r="D93" s="22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93" s="69">
        <f t="shared" si="26"/>
        <v>0</v>
      </c>
      <c r="F93" s="69"/>
      <c r="G93" s="69"/>
      <c r="H93" s="69"/>
      <c r="I93" s="69"/>
      <c r="J93" s="69">
        <f t="shared" si="28"/>
        <v>3000000</v>
      </c>
      <c r="K93" s="69">
        <v>3000000</v>
      </c>
      <c r="L93" s="69"/>
      <c r="M93" s="69"/>
      <c r="N93" s="69"/>
      <c r="O93" s="69">
        <v>3000000</v>
      </c>
      <c r="P93" s="69">
        <f t="shared" si="27"/>
        <v>3000000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18.75" customHeight="1" x14ac:dyDescent="0.25">
      <c r="A94" s="43" t="s">
        <v>210</v>
      </c>
      <c r="B94" s="44" t="str">
        <f>'дод 3'!A124</f>
        <v>7640</v>
      </c>
      <c r="C94" s="44" t="str">
        <f>'дод 3'!B124</f>
        <v>0470</v>
      </c>
      <c r="D94" s="24" t="str">
        <f>'дод 3'!C124</f>
        <v>Заходи з енергозбереження</v>
      </c>
      <c r="E94" s="69">
        <f t="shared" si="26"/>
        <v>199000</v>
      </c>
      <c r="F94" s="69"/>
      <c r="G94" s="69"/>
      <c r="H94" s="69"/>
      <c r="I94" s="69">
        <v>199000</v>
      </c>
      <c r="J94" s="69">
        <f t="shared" si="28"/>
        <v>21983974</v>
      </c>
      <c r="K94" s="69">
        <f>17559604+14714700-6500000+1200000-1100000+9670-1500000-2400000</f>
        <v>21983974</v>
      </c>
      <c r="L94" s="69"/>
      <c r="M94" s="69"/>
      <c r="N94" s="69"/>
      <c r="O94" s="69">
        <f>17559604+14714700-6500000+1200000-1100000+9670-1500000-2400000</f>
        <v>21983974</v>
      </c>
      <c r="P94" s="69">
        <f t="shared" si="27"/>
        <v>22182974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45" customHeight="1" x14ac:dyDescent="0.25">
      <c r="A95" s="43" t="s">
        <v>425</v>
      </c>
      <c r="B95" s="44">
        <v>7700</v>
      </c>
      <c r="C95" s="43" t="s">
        <v>113</v>
      </c>
      <c r="D95" s="24" t="s">
        <v>426</v>
      </c>
      <c r="E95" s="69">
        <f t="shared" si="26"/>
        <v>0</v>
      </c>
      <c r="F95" s="69"/>
      <c r="G95" s="69"/>
      <c r="H95" s="69"/>
      <c r="I95" s="69"/>
      <c r="J95" s="69">
        <f t="shared" si="28"/>
        <v>885000</v>
      </c>
      <c r="K95" s="69"/>
      <c r="L95" s="69"/>
      <c r="M95" s="69"/>
      <c r="N95" s="69"/>
      <c r="O95" s="69">
        <v>885000</v>
      </c>
      <c r="P95" s="69">
        <f t="shared" si="27"/>
        <v>885000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31" customFormat="1" ht="36" customHeight="1" x14ac:dyDescent="0.2">
      <c r="A96" s="76" t="s">
        <v>215</v>
      </c>
      <c r="B96" s="74"/>
      <c r="C96" s="74"/>
      <c r="D96" s="30" t="s">
        <v>51</v>
      </c>
      <c r="E96" s="66">
        <f>E97</f>
        <v>187909726.63</v>
      </c>
      <c r="F96" s="66">
        <f t="shared" ref="F96:J96" si="29">F97</f>
        <v>187909726.63</v>
      </c>
      <c r="G96" s="66">
        <f t="shared" si="29"/>
        <v>55579225</v>
      </c>
      <c r="H96" s="66">
        <f t="shared" si="29"/>
        <v>1574490</v>
      </c>
      <c r="I96" s="66">
        <f t="shared" si="29"/>
        <v>0</v>
      </c>
      <c r="J96" s="66">
        <f t="shared" si="29"/>
        <v>1267640</v>
      </c>
      <c r="K96" s="66">
        <f t="shared" ref="K96" si="30">K97</f>
        <v>1159540</v>
      </c>
      <c r="L96" s="66">
        <f t="shared" ref="L96" si="31">L97</f>
        <v>108100</v>
      </c>
      <c r="M96" s="66">
        <f t="shared" ref="M96" si="32">M97</f>
        <v>85100</v>
      </c>
      <c r="N96" s="66">
        <f t="shared" ref="N96" si="33">N97</f>
        <v>0</v>
      </c>
      <c r="O96" s="66">
        <f t="shared" ref="O96:P96" si="34">O97</f>
        <v>1159540</v>
      </c>
      <c r="P96" s="66">
        <f t="shared" si="34"/>
        <v>189177366.63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</row>
    <row r="97" spans="1:529" s="40" customFormat="1" ht="32.25" customHeight="1" x14ac:dyDescent="0.25">
      <c r="A97" s="77" t="s">
        <v>216</v>
      </c>
      <c r="B97" s="75"/>
      <c r="C97" s="75"/>
      <c r="D97" s="33" t="s">
        <v>51</v>
      </c>
      <c r="E97" s="68">
        <f>E98+E99+E100+E101+E102+E103+E104+E105+E106+E107+E108+E109+E110+E111+E112+E113+E114+E115+E116+E117</f>
        <v>187909726.63</v>
      </c>
      <c r="F97" s="68">
        <f t="shared" ref="F97:P97" si="35">F98+F99+F100+F101+F102+F103+F104+F105+F106+F107+F108+F109+F110+F111+F112+F113+F114+F115+F116+F117</f>
        <v>187909726.63</v>
      </c>
      <c r="G97" s="68">
        <f t="shared" si="35"/>
        <v>55579225</v>
      </c>
      <c r="H97" s="68">
        <f t="shared" si="35"/>
        <v>1574490</v>
      </c>
      <c r="I97" s="68">
        <f t="shared" si="35"/>
        <v>0</v>
      </c>
      <c r="J97" s="68">
        <f t="shared" si="35"/>
        <v>1267640</v>
      </c>
      <c r="K97" s="68">
        <f>K98+K99+K100+K101+K102+K103+K104+K105+K106+K107+K108+K109+K110+K111+K112+K113+K114+K115+K116+K117</f>
        <v>1159540</v>
      </c>
      <c r="L97" s="68">
        <f t="shared" si="35"/>
        <v>108100</v>
      </c>
      <c r="M97" s="68">
        <f t="shared" si="35"/>
        <v>85100</v>
      </c>
      <c r="N97" s="68">
        <f t="shared" si="35"/>
        <v>0</v>
      </c>
      <c r="O97" s="68">
        <f t="shared" si="35"/>
        <v>1159540</v>
      </c>
      <c r="P97" s="68">
        <f t="shared" si="35"/>
        <v>189177366.63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</row>
    <row r="98" spans="1:529" s="23" customFormat="1" ht="45.75" customHeight="1" x14ac:dyDescent="0.25">
      <c r="A98" s="43" t="s">
        <v>217</v>
      </c>
      <c r="B98" s="44" t="str">
        <f>'дод 3'!A20</f>
        <v>0160</v>
      </c>
      <c r="C98" s="44" t="str">
        <f>'дод 3'!B20</f>
        <v>0111</v>
      </c>
      <c r="D9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98" s="69">
        <f t="shared" ref="E98:E117" si="36">F98+I98</f>
        <v>53425100</v>
      </c>
      <c r="F98" s="69">
        <f>55432800+254000-2496600+234900</f>
        <v>53425100</v>
      </c>
      <c r="G98" s="69">
        <f>43728800-2046400</f>
        <v>41682400</v>
      </c>
      <c r="H98" s="69">
        <v>841800</v>
      </c>
      <c r="I98" s="69"/>
      <c r="J98" s="69">
        <f>L98+O98</f>
        <v>0</v>
      </c>
      <c r="K98" s="69"/>
      <c r="L98" s="69"/>
      <c r="M98" s="69"/>
      <c r="N98" s="69"/>
      <c r="O98" s="69"/>
      <c r="P98" s="69">
        <f t="shared" ref="P98:P117" si="37">E98+J98</f>
        <v>53425100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26" customFormat="1" ht="36" customHeight="1" x14ac:dyDescent="0.25">
      <c r="A99" s="43" t="s">
        <v>218</v>
      </c>
      <c r="B99" s="44" t="str">
        <f>'дод 3'!A53</f>
        <v>3031</v>
      </c>
      <c r="C99" s="44" t="str">
        <f>'дод 3'!B53</f>
        <v>1030</v>
      </c>
      <c r="D99" s="24" t="str">
        <f>'дод 3'!C53</f>
        <v>Надання інших пільг окремим категоріям громадян відповідно до законодавства</v>
      </c>
      <c r="E99" s="69">
        <f t="shared" si="36"/>
        <v>582400</v>
      </c>
      <c r="F99" s="69">
        <v>582400</v>
      </c>
      <c r="G99" s="69"/>
      <c r="H99" s="69"/>
      <c r="I99" s="69"/>
      <c r="J99" s="69">
        <f t="shared" ref="J99:J114" si="38">L99+O99</f>
        <v>0</v>
      </c>
      <c r="K99" s="69">
        <f>232600-190600-42000</f>
        <v>0</v>
      </c>
      <c r="L99" s="69"/>
      <c r="M99" s="69"/>
      <c r="N99" s="69"/>
      <c r="O99" s="69">
        <f>232600-190600-42000</f>
        <v>0</v>
      </c>
      <c r="P99" s="69">
        <f t="shared" si="37"/>
        <v>582400</v>
      </c>
    </row>
    <row r="100" spans="1:529" s="26" customFormat="1" ht="42.75" customHeight="1" x14ac:dyDescent="0.25">
      <c r="A100" s="43" t="s">
        <v>219</v>
      </c>
      <c r="B100" s="44" t="str">
        <f>'дод 3'!A54</f>
        <v>3032</v>
      </c>
      <c r="C100" s="44" t="str">
        <f>'дод 3'!B54</f>
        <v>1070</v>
      </c>
      <c r="D100" s="24" t="str">
        <f>'дод 3'!C54</f>
        <v>Надання пільг окремим категоріям громадян з оплати послуг зв'язку</v>
      </c>
      <c r="E100" s="69">
        <f t="shared" si="36"/>
        <v>1295124</v>
      </c>
      <c r="F100" s="69">
        <f>1300000-4876</f>
        <v>1295124</v>
      </c>
      <c r="G100" s="69"/>
      <c r="H100" s="69"/>
      <c r="I100" s="69"/>
      <c r="J100" s="69">
        <f t="shared" si="38"/>
        <v>0</v>
      </c>
      <c r="K100" s="69"/>
      <c r="L100" s="69"/>
      <c r="M100" s="69"/>
      <c r="N100" s="69"/>
      <c r="O100" s="69"/>
      <c r="P100" s="69">
        <f t="shared" si="37"/>
        <v>1295124</v>
      </c>
    </row>
    <row r="101" spans="1:529" s="26" customFormat="1" ht="51.75" customHeight="1" x14ac:dyDescent="0.25">
      <c r="A101" s="43" t="s">
        <v>413</v>
      </c>
      <c r="B101" s="44" t="str">
        <f>'дод 3'!A55</f>
        <v>3033</v>
      </c>
      <c r="C101" s="44" t="str">
        <f>'дод 3'!B55</f>
        <v>1070</v>
      </c>
      <c r="D101" s="24" t="str">
        <f>'дод 3'!C55</f>
        <v>Компенсаційні виплати на пільговий проїзд автомобільним транспортом окремим категоріям громадян</v>
      </c>
      <c r="E101" s="69">
        <f t="shared" si="36"/>
        <v>26821763.129999999</v>
      </c>
      <c r="F101" s="69">
        <f>24500000+97100+2184757.11+39906.02</f>
        <v>26821763.129999999</v>
      </c>
      <c r="G101" s="69"/>
      <c r="H101" s="69"/>
      <c r="I101" s="69"/>
      <c r="J101" s="69">
        <f t="shared" si="38"/>
        <v>0</v>
      </c>
      <c r="K101" s="69"/>
      <c r="L101" s="69"/>
      <c r="M101" s="69"/>
      <c r="N101" s="69"/>
      <c r="O101" s="69"/>
      <c r="P101" s="69">
        <f t="shared" si="37"/>
        <v>26821763.129999999</v>
      </c>
    </row>
    <row r="102" spans="1:529" s="26" customFormat="1" ht="30" x14ac:dyDescent="0.25">
      <c r="A102" s="43" t="s">
        <v>381</v>
      </c>
      <c r="B102" s="44" t="str">
        <f>'дод 3'!A56</f>
        <v>3035</v>
      </c>
      <c r="C102" s="44" t="str">
        <f>'дод 3'!B56</f>
        <v>1070</v>
      </c>
      <c r="D102" s="24" t="str">
        <f>'дод 3'!C56</f>
        <v>Компенсаційні виплати за пільговий проїзд окремих категорій громадян на залізничному транспорті</v>
      </c>
      <c r="E102" s="69">
        <f t="shared" si="36"/>
        <v>1000000</v>
      </c>
      <c r="F102" s="69">
        <v>1000000</v>
      </c>
      <c r="G102" s="69"/>
      <c r="H102" s="69"/>
      <c r="I102" s="69"/>
      <c r="J102" s="69">
        <f t="shared" si="38"/>
        <v>0</v>
      </c>
      <c r="K102" s="69"/>
      <c r="L102" s="69"/>
      <c r="M102" s="69"/>
      <c r="N102" s="69"/>
      <c r="O102" s="69"/>
      <c r="P102" s="69">
        <f t="shared" si="37"/>
        <v>1000000</v>
      </c>
    </row>
    <row r="103" spans="1:529" s="26" customFormat="1" ht="36" customHeight="1" x14ac:dyDescent="0.25">
      <c r="A103" s="43" t="s">
        <v>220</v>
      </c>
      <c r="B103" s="44" t="str">
        <f>'дод 3'!A57</f>
        <v>3036</v>
      </c>
      <c r="C103" s="44" t="str">
        <f>'дод 3'!B57</f>
        <v>1070</v>
      </c>
      <c r="D103" s="24" t="str">
        <f>'дод 3'!C57</f>
        <v>Компенсаційні виплати на пільговий проїзд електротранспортом окремим категоріям громадян</v>
      </c>
      <c r="E103" s="69">
        <f t="shared" si="36"/>
        <v>41277955.5</v>
      </c>
      <c r="F103" s="69">
        <f>39098112+1372388+807455.5</f>
        <v>41277955.5</v>
      </c>
      <c r="G103" s="69"/>
      <c r="H103" s="69"/>
      <c r="I103" s="69"/>
      <c r="J103" s="69">
        <f t="shared" si="38"/>
        <v>0</v>
      </c>
      <c r="K103" s="69"/>
      <c r="L103" s="69"/>
      <c r="M103" s="69"/>
      <c r="N103" s="69"/>
      <c r="O103" s="69"/>
      <c r="P103" s="69">
        <f t="shared" si="37"/>
        <v>41277955.5</v>
      </c>
    </row>
    <row r="104" spans="1:529" s="23" customFormat="1" ht="44.25" customHeight="1" x14ac:dyDescent="0.25">
      <c r="A104" s="43" t="s">
        <v>411</v>
      </c>
      <c r="B104" s="44" t="str">
        <f>'дод 3'!A58</f>
        <v>3050</v>
      </c>
      <c r="C104" s="44" t="str">
        <f>'дод 3'!B58</f>
        <v>1070</v>
      </c>
      <c r="D104" s="24" t="str">
        <f>'дод 3'!C58</f>
        <v>Пільгове медичне обслуговування осіб, які постраждали внаслідок Чорнобильської катастрофи</v>
      </c>
      <c r="E104" s="69">
        <f t="shared" si="36"/>
        <v>853000</v>
      </c>
      <c r="F104" s="69">
        <v>853000</v>
      </c>
      <c r="G104" s="69"/>
      <c r="H104" s="69"/>
      <c r="I104" s="69"/>
      <c r="J104" s="69">
        <f t="shared" si="38"/>
        <v>0</v>
      </c>
      <c r="K104" s="69"/>
      <c r="L104" s="69"/>
      <c r="M104" s="69"/>
      <c r="N104" s="69"/>
      <c r="O104" s="69"/>
      <c r="P104" s="69">
        <f t="shared" si="37"/>
        <v>853000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</row>
    <row r="105" spans="1:529" s="23" customFormat="1" ht="38.25" customHeight="1" x14ac:dyDescent="0.25">
      <c r="A105" s="43" t="s">
        <v>412</v>
      </c>
      <c r="B105" s="44" t="str">
        <f>'дод 3'!A59</f>
        <v>3090</v>
      </c>
      <c r="C105" s="44" t="str">
        <f>'дод 3'!B59</f>
        <v>1030</v>
      </c>
      <c r="D105" s="24" t="str">
        <f>'дод 3'!C59</f>
        <v>Видатки на поховання учасників бойових дій та осіб з інвалідністю внаслідок війни</v>
      </c>
      <c r="E105" s="69">
        <f t="shared" si="36"/>
        <v>228400</v>
      </c>
      <c r="F105" s="69">
        <v>228400</v>
      </c>
      <c r="G105" s="69"/>
      <c r="H105" s="69"/>
      <c r="I105" s="69"/>
      <c r="J105" s="69">
        <f t="shared" si="38"/>
        <v>0</v>
      </c>
      <c r="K105" s="69"/>
      <c r="L105" s="69"/>
      <c r="M105" s="69"/>
      <c r="N105" s="69"/>
      <c r="O105" s="69"/>
      <c r="P105" s="69">
        <f t="shared" si="37"/>
        <v>228400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</row>
    <row r="106" spans="1:529" s="23" customFormat="1" ht="60.75" customHeight="1" x14ac:dyDescent="0.25">
      <c r="A106" s="43" t="s">
        <v>221</v>
      </c>
      <c r="B106" s="44" t="str">
        <f>'дод 3'!A60</f>
        <v>3104</v>
      </c>
      <c r="C106" s="44" t="str">
        <f>'дод 3'!B60</f>
        <v>1020</v>
      </c>
      <c r="D106" s="24" t="str">
        <f>'дод 3'!C60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6" s="69">
        <f t="shared" si="36"/>
        <v>13559330</v>
      </c>
      <c r="F106" s="69">
        <f>13527630+2100+29600</f>
        <v>13559330</v>
      </c>
      <c r="G106" s="69">
        <v>10389550</v>
      </c>
      <c r="H106" s="69">
        <v>230060</v>
      </c>
      <c r="I106" s="69"/>
      <c r="J106" s="69">
        <f t="shared" si="38"/>
        <v>471000</v>
      </c>
      <c r="K106" s="69">
        <f>342900+20000</f>
        <v>362900</v>
      </c>
      <c r="L106" s="69">
        <v>108100</v>
      </c>
      <c r="M106" s="69">
        <v>85100</v>
      </c>
      <c r="N106" s="69"/>
      <c r="O106" s="69">
        <f>342900+20000</f>
        <v>362900</v>
      </c>
      <c r="P106" s="69">
        <f t="shared" si="37"/>
        <v>14030330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23" customFormat="1" ht="87" customHeight="1" x14ac:dyDescent="0.25">
      <c r="A107" s="43" t="s">
        <v>222</v>
      </c>
      <c r="B107" s="44" t="str">
        <f>'дод 3'!A66</f>
        <v>3160</v>
      </c>
      <c r="C107" s="44">
        <f>'дод 3'!B66</f>
        <v>1010</v>
      </c>
      <c r="D107" s="24" t="str">
        <f>'дод 3'!C66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7" s="69">
        <f t="shared" si="36"/>
        <v>1895000</v>
      </c>
      <c r="F107" s="69">
        <f>1911000-16000</f>
        <v>1895000</v>
      </c>
      <c r="G107" s="69"/>
      <c r="H107" s="69"/>
      <c r="I107" s="69"/>
      <c r="J107" s="69">
        <f t="shared" si="38"/>
        <v>0</v>
      </c>
      <c r="K107" s="69"/>
      <c r="L107" s="69"/>
      <c r="M107" s="69"/>
      <c r="N107" s="69"/>
      <c r="O107" s="69"/>
      <c r="P107" s="69">
        <f t="shared" si="37"/>
        <v>1895000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3" customFormat="1" ht="63.75" customHeight="1" x14ac:dyDescent="0.25">
      <c r="A108" s="43" t="s">
        <v>414</v>
      </c>
      <c r="B108" s="44" t="str">
        <f>'дод 3'!A67</f>
        <v>3171</v>
      </c>
      <c r="C108" s="44">
        <f>'дод 3'!B67</f>
        <v>1010</v>
      </c>
      <c r="D108" s="24" t="str">
        <f>'дод 3'!C67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8" s="69">
        <f t="shared" si="36"/>
        <v>228095</v>
      </c>
      <c r="F108" s="69">
        <v>228095</v>
      </c>
      <c r="G108" s="69"/>
      <c r="H108" s="69"/>
      <c r="I108" s="69"/>
      <c r="J108" s="69">
        <f t="shared" si="38"/>
        <v>0</v>
      </c>
      <c r="K108" s="69"/>
      <c r="L108" s="69"/>
      <c r="M108" s="69"/>
      <c r="N108" s="69"/>
      <c r="O108" s="69"/>
      <c r="P108" s="69">
        <f t="shared" si="37"/>
        <v>228095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</row>
    <row r="109" spans="1:529" s="23" customFormat="1" ht="43.5" customHeight="1" x14ac:dyDescent="0.25">
      <c r="A109" s="43" t="s">
        <v>415</v>
      </c>
      <c r="B109" s="44" t="str">
        <f>'дод 3'!A68</f>
        <v>3172</v>
      </c>
      <c r="C109" s="44">
        <f>'дод 3'!B68</f>
        <v>1010</v>
      </c>
      <c r="D109" s="24" t="str">
        <f>'дод 3'!C68</f>
        <v>Встановлення телефонів особам з інвалідністю I і II груп</v>
      </c>
      <c r="E109" s="69">
        <f t="shared" si="36"/>
        <v>90</v>
      </c>
      <c r="F109" s="69">
        <v>90</v>
      </c>
      <c r="G109" s="69"/>
      <c r="H109" s="69"/>
      <c r="I109" s="69"/>
      <c r="J109" s="69">
        <f t="shared" si="38"/>
        <v>0</v>
      </c>
      <c r="K109" s="69"/>
      <c r="L109" s="69"/>
      <c r="M109" s="69"/>
      <c r="N109" s="69"/>
      <c r="O109" s="69"/>
      <c r="P109" s="69">
        <f t="shared" si="37"/>
        <v>90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</row>
    <row r="110" spans="1:529" s="23" customFormat="1" ht="77.25" customHeight="1" x14ac:dyDescent="0.25">
      <c r="A110" s="43" t="s">
        <v>223</v>
      </c>
      <c r="B110" s="44" t="str">
        <f>'дод 3'!A69</f>
        <v>3180</v>
      </c>
      <c r="C110" s="44" t="str">
        <f>'дод 3'!B69</f>
        <v>1060</v>
      </c>
      <c r="D110" s="24" t="str">
        <f>'дод 3'!C69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0" s="69">
        <f t="shared" si="36"/>
        <v>2075000</v>
      </c>
      <c r="F110" s="69">
        <f>1876300+198700</f>
        <v>2075000</v>
      </c>
      <c r="G110" s="69"/>
      <c r="H110" s="69"/>
      <c r="I110" s="69"/>
      <c r="J110" s="69">
        <f t="shared" si="38"/>
        <v>0</v>
      </c>
      <c r="K110" s="69"/>
      <c r="L110" s="69"/>
      <c r="M110" s="69"/>
      <c r="N110" s="69"/>
      <c r="O110" s="69"/>
      <c r="P110" s="69">
        <f t="shared" si="37"/>
        <v>2075000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</row>
    <row r="111" spans="1:529" s="23" customFormat="1" ht="27" customHeight="1" x14ac:dyDescent="0.25">
      <c r="A111" s="43" t="s">
        <v>360</v>
      </c>
      <c r="B111" s="44" t="str">
        <f>'дод 3'!A70</f>
        <v>3191</v>
      </c>
      <c r="C111" s="44" t="str">
        <f>'дод 3'!B70</f>
        <v>1030</v>
      </c>
      <c r="D111" s="24" t="str">
        <f>'дод 3'!C70</f>
        <v>Інші видатки на соціальний захист ветеранів війни та праці</v>
      </c>
      <c r="E111" s="69">
        <f t="shared" si="36"/>
        <v>2178000</v>
      </c>
      <c r="F111" s="69">
        <v>2178000</v>
      </c>
      <c r="G111" s="69"/>
      <c r="H111" s="69"/>
      <c r="I111" s="69"/>
      <c r="J111" s="69">
        <f t="shared" si="38"/>
        <v>0</v>
      </c>
      <c r="K111" s="69"/>
      <c r="L111" s="69"/>
      <c r="M111" s="69"/>
      <c r="N111" s="69"/>
      <c r="O111" s="69"/>
      <c r="P111" s="69">
        <f t="shared" si="37"/>
        <v>2178000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45" x14ac:dyDescent="0.25">
      <c r="A112" s="43" t="s">
        <v>361</v>
      </c>
      <c r="B112" s="44" t="str">
        <f>'дод 3'!A71</f>
        <v>3192</v>
      </c>
      <c r="C112" s="44" t="str">
        <f>'дод 3'!B71</f>
        <v>1030</v>
      </c>
      <c r="D112" s="24" t="str">
        <f>'дод 3'!C71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2" s="69">
        <f t="shared" si="36"/>
        <v>1892237</v>
      </c>
      <c r="F112" s="69">
        <f>1478776+413461</f>
        <v>1892237</v>
      </c>
      <c r="G112" s="69"/>
      <c r="H112" s="69"/>
      <c r="I112" s="69"/>
      <c r="J112" s="69">
        <f t="shared" si="38"/>
        <v>0</v>
      </c>
      <c r="K112" s="69"/>
      <c r="L112" s="69"/>
      <c r="M112" s="69"/>
      <c r="N112" s="69"/>
      <c r="O112" s="69"/>
      <c r="P112" s="69">
        <f t="shared" si="37"/>
        <v>1892237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3" customFormat="1" ht="41.25" customHeight="1" x14ac:dyDescent="0.25">
      <c r="A113" s="43" t="s">
        <v>224</v>
      </c>
      <c r="B113" s="44" t="str">
        <f>'дод 3'!A72</f>
        <v>3200</v>
      </c>
      <c r="C113" s="44" t="str">
        <f>'дод 3'!B72</f>
        <v>1090</v>
      </c>
      <c r="D113" s="24" t="str">
        <f>'дод 3'!C72</f>
        <v>Забезпечення обробки інформації з нарахування та виплати допомог і компенсацій</v>
      </c>
      <c r="E113" s="69">
        <f t="shared" si="36"/>
        <v>86500</v>
      </c>
      <c r="F113" s="69">
        <v>86500</v>
      </c>
      <c r="G113" s="69"/>
      <c r="H113" s="69"/>
      <c r="I113" s="69"/>
      <c r="J113" s="69">
        <f t="shared" si="38"/>
        <v>0</v>
      </c>
      <c r="K113" s="69"/>
      <c r="L113" s="69"/>
      <c r="M113" s="69"/>
      <c r="N113" s="69"/>
      <c r="O113" s="69"/>
      <c r="P113" s="69">
        <f t="shared" si="37"/>
        <v>86500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19.5" customHeight="1" x14ac:dyDescent="0.25">
      <c r="A114" s="52" t="s">
        <v>362</v>
      </c>
      <c r="B114" s="45" t="str">
        <f>'дод 3'!A73</f>
        <v>3210</v>
      </c>
      <c r="C114" s="45" t="str">
        <f>'дод 3'!B73</f>
        <v>1050</v>
      </c>
      <c r="D114" s="22" t="str">
        <f>'дод 3'!C73</f>
        <v>Організація та проведення громадських робіт</v>
      </c>
      <c r="E114" s="69">
        <f t="shared" si="36"/>
        <v>200000</v>
      </c>
      <c r="F114" s="69">
        <v>200000</v>
      </c>
      <c r="G114" s="69">
        <v>163935</v>
      </c>
      <c r="H114" s="69"/>
      <c r="I114" s="69"/>
      <c r="J114" s="69">
        <f t="shared" si="38"/>
        <v>0</v>
      </c>
      <c r="K114" s="69"/>
      <c r="L114" s="69"/>
      <c r="M114" s="69"/>
      <c r="N114" s="69"/>
      <c r="O114" s="69"/>
      <c r="P114" s="69">
        <f t="shared" si="37"/>
        <v>200000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3" customFormat="1" ht="31.5" customHeight="1" x14ac:dyDescent="0.25">
      <c r="A115" s="43" t="s">
        <v>359</v>
      </c>
      <c r="B115" s="44" t="str">
        <f>'дод 3'!A74</f>
        <v>3241</v>
      </c>
      <c r="C115" s="44" t="str">
        <f>'дод 3'!B74</f>
        <v>1090</v>
      </c>
      <c r="D115" s="24" t="str">
        <f>'дод 3'!C74</f>
        <v>Забезпечення діяльності інших закладів у сфері соціального захисту і соціального забезпечення</v>
      </c>
      <c r="E115" s="69">
        <f t="shared" si="36"/>
        <v>5497906</v>
      </c>
      <c r="F115" s="69">
        <f>5445830+31200-41000+61876</f>
        <v>5497906</v>
      </c>
      <c r="G115" s="69">
        <v>3343340</v>
      </c>
      <c r="H115" s="69">
        <f>543630-41000</f>
        <v>502630</v>
      </c>
      <c r="I115" s="69"/>
      <c r="J115" s="69">
        <f t="shared" ref="J115:J117" si="39">L115+O115</f>
        <v>761000</v>
      </c>
      <c r="K115" s="69">
        <f>200000+500000+40000+21000</f>
        <v>761000</v>
      </c>
      <c r="L115" s="69"/>
      <c r="M115" s="69"/>
      <c r="N115" s="69"/>
      <c r="O115" s="69">
        <f>200000+500000+40000+21000</f>
        <v>761000</v>
      </c>
      <c r="P115" s="69">
        <f t="shared" si="37"/>
        <v>6258906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3" customFormat="1" ht="33" customHeight="1" x14ac:dyDescent="0.25">
      <c r="A116" s="43" t="s">
        <v>416</v>
      </c>
      <c r="B116" s="44" t="str">
        <f>'дод 3'!A75</f>
        <v>3242</v>
      </c>
      <c r="C116" s="44" t="str">
        <f>'дод 3'!B75</f>
        <v>1090</v>
      </c>
      <c r="D116" s="24" t="str">
        <f>'дод 3'!C75</f>
        <v>Інші заходи у сфері соціального захисту і соціального забезпечення</v>
      </c>
      <c r="E116" s="69">
        <f t="shared" si="36"/>
        <v>33743826</v>
      </c>
      <c r="F116" s="69">
        <f>29645360-11+360800-350000+439024+43903+350000+2246300+418550+70000-29600+470500+63000+16000</f>
        <v>33743826</v>
      </c>
      <c r="G116" s="69"/>
      <c r="H116" s="69"/>
      <c r="I116" s="69"/>
      <c r="J116" s="69">
        <f t="shared" si="39"/>
        <v>35640</v>
      </c>
      <c r="K116" s="69">
        <v>35640</v>
      </c>
      <c r="L116" s="69"/>
      <c r="M116" s="69"/>
      <c r="N116" s="69"/>
      <c r="O116" s="69">
        <v>35640</v>
      </c>
      <c r="P116" s="69">
        <f t="shared" si="37"/>
        <v>33779466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3" customFormat="1" ht="31.5" customHeight="1" x14ac:dyDescent="0.25">
      <c r="A117" s="43" t="s">
        <v>307</v>
      </c>
      <c r="B117" s="44" t="str">
        <f>'дод 3'!A150</f>
        <v>9770</v>
      </c>
      <c r="C117" s="44" t="str">
        <f>'дод 3'!B150</f>
        <v>0180</v>
      </c>
      <c r="D117" s="24" t="str">
        <f>'дод 3'!C150</f>
        <v>Інші субвенції з місцевого бюджету</v>
      </c>
      <c r="E117" s="69">
        <f t="shared" si="36"/>
        <v>1070000</v>
      </c>
      <c r="F117" s="69">
        <v>1070000</v>
      </c>
      <c r="G117" s="69"/>
      <c r="H117" s="69"/>
      <c r="I117" s="69"/>
      <c r="J117" s="69">
        <f t="shared" si="39"/>
        <v>0</v>
      </c>
      <c r="K117" s="69"/>
      <c r="L117" s="69"/>
      <c r="M117" s="69"/>
      <c r="N117" s="69"/>
      <c r="O117" s="69"/>
      <c r="P117" s="69">
        <f t="shared" si="37"/>
        <v>1070000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31" customFormat="1" ht="28.5" customHeight="1" x14ac:dyDescent="0.2">
      <c r="A118" s="88" t="s">
        <v>225</v>
      </c>
      <c r="B118" s="72"/>
      <c r="C118" s="72"/>
      <c r="D118" s="30" t="s">
        <v>427</v>
      </c>
      <c r="E118" s="66">
        <f>E119</f>
        <v>5088200</v>
      </c>
      <c r="F118" s="66">
        <f t="shared" ref="F118:J118" si="40">F119</f>
        <v>5088200</v>
      </c>
      <c r="G118" s="66">
        <f t="shared" si="40"/>
        <v>3942800</v>
      </c>
      <c r="H118" s="66">
        <f t="shared" si="40"/>
        <v>57500</v>
      </c>
      <c r="I118" s="66">
        <f t="shared" si="40"/>
        <v>0</v>
      </c>
      <c r="J118" s="66">
        <f t="shared" si="40"/>
        <v>20000</v>
      </c>
      <c r="K118" s="66">
        <f t="shared" ref="K118" si="41">K119</f>
        <v>20000</v>
      </c>
      <c r="L118" s="66">
        <f t="shared" ref="L118" si="42">L119</f>
        <v>0</v>
      </c>
      <c r="M118" s="66">
        <f t="shared" ref="M118" si="43">M119</f>
        <v>0</v>
      </c>
      <c r="N118" s="66">
        <f t="shared" ref="N118" si="44">N119</f>
        <v>0</v>
      </c>
      <c r="O118" s="66">
        <f t="shared" ref="O118:P118" si="45">O119</f>
        <v>20000</v>
      </c>
      <c r="P118" s="66">
        <f t="shared" si="45"/>
        <v>5108200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</row>
    <row r="119" spans="1:529" s="40" customFormat="1" ht="29.25" customHeight="1" x14ac:dyDescent="0.25">
      <c r="A119" s="89" t="s">
        <v>226</v>
      </c>
      <c r="B119" s="73"/>
      <c r="C119" s="73"/>
      <c r="D119" s="33" t="s">
        <v>427</v>
      </c>
      <c r="E119" s="68">
        <f>E120+E121+E122</f>
        <v>5088200</v>
      </c>
      <c r="F119" s="68">
        <f t="shared" ref="F119:P119" si="46">F120+F121+F122</f>
        <v>5088200</v>
      </c>
      <c r="G119" s="68">
        <f t="shared" si="46"/>
        <v>3942800</v>
      </c>
      <c r="H119" s="68">
        <f t="shared" si="46"/>
        <v>57500</v>
      </c>
      <c r="I119" s="68">
        <f t="shared" si="46"/>
        <v>0</v>
      </c>
      <c r="J119" s="68">
        <f t="shared" si="46"/>
        <v>20000</v>
      </c>
      <c r="K119" s="68">
        <f t="shared" si="46"/>
        <v>20000</v>
      </c>
      <c r="L119" s="68">
        <f t="shared" si="46"/>
        <v>0</v>
      </c>
      <c r="M119" s="68">
        <f t="shared" si="46"/>
        <v>0</v>
      </c>
      <c r="N119" s="68">
        <f t="shared" si="46"/>
        <v>0</v>
      </c>
      <c r="O119" s="68">
        <f t="shared" si="46"/>
        <v>20000</v>
      </c>
      <c r="P119" s="68">
        <f t="shared" si="46"/>
        <v>5108200</v>
      </c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</row>
    <row r="120" spans="1:529" s="23" customFormat="1" ht="42.75" customHeight="1" x14ac:dyDescent="0.25">
      <c r="A120" s="43" t="s">
        <v>227</v>
      </c>
      <c r="B120" s="44" t="str">
        <f>'дод 3'!A20</f>
        <v>0160</v>
      </c>
      <c r="C120" s="44" t="str">
        <f>'дод 3'!B20</f>
        <v>0111</v>
      </c>
      <c r="D1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0" s="69">
        <f>F120+I120</f>
        <v>4997700</v>
      </c>
      <c r="F120" s="69">
        <f>5240600+10300-253200</f>
        <v>4997700</v>
      </c>
      <c r="G120" s="69">
        <f>4150400-207600</f>
        <v>3942800</v>
      </c>
      <c r="H120" s="69">
        <v>57500</v>
      </c>
      <c r="I120" s="69"/>
      <c r="J120" s="69">
        <f>L120+O120</f>
        <v>0</v>
      </c>
      <c r="K120" s="69"/>
      <c r="L120" s="69"/>
      <c r="M120" s="69"/>
      <c r="N120" s="69"/>
      <c r="O120" s="69"/>
      <c r="P120" s="69">
        <f>E120+J120</f>
        <v>4997700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3" customFormat="1" ht="60" x14ac:dyDescent="0.25">
      <c r="A121" s="43" t="s">
        <v>394</v>
      </c>
      <c r="B121" s="44">
        <v>3111</v>
      </c>
      <c r="C121" s="44">
        <v>1040</v>
      </c>
      <c r="D121" s="22" t="str">
        <f>'дод 3'!C61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1" s="69">
        <f>F121+I121</f>
        <v>0</v>
      </c>
      <c r="F121" s="69"/>
      <c r="G121" s="69"/>
      <c r="H121" s="69"/>
      <c r="I121" s="69"/>
      <c r="J121" s="69">
        <f t="shared" ref="J121:J122" si="47">L121+O121</f>
        <v>20000</v>
      </c>
      <c r="K121" s="69">
        <v>20000</v>
      </c>
      <c r="L121" s="69"/>
      <c r="M121" s="69"/>
      <c r="N121" s="69"/>
      <c r="O121" s="69">
        <v>20000</v>
      </c>
      <c r="P121" s="69">
        <f>E121+J121</f>
        <v>20000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</row>
    <row r="122" spans="1:529" s="23" customFormat="1" ht="36.75" customHeight="1" x14ac:dyDescent="0.25">
      <c r="A122" s="43" t="s">
        <v>228</v>
      </c>
      <c r="B122" s="44" t="str">
        <f>'дод 3'!A62</f>
        <v>3112</v>
      </c>
      <c r="C122" s="44" t="str">
        <f>'дод 3'!B62</f>
        <v>1040</v>
      </c>
      <c r="D122" s="24" t="str">
        <f>'дод 3'!C62</f>
        <v>Заходи державної політики з питань дітей та їх соціального захисту</v>
      </c>
      <c r="E122" s="69">
        <f>F122+I122</f>
        <v>90500</v>
      </c>
      <c r="F122" s="69">
        <v>90500</v>
      </c>
      <c r="G122" s="69"/>
      <c r="H122" s="69"/>
      <c r="I122" s="69"/>
      <c r="J122" s="69">
        <f t="shared" si="47"/>
        <v>0</v>
      </c>
      <c r="K122" s="69"/>
      <c r="L122" s="69"/>
      <c r="M122" s="69"/>
      <c r="N122" s="69"/>
      <c r="O122" s="69"/>
      <c r="P122" s="69">
        <f>E122+J122</f>
        <v>90500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31" customFormat="1" ht="22.5" customHeight="1" x14ac:dyDescent="0.2">
      <c r="A123" s="76" t="s">
        <v>35</v>
      </c>
      <c r="B123" s="74"/>
      <c r="C123" s="74"/>
      <c r="D123" s="30" t="s">
        <v>396</v>
      </c>
      <c r="E123" s="66">
        <f>E124</f>
        <v>65219215</v>
      </c>
      <c r="F123" s="66">
        <f t="shared" ref="F123:J123" si="48">F124</f>
        <v>65219215</v>
      </c>
      <c r="G123" s="66">
        <f t="shared" si="48"/>
        <v>47809400</v>
      </c>
      <c r="H123" s="66">
        <f t="shared" si="48"/>
        <v>2201760</v>
      </c>
      <c r="I123" s="66">
        <f t="shared" si="48"/>
        <v>0</v>
      </c>
      <c r="J123" s="66">
        <f t="shared" si="48"/>
        <v>4094635</v>
      </c>
      <c r="K123" s="66">
        <f t="shared" ref="K123" si="49">K124</f>
        <v>1275995</v>
      </c>
      <c r="L123" s="66">
        <f t="shared" ref="L123" si="50">L124</f>
        <v>2813920</v>
      </c>
      <c r="M123" s="66">
        <f t="shared" ref="M123" si="51">M124</f>
        <v>2279416</v>
      </c>
      <c r="N123" s="66">
        <f t="shared" ref="N123" si="52">N124</f>
        <v>3300</v>
      </c>
      <c r="O123" s="66">
        <f t="shared" ref="O123:P123" si="53">O124</f>
        <v>1280715</v>
      </c>
      <c r="P123" s="66">
        <f t="shared" si="53"/>
        <v>69313850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</row>
    <row r="124" spans="1:529" s="40" customFormat="1" ht="21.75" customHeight="1" x14ac:dyDescent="0.25">
      <c r="A124" s="77" t="s">
        <v>229</v>
      </c>
      <c r="B124" s="75"/>
      <c r="C124" s="75"/>
      <c r="D124" s="33" t="s">
        <v>396</v>
      </c>
      <c r="E124" s="68">
        <f>E125+E126+E127+E129+E130++E131+E128+E132</f>
        <v>65219215</v>
      </c>
      <c r="F124" s="68">
        <f t="shared" ref="F124:P124" si="54">F125+F126+F127+F129+F130++F131+F128+F132</f>
        <v>65219215</v>
      </c>
      <c r="G124" s="68">
        <f t="shared" si="54"/>
        <v>47809400</v>
      </c>
      <c r="H124" s="68">
        <f t="shared" si="54"/>
        <v>2201760</v>
      </c>
      <c r="I124" s="68">
        <f t="shared" si="54"/>
        <v>0</v>
      </c>
      <c r="J124" s="68">
        <f t="shared" si="54"/>
        <v>4094635</v>
      </c>
      <c r="K124" s="68">
        <f>K125+K126+K127+K129+K130++K131+K128+K132</f>
        <v>1275995</v>
      </c>
      <c r="L124" s="68">
        <f t="shared" si="54"/>
        <v>2813920</v>
      </c>
      <c r="M124" s="68">
        <f t="shared" si="54"/>
        <v>2279416</v>
      </c>
      <c r="N124" s="68">
        <f t="shared" si="54"/>
        <v>3300</v>
      </c>
      <c r="O124" s="68">
        <f t="shared" si="54"/>
        <v>1280715</v>
      </c>
      <c r="P124" s="68">
        <f t="shared" si="54"/>
        <v>69313850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</row>
    <row r="125" spans="1:529" s="23" customFormat="1" ht="48" customHeight="1" x14ac:dyDescent="0.25">
      <c r="A125" s="43" t="s">
        <v>169</v>
      </c>
      <c r="B125" s="44" t="str">
        <f>'дод 3'!A20</f>
        <v>0160</v>
      </c>
      <c r="C125" s="44" t="str">
        <f>'дод 3'!B20</f>
        <v>0111</v>
      </c>
      <c r="D12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5" s="69">
        <f t="shared" ref="E125:E132" si="55">F125+I125</f>
        <v>1910700</v>
      </c>
      <c r="F125" s="69">
        <f>1862800+4400-90500+134000</f>
        <v>1910700</v>
      </c>
      <c r="G125" s="69">
        <f>1461200-74200</f>
        <v>1387000</v>
      </c>
      <c r="H125" s="69">
        <v>17700</v>
      </c>
      <c r="I125" s="69"/>
      <c r="J125" s="69">
        <f>L125+O125</f>
        <v>0</v>
      </c>
      <c r="K125" s="69"/>
      <c r="L125" s="69"/>
      <c r="M125" s="69"/>
      <c r="N125" s="69"/>
      <c r="O125" s="69"/>
      <c r="P125" s="69">
        <f t="shared" ref="P125:P132" si="56">E125+J125</f>
        <v>1910700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3" customFormat="1" ht="48.75" customHeight="1" x14ac:dyDescent="0.25">
      <c r="A126" s="43" t="s">
        <v>260</v>
      </c>
      <c r="B126" s="44" t="str">
        <f>'дод 3'!A31</f>
        <v>1100</v>
      </c>
      <c r="C126" s="44" t="str">
        <f>'дод 3'!B31</f>
        <v>0960</v>
      </c>
      <c r="D126" s="24" t="str">
        <f>'дод 3'!C31</f>
        <v>Надання спеціальної освіти мистецькими школами</v>
      </c>
      <c r="E126" s="69">
        <f t="shared" si="55"/>
        <v>39101600</v>
      </c>
      <c r="F126" s="69">
        <f>38963600+75000+63000</f>
        <v>39101600</v>
      </c>
      <c r="G126" s="69">
        <v>30830000</v>
      </c>
      <c r="H126" s="69">
        <v>793600</v>
      </c>
      <c r="I126" s="69"/>
      <c r="J126" s="69">
        <f t="shared" ref="J126:J132" si="57">L126+O126</f>
        <v>3321640</v>
      </c>
      <c r="K126" s="69">
        <f>100000+400000+7000+5000+30000</f>
        <v>542000</v>
      </c>
      <c r="L126" s="69">
        <v>2774920</v>
      </c>
      <c r="M126" s="69">
        <v>2267316</v>
      </c>
      <c r="N126" s="69"/>
      <c r="O126" s="69">
        <f>4720+500000+7000+5000+30000</f>
        <v>546720</v>
      </c>
      <c r="P126" s="69">
        <f t="shared" si="56"/>
        <v>42423240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</row>
    <row r="127" spans="1:529" s="23" customFormat="1" ht="21" customHeight="1" x14ac:dyDescent="0.25">
      <c r="A127" s="43" t="s">
        <v>230</v>
      </c>
      <c r="B127" s="44" t="str">
        <f>'дод 3'!A77</f>
        <v>4030</v>
      </c>
      <c r="C127" s="44" t="str">
        <f>'дод 3'!B77</f>
        <v>0824</v>
      </c>
      <c r="D127" s="24" t="str">
        <f>'дод 3'!C77</f>
        <v>Забезпечення діяльності бібліотек</v>
      </c>
      <c r="E127" s="69">
        <f t="shared" si="55"/>
        <v>19294735</v>
      </c>
      <c r="F127" s="69">
        <f>19098200+20000+169535+7000</f>
        <v>19294735</v>
      </c>
      <c r="G127" s="69">
        <v>13804000</v>
      </c>
      <c r="H127" s="69">
        <v>1346200</v>
      </c>
      <c r="I127" s="69"/>
      <c r="J127" s="69">
        <f t="shared" si="57"/>
        <v>346795</v>
      </c>
      <c r="K127" s="69">
        <f>100000+216795</f>
        <v>316795</v>
      </c>
      <c r="L127" s="69">
        <v>30000</v>
      </c>
      <c r="M127" s="69">
        <v>12100</v>
      </c>
      <c r="N127" s="69"/>
      <c r="O127" s="69">
        <f>100000+216795</f>
        <v>316795</v>
      </c>
      <c r="P127" s="69">
        <f t="shared" si="56"/>
        <v>19641530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3" customFormat="1" ht="27.75" customHeight="1" x14ac:dyDescent="0.25">
      <c r="A128" s="43">
        <v>1014060</v>
      </c>
      <c r="B128" s="44" t="str">
        <f>'дод 3'!A78</f>
        <v>4060</v>
      </c>
      <c r="C128" s="44" t="str">
        <f>'дод 3'!B78</f>
        <v>0828</v>
      </c>
      <c r="D128" s="24" t="str">
        <f>'дод 3'!C78</f>
        <v>Забезпечення діяльності палаців i будинків культури, клубів, центрів дозвілля та iнших клубних закладів</v>
      </c>
      <c r="E128" s="69">
        <f t="shared" si="55"/>
        <v>608480</v>
      </c>
      <c r="F128" s="69">
        <f>546680+61800</f>
        <v>608480</v>
      </c>
      <c r="G128" s="69">
        <v>424400</v>
      </c>
      <c r="H128" s="69">
        <v>11360</v>
      </c>
      <c r="I128" s="69"/>
      <c r="J128" s="69">
        <f t="shared" si="57"/>
        <v>27200</v>
      </c>
      <c r="K128" s="69">
        <v>21200</v>
      </c>
      <c r="L128" s="69">
        <v>6000</v>
      </c>
      <c r="M128" s="69"/>
      <c r="N128" s="69">
        <v>3300</v>
      </c>
      <c r="O128" s="69">
        <v>21200</v>
      </c>
      <c r="P128" s="69">
        <f t="shared" si="56"/>
        <v>635680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7" customFormat="1" ht="33.75" customHeight="1" x14ac:dyDescent="0.25">
      <c r="A129" s="43">
        <v>1014081</v>
      </c>
      <c r="B129" s="44" t="str">
        <f>'дод 3'!A79</f>
        <v>4081</v>
      </c>
      <c r="C129" s="44" t="str">
        <f>'дод 3'!B79</f>
        <v>0829</v>
      </c>
      <c r="D129" s="24" t="str">
        <f>'дод 3'!C79</f>
        <v>Забезпечення діяльності інших закладів в галузі культури і мистецтва</v>
      </c>
      <c r="E129" s="69">
        <f t="shared" si="55"/>
        <v>1803000</v>
      </c>
      <c r="F129" s="69">
        <v>1803000</v>
      </c>
      <c r="G129" s="69">
        <v>1364000</v>
      </c>
      <c r="H129" s="69">
        <v>32900</v>
      </c>
      <c r="I129" s="69"/>
      <c r="J129" s="69">
        <f t="shared" si="57"/>
        <v>0</v>
      </c>
      <c r="K129" s="69"/>
      <c r="L129" s="69"/>
      <c r="M129" s="69"/>
      <c r="N129" s="69"/>
      <c r="O129" s="69"/>
      <c r="P129" s="69">
        <f t="shared" si="56"/>
        <v>1803000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</row>
    <row r="130" spans="1:529" s="27" customFormat="1" ht="25.5" customHeight="1" x14ac:dyDescent="0.25">
      <c r="A130" s="43">
        <v>1014082</v>
      </c>
      <c r="B130" s="44" t="str">
        <f>'дод 3'!A80</f>
        <v>4082</v>
      </c>
      <c r="C130" s="44" t="str">
        <f>'дод 3'!B80</f>
        <v>0829</v>
      </c>
      <c r="D130" s="24" t="str">
        <f>'дод 3'!C80</f>
        <v>Інші заходи в галузі культури і мистецтва</v>
      </c>
      <c r="E130" s="69">
        <f t="shared" si="55"/>
        <v>2500700</v>
      </c>
      <c r="F130" s="69">
        <f>2265700+15000+100000+120000</f>
        <v>2500700</v>
      </c>
      <c r="G130" s="69"/>
      <c r="H130" s="69"/>
      <c r="I130" s="69"/>
      <c r="J130" s="69">
        <f t="shared" si="57"/>
        <v>0</v>
      </c>
      <c r="K130" s="69"/>
      <c r="L130" s="69"/>
      <c r="M130" s="69"/>
      <c r="N130" s="69"/>
      <c r="O130" s="69"/>
      <c r="P130" s="69">
        <f t="shared" si="56"/>
        <v>2500700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  <c r="RM130" s="36"/>
      <c r="RN130" s="36"/>
      <c r="RO130" s="36"/>
      <c r="RP130" s="36"/>
      <c r="RQ130" s="36"/>
      <c r="RR130" s="36"/>
      <c r="RS130" s="36"/>
      <c r="RT130" s="36"/>
      <c r="RU130" s="36"/>
      <c r="RV130" s="36"/>
      <c r="RW130" s="36"/>
      <c r="RX130" s="36"/>
      <c r="RY130" s="36"/>
      <c r="RZ130" s="36"/>
      <c r="SA130" s="36"/>
      <c r="SB130" s="36"/>
      <c r="SC130" s="36"/>
      <c r="SD130" s="36"/>
      <c r="SE130" s="36"/>
      <c r="SF130" s="36"/>
      <c r="SG130" s="36"/>
      <c r="SH130" s="36"/>
      <c r="SI130" s="36"/>
      <c r="SJ130" s="36"/>
      <c r="SK130" s="36"/>
      <c r="SL130" s="36"/>
      <c r="SM130" s="36"/>
      <c r="SN130" s="36"/>
      <c r="SO130" s="36"/>
      <c r="SP130" s="36"/>
      <c r="SQ130" s="36"/>
      <c r="SR130" s="36"/>
      <c r="SS130" s="36"/>
      <c r="ST130" s="36"/>
      <c r="SU130" s="36"/>
      <c r="SV130" s="36"/>
      <c r="SW130" s="36"/>
      <c r="SX130" s="36"/>
      <c r="SY130" s="36"/>
      <c r="SZ130" s="36"/>
      <c r="TA130" s="36"/>
      <c r="TB130" s="36"/>
      <c r="TC130" s="36"/>
      <c r="TD130" s="36"/>
      <c r="TE130" s="36"/>
      <c r="TF130" s="36"/>
      <c r="TG130" s="36"/>
      <c r="TH130" s="36"/>
      <c r="TI130" s="36"/>
    </row>
    <row r="131" spans="1:529" s="23" customFormat="1" ht="22.5" customHeight="1" x14ac:dyDescent="0.25">
      <c r="A131" s="43" t="s">
        <v>176</v>
      </c>
      <c r="B131" s="44" t="str">
        <f>'дод 3'!A124</f>
        <v>7640</v>
      </c>
      <c r="C131" s="44" t="str">
        <f>'дод 3'!B124</f>
        <v>0470</v>
      </c>
      <c r="D131" s="24" t="str">
        <f>'дод 3'!C124</f>
        <v>Заходи з енергозбереження</v>
      </c>
      <c r="E131" s="69">
        <f t="shared" si="55"/>
        <v>0</v>
      </c>
      <c r="F131" s="69"/>
      <c r="G131" s="69"/>
      <c r="H131" s="69"/>
      <c r="I131" s="69"/>
      <c r="J131" s="69">
        <f t="shared" si="57"/>
        <v>396000</v>
      </c>
      <c r="K131" s="69">
        <v>396000</v>
      </c>
      <c r="L131" s="69"/>
      <c r="M131" s="69"/>
      <c r="N131" s="69"/>
      <c r="O131" s="69">
        <v>396000</v>
      </c>
      <c r="P131" s="69">
        <f t="shared" si="56"/>
        <v>396000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3" customFormat="1" ht="22.5" customHeight="1" x14ac:dyDescent="0.25">
      <c r="A132" s="43">
        <v>1018340</v>
      </c>
      <c r="B132" s="44" t="str">
        <f>'дод 3'!A141</f>
        <v>8340</v>
      </c>
      <c r="C132" s="44" t="str">
        <f>'дод 3'!B141</f>
        <v>0540</v>
      </c>
      <c r="D132" s="78" t="str">
        <f>'дод 3'!C141</f>
        <v>Природоохоронні заходи за рахунок цільових фондів</v>
      </c>
      <c r="E132" s="69">
        <f t="shared" si="55"/>
        <v>0</v>
      </c>
      <c r="F132" s="69"/>
      <c r="G132" s="69"/>
      <c r="H132" s="69"/>
      <c r="I132" s="69"/>
      <c r="J132" s="69">
        <f t="shared" si="57"/>
        <v>3000</v>
      </c>
      <c r="K132" s="69"/>
      <c r="L132" s="69">
        <v>3000</v>
      </c>
      <c r="M132" s="69"/>
      <c r="N132" s="69"/>
      <c r="O132" s="69"/>
      <c r="P132" s="69">
        <f t="shared" si="56"/>
        <v>3000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</row>
    <row r="133" spans="1:529" s="31" customFormat="1" ht="34.5" customHeight="1" x14ac:dyDescent="0.2">
      <c r="A133" s="76" t="s">
        <v>231</v>
      </c>
      <c r="B133" s="74"/>
      <c r="C133" s="74"/>
      <c r="D133" s="30" t="s">
        <v>44</v>
      </c>
      <c r="E133" s="66">
        <f>E134</f>
        <v>258623551.95999998</v>
      </c>
      <c r="F133" s="66">
        <f t="shared" ref="F133:J133" si="58">F134</f>
        <v>222524019.95999998</v>
      </c>
      <c r="G133" s="66">
        <f t="shared" si="58"/>
        <v>10434500</v>
      </c>
      <c r="H133" s="66">
        <f t="shared" si="58"/>
        <v>28061106</v>
      </c>
      <c r="I133" s="66">
        <f t="shared" si="58"/>
        <v>36099532</v>
      </c>
      <c r="J133" s="66">
        <f t="shared" si="58"/>
        <v>193085189.63999999</v>
      </c>
      <c r="K133" s="66">
        <f t="shared" ref="K133" si="59">K134</f>
        <v>107116055.92</v>
      </c>
      <c r="L133" s="66">
        <f t="shared" ref="L133" si="60">L134</f>
        <v>82026890.269999996</v>
      </c>
      <c r="M133" s="66">
        <f t="shared" ref="M133" si="61">M134</f>
        <v>0</v>
      </c>
      <c r="N133" s="66">
        <f t="shared" ref="N133" si="62">N134</f>
        <v>540000</v>
      </c>
      <c r="O133" s="66">
        <f t="shared" ref="O133:P133" si="63">O134</f>
        <v>111058299.37</v>
      </c>
      <c r="P133" s="66">
        <f t="shared" si="63"/>
        <v>451708741.59999996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8"/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</row>
    <row r="134" spans="1:529" s="40" customFormat="1" ht="36.75" customHeight="1" x14ac:dyDescent="0.25">
      <c r="A134" s="77" t="s">
        <v>232</v>
      </c>
      <c r="B134" s="75"/>
      <c r="C134" s="75"/>
      <c r="D134" s="33" t="s">
        <v>44</v>
      </c>
      <c r="E134" s="68">
        <f>E136+E137+E138+E139+E140+E141+E142+E143+E144+E145+E146+E147+E148+E150+E154+E155+E156+E158+E159+E149+E152+E157</f>
        <v>258623551.95999998</v>
      </c>
      <c r="F134" s="68">
        <f t="shared" ref="F134:P134" si="64">F136+F137+F138+F139+F140+F141+F142+F143+F144+F145+F146+F147+F148+F150+F154+F155+F156+F158+F159+F149+F152+F157</f>
        <v>222524019.95999998</v>
      </c>
      <c r="G134" s="68">
        <f t="shared" si="64"/>
        <v>10434500</v>
      </c>
      <c r="H134" s="68">
        <f t="shared" si="64"/>
        <v>28061106</v>
      </c>
      <c r="I134" s="68">
        <f t="shared" si="64"/>
        <v>36099532</v>
      </c>
      <c r="J134" s="68">
        <f t="shared" si="64"/>
        <v>193085189.63999999</v>
      </c>
      <c r="K134" s="68">
        <f t="shared" si="64"/>
        <v>107116055.92</v>
      </c>
      <c r="L134" s="68">
        <f t="shared" si="64"/>
        <v>82026890.269999996</v>
      </c>
      <c r="M134" s="68">
        <f t="shared" si="64"/>
        <v>0</v>
      </c>
      <c r="N134" s="68">
        <f t="shared" si="64"/>
        <v>540000</v>
      </c>
      <c r="O134" s="68">
        <f t="shared" si="64"/>
        <v>111058299.37</v>
      </c>
      <c r="P134" s="68">
        <f t="shared" si="64"/>
        <v>451708741.59999996</v>
      </c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  <c r="OE134" s="39"/>
      <c r="OF134" s="39"/>
      <c r="OG134" s="39"/>
      <c r="OH134" s="39"/>
      <c r="OI134" s="39"/>
      <c r="OJ134" s="39"/>
      <c r="OK134" s="39"/>
      <c r="OL134" s="39"/>
      <c r="OM134" s="39"/>
      <c r="ON134" s="39"/>
      <c r="OO134" s="39"/>
      <c r="OP134" s="39"/>
      <c r="OQ134" s="39"/>
      <c r="OR134" s="39"/>
      <c r="OS134" s="39"/>
      <c r="OT134" s="39"/>
      <c r="OU134" s="39"/>
      <c r="OV134" s="39"/>
      <c r="OW134" s="39"/>
      <c r="OX134" s="39"/>
      <c r="OY134" s="39"/>
      <c r="OZ134" s="39"/>
      <c r="PA134" s="39"/>
      <c r="PB134" s="39"/>
      <c r="PC134" s="39"/>
      <c r="PD134" s="39"/>
      <c r="PE134" s="39"/>
      <c r="PF134" s="39"/>
      <c r="PG134" s="39"/>
      <c r="PH134" s="39"/>
      <c r="PI134" s="39"/>
      <c r="PJ134" s="39"/>
      <c r="PK134" s="39"/>
      <c r="PL134" s="39"/>
      <c r="PM134" s="39"/>
      <c r="PN134" s="39"/>
      <c r="PO134" s="39"/>
      <c r="PP134" s="39"/>
      <c r="PQ134" s="39"/>
      <c r="PR134" s="39"/>
      <c r="PS134" s="39"/>
      <c r="PT134" s="39"/>
      <c r="PU134" s="39"/>
      <c r="PV134" s="39"/>
      <c r="PW134" s="39"/>
      <c r="PX134" s="39"/>
      <c r="PY134" s="39"/>
      <c r="PZ134" s="39"/>
      <c r="QA134" s="39"/>
      <c r="QB134" s="39"/>
      <c r="QC134" s="39"/>
      <c r="QD134" s="39"/>
      <c r="QE134" s="39"/>
      <c r="QF134" s="39"/>
      <c r="QG134" s="39"/>
      <c r="QH134" s="39"/>
      <c r="QI134" s="39"/>
      <c r="QJ134" s="39"/>
      <c r="QK134" s="39"/>
      <c r="QL134" s="39"/>
      <c r="QM134" s="39"/>
      <c r="QN134" s="39"/>
      <c r="QO134" s="39"/>
      <c r="QP134" s="39"/>
      <c r="QQ134" s="39"/>
      <c r="QR134" s="39"/>
      <c r="QS134" s="39"/>
      <c r="QT134" s="39"/>
      <c r="QU134" s="39"/>
      <c r="QV134" s="39"/>
      <c r="QW134" s="39"/>
      <c r="QX134" s="39"/>
      <c r="QY134" s="39"/>
      <c r="QZ134" s="39"/>
      <c r="RA134" s="39"/>
      <c r="RB134" s="39"/>
      <c r="RC134" s="39"/>
      <c r="RD134" s="39"/>
      <c r="RE134" s="39"/>
      <c r="RF134" s="39"/>
      <c r="RG134" s="39"/>
      <c r="RH134" s="39"/>
      <c r="RI134" s="39"/>
      <c r="RJ134" s="39"/>
      <c r="RK134" s="39"/>
      <c r="RL134" s="39"/>
      <c r="RM134" s="39"/>
      <c r="RN134" s="39"/>
      <c r="RO134" s="39"/>
      <c r="RP134" s="39"/>
      <c r="RQ134" s="39"/>
      <c r="RR134" s="39"/>
      <c r="RS134" s="39"/>
      <c r="RT134" s="39"/>
      <c r="RU134" s="39"/>
      <c r="RV134" s="39"/>
      <c r="RW134" s="39"/>
      <c r="RX134" s="39"/>
      <c r="RY134" s="39"/>
      <c r="RZ134" s="39"/>
      <c r="SA134" s="39"/>
      <c r="SB134" s="39"/>
      <c r="SC134" s="39"/>
      <c r="SD134" s="39"/>
      <c r="SE134" s="39"/>
      <c r="SF134" s="39"/>
      <c r="SG134" s="39"/>
      <c r="SH134" s="39"/>
      <c r="SI134" s="39"/>
      <c r="SJ134" s="39"/>
      <c r="SK134" s="39"/>
      <c r="SL134" s="39"/>
      <c r="SM134" s="39"/>
      <c r="SN134" s="39"/>
      <c r="SO134" s="39"/>
      <c r="SP134" s="39"/>
      <c r="SQ134" s="39"/>
      <c r="SR134" s="39"/>
      <c r="SS134" s="39"/>
      <c r="ST134" s="39"/>
      <c r="SU134" s="39"/>
      <c r="SV134" s="39"/>
      <c r="SW134" s="39"/>
      <c r="SX134" s="39"/>
      <c r="SY134" s="39"/>
      <c r="SZ134" s="39"/>
      <c r="TA134" s="39"/>
      <c r="TB134" s="39"/>
      <c r="TC134" s="39"/>
      <c r="TD134" s="39"/>
      <c r="TE134" s="39"/>
      <c r="TF134" s="39"/>
      <c r="TG134" s="39"/>
      <c r="TH134" s="39"/>
      <c r="TI134" s="39"/>
    </row>
    <row r="135" spans="1:529" s="40" customFormat="1" ht="15" customHeight="1" x14ac:dyDescent="0.25">
      <c r="A135" s="77"/>
      <c r="B135" s="75"/>
      <c r="C135" s="75"/>
      <c r="D135" s="33" t="s">
        <v>308</v>
      </c>
      <c r="E135" s="68">
        <f>E151+E153</f>
        <v>0</v>
      </c>
      <c r="F135" s="68">
        <f t="shared" ref="F135:P135" si="65">F151+F153</f>
        <v>0</v>
      </c>
      <c r="G135" s="68">
        <f t="shared" si="65"/>
        <v>0</v>
      </c>
      <c r="H135" s="68">
        <f t="shared" si="65"/>
        <v>0</v>
      </c>
      <c r="I135" s="68">
        <f t="shared" si="65"/>
        <v>0</v>
      </c>
      <c r="J135" s="68">
        <f t="shared" si="65"/>
        <v>80937420.379999995</v>
      </c>
      <c r="K135" s="68">
        <f t="shared" si="65"/>
        <v>937420.38</v>
      </c>
      <c r="L135" s="68">
        <f t="shared" si="65"/>
        <v>80000000</v>
      </c>
      <c r="M135" s="68">
        <f t="shared" si="65"/>
        <v>0</v>
      </c>
      <c r="N135" s="68">
        <f t="shared" si="65"/>
        <v>0</v>
      </c>
      <c r="O135" s="68">
        <f t="shared" si="65"/>
        <v>937420.38</v>
      </c>
      <c r="P135" s="68">
        <f t="shared" si="65"/>
        <v>80937420.379999995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/>
      <c r="OT135" s="39"/>
      <c r="OU135" s="39"/>
      <c r="OV135" s="39"/>
      <c r="OW135" s="39"/>
      <c r="OX135" s="39"/>
      <c r="OY135" s="39"/>
      <c r="OZ135" s="39"/>
      <c r="PA135" s="39"/>
      <c r="PB135" s="39"/>
      <c r="PC135" s="39"/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/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39"/>
      <c r="RH135" s="39"/>
      <c r="RI135" s="39"/>
      <c r="RJ135" s="39"/>
      <c r="RK135" s="39"/>
      <c r="RL135" s="39"/>
      <c r="RM135" s="39"/>
      <c r="RN135" s="39"/>
      <c r="RO135" s="39"/>
      <c r="RP135" s="39"/>
      <c r="RQ135" s="39"/>
      <c r="RR135" s="39"/>
      <c r="RS135" s="39"/>
      <c r="RT135" s="39"/>
      <c r="RU135" s="39"/>
      <c r="RV135" s="39"/>
      <c r="RW135" s="39"/>
      <c r="RX135" s="39"/>
      <c r="RY135" s="39"/>
      <c r="RZ135" s="39"/>
      <c r="SA135" s="39"/>
      <c r="SB135" s="39"/>
      <c r="SC135" s="39"/>
      <c r="SD135" s="39"/>
      <c r="SE135" s="39"/>
      <c r="SF135" s="39"/>
      <c r="SG135" s="39"/>
      <c r="SH135" s="39"/>
      <c r="SI135" s="39"/>
      <c r="SJ135" s="39"/>
      <c r="SK135" s="39"/>
      <c r="SL135" s="39"/>
      <c r="SM135" s="39"/>
      <c r="SN135" s="39"/>
      <c r="SO135" s="39"/>
      <c r="SP135" s="39"/>
      <c r="SQ135" s="39"/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/>
      <c r="TC135" s="39"/>
      <c r="TD135" s="39"/>
      <c r="TE135" s="39"/>
      <c r="TF135" s="39"/>
      <c r="TG135" s="39"/>
      <c r="TH135" s="39"/>
      <c r="TI135" s="39"/>
    </row>
    <row r="136" spans="1:529" s="23" customFormat="1" ht="48.75" customHeight="1" x14ac:dyDescent="0.25">
      <c r="A136" s="43" t="s">
        <v>233</v>
      </c>
      <c r="B136" s="44" t="str">
        <f>'дод 3'!A20</f>
        <v>0160</v>
      </c>
      <c r="C136" s="44" t="str">
        <f>'дод 3'!B20</f>
        <v>0111</v>
      </c>
      <c r="D13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36" s="69">
        <f t="shared" ref="E136:E159" si="66">F136+I136</f>
        <v>13530800</v>
      </c>
      <c r="F136" s="69">
        <f>13873900+90800-678700+244800</f>
        <v>13530800</v>
      </c>
      <c r="G136" s="69">
        <f>10990800-556300</f>
        <v>10434500</v>
      </c>
      <c r="H136" s="69">
        <v>164000</v>
      </c>
      <c r="I136" s="69"/>
      <c r="J136" s="69">
        <f>L136+O136</f>
        <v>0</v>
      </c>
      <c r="K136" s="69"/>
      <c r="L136" s="69"/>
      <c r="M136" s="69"/>
      <c r="N136" s="69"/>
      <c r="O136" s="69"/>
      <c r="P136" s="69">
        <f t="shared" ref="P136:P159" si="67">E136+J136</f>
        <v>13530800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23" customFormat="1" ht="19.5" customHeight="1" x14ac:dyDescent="0.25">
      <c r="A137" s="52" t="s">
        <v>352</v>
      </c>
      <c r="B137" s="45" t="str">
        <f>'дод 3'!A73</f>
        <v>3210</v>
      </c>
      <c r="C137" s="45" t="str">
        <f>'дод 3'!B73</f>
        <v>1050</v>
      </c>
      <c r="D137" s="22" t="str">
        <f>'дод 3'!C73</f>
        <v>Організація та проведення громадських робіт</v>
      </c>
      <c r="E137" s="69">
        <f t="shared" si="66"/>
        <v>400000</v>
      </c>
      <c r="F137" s="69">
        <v>400000</v>
      </c>
      <c r="G137" s="69"/>
      <c r="H137" s="69"/>
      <c r="I137" s="69"/>
      <c r="J137" s="69">
        <f t="shared" ref="J137:J159" si="68">L137+O137</f>
        <v>0</v>
      </c>
      <c r="K137" s="69"/>
      <c r="L137" s="69"/>
      <c r="M137" s="69"/>
      <c r="N137" s="69"/>
      <c r="O137" s="69"/>
      <c r="P137" s="69">
        <f t="shared" si="67"/>
        <v>400000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</row>
    <row r="138" spans="1:529" s="23" customFormat="1" ht="38.25" customHeight="1" x14ac:dyDescent="0.25">
      <c r="A138" s="43" t="s">
        <v>234</v>
      </c>
      <c r="B138" s="44" t="str">
        <f>'дод 3'!A89</f>
        <v>6011</v>
      </c>
      <c r="C138" s="44" t="str">
        <f>'дод 3'!B89</f>
        <v>0610</v>
      </c>
      <c r="D138" s="24" t="str">
        <f>'дод 3'!C89</f>
        <v>Експлуатація та технічне обслуговування житлового фонду</v>
      </c>
      <c r="E138" s="69">
        <f t="shared" si="66"/>
        <v>0</v>
      </c>
      <c r="F138" s="69"/>
      <c r="G138" s="69"/>
      <c r="H138" s="69"/>
      <c r="I138" s="69"/>
      <c r="J138" s="69">
        <f t="shared" si="68"/>
        <v>10918067.93</v>
      </c>
      <c r="K138" s="69">
        <f>20000000-4500000-5000000-1188215.76-766.31+827545+291000+100000+309505+49000</f>
        <v>10888067.93</v>
      </c>
      <c r="L138" s="69"/>
      <c r="M138" s="69"/>
      <c r="N138" s="69"/>
      <c r="O138" s="69">
        <f>20000000+30000-4500000-5000000-1188215.76-766.31+827545+291000+100000+309505+49000</f>
        <v>10918067.93</v>
      </c>
      <c r="P138" s="69">
        <f t="shared" si="67"/>
        <v>10918067.93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</row>
    <row r="139" spans="1:529" s="23" customFormat="1" ht="33" customHeight="1" x14ac:dyDescent="0.25">
      <c r="A139" s="43" t="s">
        <v>235</v>
      </c>
      <c r="B139" s="44" t="str">
        <f>'дод 3'!A90</f>
        <v>6013</v>
      </c>
      <c r="C139" s="44" t="str">
        <f>'дод 3'!B90</f>
        <v>0620</v>
      </c>
      <c r="D139" s="24" t="str">
        <f>'дод 3'!C90</f>
        <v>Забезпечення діяльності водопровідно-каналізаційного господарства</v>
      </c>
      <c r="E139" s="69">
        <f t="shared" si="66"/>
        <v>30925000</v>
      </c>
      <c r="F139" s="69">
        <f>775000-350000</f>
        <v>425000</v>
      </c>
      <c r="G139" s="69"/>
      <c r="H139" s="69"/>
      <c r="I139" s="69">
        <f>30150000+350000</f>
        <v>30500000</v>
      </c>
      <c r="J139" s="69">
        <f t="shared" si="68"/>
        <v>1721000</v>
      </c>
      <c r="K139" s="69">
        <f>1700000+20000+1000</f>
        <v>1721000</v>
      </c>
      <c r="L139" s="69"/>
      <c r="M139" s="69"/>
      <c r="N139" s="69"/>
      <c r="O139" s="69">
        <f>1700000+20000+1000</f>
        <v>1721000</v>
      </c>
      <c r="P139" s="69">
        <f t="shared" si="67"/>
        <v>32646000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3" customFormat="1" ht="27.75" customHeight="1" x14ac:dyDescent="0.25">
      <c r="A140" s="43" t="s">
        <v>301</v>
      </c>
      <c r="B140" s="44" t="str">
        <f>'дод 3'!A91</f>
        <v>6015</v>
      </c>
      <c r="C140" s="44" t="str">
        <f>'дод 3'!B91</f>
        <v>0620</v>
      </c>
      <c r="D140" s="24" t="str">
        <f>'дод 3'!C91</f>
        <v>Забезпечення надійної та безперебійної експлуатації ліфтів</v>
      </c>
      <c r="E140" s="69">
        <f t="shared" si="66"/>
        <v>193887</v>
      </c>
      <c r="F140" s="69">
        <f>200000-6113</f>
        <v>193887</v>
      </c>
      <c r="G140" s="69"/>
      <c r="H140" s="69"/>
      <c r="I140" s="69"/>
      <c r="J140" s="69">
        <f t="shared" si="68"/>
        <v>13408448.83</v>
      </c>
      <c r="K140" s="69">
        <f>15000000+9-1500000-405560.17+164000+100000</f>
        <v>13358448.83</v>
      </c>
      <c r="L140" s="69"/>
      <c r="M140" s="69"/>
      <c r="N140" s="69"/>
      <c r="O140" s="69">
        <f>15000000+50000+9-1500000-405560.17+164000+100000</f>
        <v>13408448.83</v>
      </c>
      <c r="P140" s="69">
        <f t="shared" si="67"/>
        <v>13602335.83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</row>
    <row r="141" spans="1:529" s="23" customFormat="1" ht="38.25" customHeight="1" x14ac:dyDescent="0.25">
      <c r="A141" s="43" t="s">
        <v>304</v>
      </c>
      <c r="B141" s="44" t="str">
        <f>'дод 3'!A92</f>
        <v>6017</v>
      </c>
      <c r="C141" s="44" t="str">
        <f>'дод 3'!B92</f>
        <v>0620</v>
      </c>
      <c r="D141" s="24" t="str">
        <f>'дод 3'!C92</f>
        <v>Інша діяльність, пов’язана з експлуатацією об’єктів житлово-комунального господарства</v>
      </c>
      <c r="E141" s="69">
        <f t="shared" si="66"/>
        <v>1600000</v>
      </c>
      <c r="F141" s="69">
        <f>100000+1500000</f>
        <v>1600000</v>
      </c>
      <c r="G141" s="69"/>
      <c r="H141" s="69"/>
      <c r="I141" s="69"/>
      <c r="J141" s="69">
        <f t="shared" si="68"/>
        <v>0</v>
      </c>
      <c r="K141" s="69"/>
      <c r="L141" s="69"/>
      <c r="M141" s="69"/>
      <c r="N141" s="69"/>
      <c r="O141" s="69"/>
      <c r="P141" s="69">
        <f t="shared" si="67"/>
        <v>1600000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45" x14ac:dyDescent="0.25">
      <c r="A142" s="43" t="s">
        <v>236</v>
      </c>
      <c r="B142" s="44" t="str">
        <f>'дод 3'!A93</f>
        <v>6020</v>
      </c>
      <c r="C142" s="44" t="str">
        <f>'дод 3'!B93</f>
        <v>0620</v>
      </c>
      <c r="D142" s="24" t="str">
        <f>'дод 3'!C93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2" s="69">
        <f t="shared" si="66"/>
        <v>4595232</v>
      </c>
      <c r="F142" s="69"/>
      <c r="G142" s="69"/>
      <c r="H142" s="69"/>
      <c r="I142" s="69">
        <f>2595232+2000000</f>
        <v>4595232</v>
      </c>
      <c r="J142" s="69">
        <f t="shared" si="68"/>
        <v>0</v>
      </c>
      <c r="K142" s="69">
        <f>2000000-2000000</f>
        <v>0</v>
      </c>
      <c r="L142" s="69"/>
      <c r="M142" s="69"/>
      <c r="N142" s="69"/>
      <c r="O142" s="69">
        <f>2000000-2000000</f>
        <v>0</v>
      </c>
      <c r="P142" s="69">
        <f t="shared" si="67"/>
        <v>4595232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21.75" customHeight="1" x14ac:dyDescent="0.25">
      <c r="A143" s="43" t="s">
        <v>237</v>
      </c>
      <c r="B143" s="44" t="str">
        <f>'дод 3'!A94</f>
        <v>6030</v>
      </c>
      <c r="C143" s="44" t="str">
        <f>'дод 3'!B94</f>
        <v>0620</v>
      </c>
      <c r="D143" s="24" t="str">
        <f>'дод 3'!C94</f>
        <v>Організація благоустрою населених пунктів</v>
      </c>
      <c r="E143" s="69">
        <f t="shared" si="66"/>
        <v>191566286.56999999</v>
      </c>
      <c r="F143" s="69">
        <f>191911836-108000-2000000-100000-2000000+2907700+786500+575000+788511.57-2000000+199000-300000-100000+489939+100000-95000+377000+150000-16200</f>
        <v>191566286.56999999</v>
      </c>
      <c r="G143" s="69"/>
      <c r="H143" s="69">
        <f>27870906-16200</f>
        <v>27854706</v>
      </c>
      <c r="I143" s="69"/>
      <c r="J143" s="69">
        <f t="shared" si="68"/>
        <v>35624304.150000006</v>
      </c>
      <c r="K143" s="69">
        <f>27800000+1000000+5000000+5550000-5000000+150000+100000-4000000+10112784.63-4629526.59+12715677.07-18000+75000+110000-575000+163369.04+569000-199000-6600000-6700000</f>
        <v>35624304.150000006</v>
      </c>
      <c r="L143" s="71"/>
      <c r="M143" s="69"/>
      <c r="N143" s="69"/>
      <c r="O143" s="69">
        <f>27800000+1000000+5000000+5550000-5000000+150000+100000-4000000+10112784.63-4629526.59+12715677.07-18000+75000+110000-575000+163369.04+569000-199000-6600000-6700000</f>
        <v>35624304.150000006</v>
      </c>
      <c r="P143" s="69">
        <f t="shared" si="67"/>
        <v>227190590.72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3" customFormat="1" ht="31.5" customHeight="1" x14ac:dyDescent="0.25">
      <c r="A144" s="43" t="s">
        <v>294</v>
      </c>
      <c r="B144" s="44" t="str">
        <f>'дод 3'!A96</f>
        <v>6090</v>
      </c>
      <c r="C144" s="44" t="str">
        <f>'дод 3'!B96</f>
        <v>0640</v>
      </c>
      <c r="D144" s="24" t="str">
        <f>'дод 3'!C96</f>
        <v>Інша діяльність у сфері житлово-комунального господарства</v>
      </c>
      <c r="E144" s="69">
        <f t="shared" si="66"/>
        <v>13834346.390000001</v>
      </c>
      <c r="F144" s="69">
        <f>16709746+579084+27300000-4300-19001249-1991050-1006880.61-569000-70000-70000-100000-5170304-100000-2351000-49000-166000-110000</f>
        <v>13830046.390000001</v>
      </c>
      <c r="G144" s="69"/>
      <c r="H144" s="69">
        <v>42400</v>
      </c>
      <c r="I144" s="69">
        <v>4300</v>
      </c>
      <c r="J144" s="69">
        <f t="shared" si="68"/>
        <v>800708.78999999911</v>
      </c>
      <c r="K144" s="69">
        <f>21793738-10545638.97-1288734.74-6359655.5-305000-2494000</f>
        <v>800708.78999999911</v>
      </c>
      <c r="L144" s="69"/>
      <c r="M144" s="69"/>
      <c r="N144" s="69"/>
      <c r="O144" s="69">
        <f>21793738-10545638.97-1288734.74-6359655.5-305000-2494000</f>
        <v>800708.78999999911</v>
      </c>
      <c r="P144" s="69">
        <f t="shared" si="67"/>
        <v>14635055.18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</row>
    <row r="145" spans="1:529" s="23" customFormat="1" ht="33" customHeight="1" x14ac:dyDescent="0.25">
      <c r="A145" s="43" t="s">
        <v>314</v>
      </c>
      <c r="B145" s="44" t="str">
        <f>'дод 3'!A103</f>
        <v>7310</v>
      </c>
      <c r="C145" s="44" t="str">
        <f>'дод 3'!B103</f>
        <v>0443</v>
      </c>
      <c r="D145" s="24" t="str">
        <f>'дод 3'!C103</f>
        <v>Будівництво об'єктів житлово-комунального господарства</v>
      </c>
      <c r="E145" s="69">
        <f t="shared" si="66"/>
        <v>0</v>
      </c>
      <c r="F145" s="69"/>
      <c r="G145" s="69"/>
      <c r="H145" s="69"/>
      <c r="I145" s="69"/>
      <c r="J145" s="69">
        <f t="shared" si="68"/>
        <v>8872297.7599999979</v>
      </c>
      <c r="K145" s="69">
        <f>12540000-60000+40000+8953612-4000000+2338215.76-3000+2000-8410000-1200000-494730+230000-1380000+300000+16200</f>
        <v>8872297.7599999979</v>
      </c>
      <c r="L145" s="69"/>
      <c r="M145" s="69"/>
      <c r="N145" s="69"/>
      <c r="O145" s="69">
        <f>12540000-60000+40000+8953612-4000000+2338215.76-3000+2000-8410000-1200000-494730+230000-1380000+300000+16200</f>
        <v>8872297.7599999979</v>
      </c>
      <c r="P145" s="69">
        <f t="shared" si="67"/>
        <v>8872297.7599999979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3" customFormat="1" ht="21.75" customHeight="1" x14ac:dyDescent="0.25">
      <c r="A146" s="43" t="s">
        <v>316</v>
      </c>
      <c r="B146" s="44" t="str">
        <f>'дод 3'!A107</f>
        <v>7330</v>
      </c>
      <c r="C146" s="44" t="str">
        <f>'дод 3'!B107</f>
        <v>0443</v>
      </c>
      <c r="D146" s="24" t="str">
        <f>'дод 3'!C107</f>
        <v>Будівництво інших об'єктів комунальної власності</v>
      </c>
      <c r="E146" s="69">
        <f t="shared" si="66"/>
        <v>0</v>
      </c>
      <c r="F146" s="69"/>
      <c r="G146" s="69"/>
      <c r="H146" s="69"/>
      <c r="I146" s="69"/>
      <c r="J146" s="69">
        <f t="shared" si="68"/>
        <v>5758998.7699999996</v>
      </c>
      <c r="K146" s="69">
        <f>15750000+4777000+3000-50000-100000-5550000-700000+550000-4000000+432854.34-1950000+4818144.43+210000+68000-8500000</f>
        <v>5758998.7699999996</v>
      </c>
      <c r="L146" s="69"/>
      <c r="M146" s="69"/>
      <c r="N146" s="69"/>
      <c r="O146" s="69">
        <f>15750000+4777000+3000-50000-100000-5550000-700000+550000-4000000+432854.34-1950000+4818144.43+210000+68000-8500000</f>
        <v>5758998.7699999996</v>
      </c>
      <c r="P146" s="69">
        <f t="shared" si="67"/>
        <v>5758998.7699999996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3" customFormat="1" ht="49.5" customHeight="1" x14ac:dyDescent="0.25">
      <c r="A147" s="43" t="s">
        <v>447</v>
      </c>
      <c r="B147" s="44">
        <f>'дод 3'!A109</f>
        <v>7361</v>
      </c>
      <c r="C147" s="44" t="str">
        <f>'дод 3'!B109</f>
        <v>0490</v>
      </c>
      <c r="D147" s="24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47" s="69">
        <f t="shared" si="66"/>
        <v>0</v>
      </c>
      <c r="F147" s="69"/>
      <c r="G147" s="69"/>
      <c r="H147" s="69"/>
      <c r="I147" s="69"/>
      <c r="J147" s="69">
        <f t="shared" si="68"/>
        <v>1386113</v>
      </c>
      <c r="K147" s="69">
        <v>1386113</v>
      </c>
      <c r="L147" s="69"/>
      <c r="M147" s="69"/>
      <c r="N147" s="69"/>
      <c r="O147" s="69">
        <v>1386113</v>
      </c>
      <c r="P147" s="69">
        <f t="shared" si="67"/>
        <v>1386113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ht="29.25" customHeight="1" x14ac:dyDescent="0.25">
      <c r="A148" s="43" t="s">
        <v>238</v>
      </c>
      <c r="B148" s="44" t="str">
        <f>'дод 3'!A108</f>
        <v>7340</v>
      </c>
      <c r="C148" s="44" t="str">
        <f>'дод 3'!B108</f>
        <v>0443</v>
      </c>
      <c r="D148" s="24" t="str">
        <f>'дод 3'!C108</f>
        <v>Проектування, реставрація та охорона пам'яток архітектури</v>
      </c>
      <c r="E148" s="69">
        <f t="shared" si="66"/>
        <v>0</v>
      </c>
      <c r="F148" s="69"/>
      <c r="G148" s="69"/>
      <c r="H148" s="69"/>
      <c r="I148" s="69"/>
      <c r="J148" s="69">
        <f t="shared" si="68"/>
        <v>3000000</v>
      </c>
      <c r="K148" s="69">
        <v>3000000</v>
      </c>
      <c r="L148" s="69"/>
      <c r="M148" s="69"/>
      <c r="N148" s="69"/>
      <c r="O148" s="69">
        <v>3000000</v>
      </c>
      <c r="P148" s="69">
        <f t="shared" si="67"/>
        <v>3000000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3" customFormat="1" ht="30" x14ac:dyDescent="0.25">
      <c r="A149" s="43">
        <v>1217362</v>
      </c>
      <c r="B149" s="44">
        <f>'дод 3'!A110</f>
        <v>7362</v>
      </c>
      <c r="C149" s="44" t="str">
        <f>'дод 3'!B110</f>
        <v>0490</v>
      </c>
      <c r="D149" s="24" t="str">
        <f>'дод 3'!C110</f>
        <v>Виконання інвестиційних проектів в рамках підтримки розвитку об'єднаних територіальних громад</v>
      </c>
      <c r="E149" s="69">
        <f t="shared" si="66"/>
        <v>0</v>
      </c>
      <c r="F149" s="69"/>
      <c r="G149" s="69"/>
      <c r="H149" s="69"/>
      <c r="I149" s="69"/>
      <c r="J149" s="69">
        <f t="shared" si="68"/>
        <v>75600</v>
      </c>
      <c r="K149" s="69">
        <v>75600</v>
      </c>
      <c r="L149" s="69"/>
      <c r="M149" s="69"/>
      <c r="N149" s="69"/>
      <c r="O149" s="69">
        <v>75600</v>
      </c>
      <c r="P149" s="69">
        <f t="shared" si="67"/>
        <v>75600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3" customFormat="1" ht="45" x14ac:dyDescent="0.25">
      <c r="A150" s="43" t="s">
        <v>442</v>
      </c>
      <c r="B150" s="44">
        <v>7363</v>
      </c>
      <c r="C150" s="117" t="s">
        <v>102</v>
      </c>
      <c r="D150" s="118" t="s">
        <v>438</v>
      </c>
      <c r="E150" s="69">
        <f t="shared" si="66"/>
        <v>0</v>
      </c>
      <c r="F150" s="69"/>
      <c r="G150" s="69"/>
      <c r="H150" s="69"/>
      <c r="I150" s="69"/>
      <c r="J150" s="69">
        <f t="shared" si="68"/>
        <v>956186.69000000006</v>
      </c>
      <c r="K150" s="69">
        <f>18766.31+937420.38</f>
        <v>956186.69000000006</v>
      </c>
      <c r="L150" s="69"/>
      <c r="M150" s="69"/>
      <c r="N150" s="69"/>
      <c r="O150" s="69">
        <f>18766.31+937420.38</f>
        <v>956186.69000000006</v>
      </c>
      <c r="P150" s="69">
        <f t="shared" si="67"/>
        <v>956186.69000000006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x14ac:dyDescent="0.25">
      <c r="A151" s="43"/>
      <c r="B151" s="44"/>
      <c r="C151" s="44"/>
      <c r="D151" s="22" t="s">
        <v>308</v>
      </c>
      <c r="E151" s="69">
        <f t="shared" si="66"/>
        <v>0</v>
      </c>
      <c r="F151" s="69"/>
      <c r="G151" s="69"/>
      <c r="H151" s="69"/>
      <c r="I151" s="69"/>
      <c r="J151" s="69">
        <f t="shared" si="68"/>
        <v>937420.38</v>
      </c>
      <c r="K151" s="69">
        <v>937420.38</v>
      </c>
      <c r="L151" s="69"/>
      <c r="M151" s="69"/>
      <c r="N151" s="69"/>
      <c r="O151" s="69">
        <v>937420.38</v>
      </c>
      <c r="P151" s="69">
        <f t="shared" si="67"/>
        <v>937420.38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134" customFormat="1" ht="47.25" customHeight="1" x14ac:dyDescent="0.25">
      <c r="A152" s="43" t="s">
        <v>453</v>
      </c>
      <c r="B152" s="44">
        <f>'дод 3'!A118</f>
        <v>7462</v>
      </c>
      <c r="C152" s="44">
        <f>'дод 3'!B118</f>
        <v>456</v>
      </c>
      <c r="D152" s="78" t="str">
        <f>'дод 3'!C118</f>
        <v>Утримання та розвиток автомобільних доріг та дорожньої інфраструктури за рахунок субвенції з державного бюджету</v>
      </c>
      <c r="E152" s="69">
        <f t="shared" ref="E152:E153" si="69">F152+I152</f>
        <v>0</v>
      </c>
      <c r="F152" s="69"/>
      <c r="G152" s="69"/>
      <c r="H152" s="69"/>
      <c r="I152" s="69"/>
      <c r="J152" s="69">
        <f t="shared" ref="J152:J153" si="70">L152+O152</f>
        <v>80000000</v>
      </c>
      <c r="K152" s="69"/>
      <c r="L152" s="69">
        <v>80000000</v>
      </c>
      <c r="M152" s="69"/>
      <c r="N152" s="69"/>
      <c r="O152" s="69"/>
      <c r="P152" s="69">
        <f t="shared" ref="P152:P153" si="71">E152+J152</f>
        <v>80000000</v>
      </c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  <c r="IU152" s="133"/>
      <c r="IV152" s="133"/>
      <c r="IW152" s="133"/>
      <c r="IX152" s="133"/>
      <c r="IY152" s="133"/>
      <c r="IZ152" s="133"/>
      <c r="JA152" s="133"/>
      <c r="JB152" s="133"/>
      <c r="JC152" s="133"/>
      <c r="JD152" s="133"/>
      <c r="JE152" s="133"/>
      <c r="JF152" s="133"/>
      <c r="JG152" s="133"/>
      <c r="JH152" s="133"/>
      <c r="JI152" s="133"/>
      <c r="JJ152" s="133"/>
      <c r="JK152" s="133"/>
      <c r="JL152" s="133"/>
      <c r="JM152" s="133"/>
      <c r="JN152" s="133"/>
      <c r="JO152" s="133"/>
      <c r="JP152" s="133"/>
      <c r="JQ152" s="133"/>
      <c r="JR152" s="133"/>
      <c r="JS152" s="133"/>
      <c r="JT152" s="133"/>
      <c r="JU152" s="133"/>
      <c r="JV152" s="133"/>
      <c r="JW152" s="133"/>
      <c r="JX152" s="133"/>
      <c r="JY152" s="133"/>
      <c r="JZ152" s="133"/>
      <c r="KA152" s="133"/>
      <c r="KB152" s="133"/>
      <c r="KC152" s="133"/>
      <c r="KD152" s="133"/>
      <c r="KE152" s="133"/>
      <c r="KF152" s="133"/>
      <c r="KG152" s="133"/>
      <c r="KH152" s="133"/>
      <c r="KI152" s="133"/>
      <c r="KJ152" s="133"/>
      <c r="KK152" s="133"/>
      <c r="KL152" s="133"/>
      <c r="KM152" s="133"/>
      <c r="KN152" s="133"/>
      <c r="KO152" s="133"/>
      <c r="KP152" s="133"/>
      <c r="KQ152" s="133"/>
      <c r="KR152" s="133"/>
      <c r="KS152" s="133"/>
      <c r="KT152" s="133"/>
      <c r="KU152" s="133"/>
      <c r="KV152" s="133"/>
      <c r="KW152" s="133"/>
      <c r="KX152" s="133"/>
      <c r="KY152" s="133"/>
      <c r="KZ152" s="133"/>
      <c r="LA152" s="133"/>
      <c r="LB152" s="133"/>
      <c r="LC152" s="133"/>
      <c r="LD152" s="133"/>
      <c r="LE152" s="133"/>
      <c r="LF152" s="133"/>
      <c r="LG152" s="133"/>
      <c r="LH152" s="133"/>
      <c r="LI152" s="133"/>
      <c r="LJ152" s="133"/>
      <c r="LK152" s="133"/>
      <c r="LL152" s="133"/>
      <c r="LM152" s="133"/>
      <c r="LN152" s="133"/>
      <c r="LO152" s="133"/>
      <c r="LP152" s="133"/>
      <c r="LQ152" s="133"/>
      <c r="LR152" s="133"/>
      <c r="LS152" s="133"/>
      <c r="LT152" s="133"/>
      <c r="LU152" s="133"/>
      <c r="LV152" s="133"/>
      <c r="LW152" s="133"/>
      <c r="LX152" s="133"/>
      <c r="LY152" s="133"/>
      <c r="LZ152" s="133"/>
      <c r="MA152" s="133"/>
      <c r="MB152" s="133"/>
      <c r="MC152" s="133"/>
      <c r="MD152" s="133"/>
      <c r="ME152" s="133"/>
      <c r="MF152" s="133"/>
      <c r="MG152" s="133"/>
      <c r="MH152" s="133"/>
      <c r="MI152" s="133"/>
      <c r="MJ152" s="133"/>
      <c r="MK152" s="133"/>
      <c r="ML152" s="133"/>
      <c r="MM152" s="133"/>
      <c r="MN152" s="133"/>
      <c r="MO152" s="133"/>
      <c r="MP152" s="133"/>
      <c r="MQ152" s="133"/>
      <c r="MR152" s="133"/>
      <c r="MS152" s="133"/>
      <c r="MT152" s="133"/>
      <c r="MU152" s="133"/>
      <c r="MV152" s="133"/>
      <c r="MW152" s="133"/>
      <c r="MX152" s="133"/>
      <c r="MY152" s="133"/>
      <c r="MZ152" s="133"/>
      <c r="NA152" s="133"/>
      <c r="NB152" s="133"/>
      <c r="NC152" s="133"/>
      <c r="ND152" s="133"/>
      <c r="NE152" s="133"/>
      <c r="NF152" s="133"/>
      <c r="NG152" s="133"/>
      <c r="NH152" s="133"/>
      <c r="NI152" s="133"/>
      <c r="NJ152" s="133"/>
      <c r="NK152" s="133"/>
      <c r="NL152" s="133"/>
      <c r="NM152" s="133"/>
      <c r="NN152" s="133"/>
      <c r="NO152" s="133"/>
      <c r="NP152" s="133"/>
      <c r="NQ152" s="133"/>
      <c r="NR152" s="133"/>
      <c r="NS152" s="133"/>
      <c r="NT152" s="133"/>
      <c r="NU152" s="133"/>
      <c r="NV152" s="133"/>
      <c r="NW152" s="133"/>
      <c r="NX152" s="133"/>
      <c r="NY152" s="133"/>
      <c r="NZ152" s="133"/>
      <c r="OA152" s="133"/>
      <c r="OB152" s="133"/>
      <c r="OC152" s="133"/>
      <c r="OD152" s="133"/>
      <c r="OE152" s="133"/>
      <c r="OF152" s="133"/>
      <c r="OG152" s="133"/>
      <c r="OH152" s="133"/>
      <c r="OI152" s="133"/>
      <c r="OJ152" s="133"/>
      <c r="OK152" s="133"/>
      <c r="OL152" s="133"/>
      <c r="OM152" s="133"/>
      <c r="ON152" s="133"/>
      <c r="OO152" s="133"/>
      <c r="OP152" s="133"/>
      <c r="OQ152" s="133"/>
      <c r="OR152" s="133"/>
      <c r="OS152" s="133"/>
      <c r="OT152" s="133"/>
      <c r="OU152" s="133"/>
      <c r="OV152" s="133"/>
      <c r="OW152" s="133"/>
      <c r="OX152" s="133"/>
      <c r="OY152" s="133"/>
      <c r="OZ152" s="133"/>
      <c r="PA152" s="133"/>
      <c r="PB152" s="133"/>
      <c r="PC152" s="133"/>
      <c r="PD152" s="133"/>
      <c r="PE152" s="133"/>
      <c r="PF152" s="133"/>
      <c r="PG152" s="133"/>
      <c r="PH152" s="133"/>
      <c r="PI152" s="133"/>
      <c r="PJ152" s="133"/>
      <c r="PK152" s="133"/>
      <c r="PL152" s="133"/>
      <c r="PM152" s="133"/>
      <c r="PN152" s="133"/>
      <c r="PO152" s="133"/>
      <c r="PP152" s="133"/>
      <c r="PQ152" s="133"/>
      <c r="PR152" s="133"/>
      <c r="PS152" s="133"/>
      <c r="PT152" s="133"/>
      <c r="PU152" s="133"/>
      <c r="PV152" s="133"/>
      <c r="PW152" s="133"/>
      <c r="PX152" s="133"/>
      <c r="PY152" s="133"/>
      <c r="PZ152" s="133"/>
      <c r="QA152" s="133"/>
      <c r="QB152" s="133"/>
      <c r="QC152" s="133"/>
      <c r="QD152" s="133"/>
      <c r="QE152" s="133"/>
      <c r="QF152" s="133"/>
      <c r="QG152" s="133"/>
      <c r="QH152" s="133"/>
      <c r="QI152" s="133"/>
      <c r="QJ152" s="133"/>
      <c r="QK152" s="133"/>
      <c r="QL152" s="133"/>
      <c r="QM152" s="133"/>
      <c r="QN152" s="133"/>
      <c r="QO152" s="133"/>
      <c r="QP152" s="133"/>
      <c r="QQ152" s="133"/>
      <c r="QR152" s="133"/>
      <c r="QS152" s="133"/>
      <c r="QT152" s="133"/>
      <c r="QU152" s="133"/>
      <c r="QV152" s="133"/>
      <c r="QW152" s="133"/>
      <c r="QX152" s="133"/>
      <c r="QY152" s="133"/>
      <c r="QZ152" s="133"/>
      <c r="RA152" s="133"/>
      <c r="RB152" s="133"/>
      <c r="RC152" s="133"/>
      <c r="RD152" s="133"/>
      <c r="RE152" s="133"/>
      <c r="RF152" s="133"/>
      <c r="RG152" s="133"/>
      <c r="RH152" s="133"/>
      <c r="RI152" s="133"/>
      <c r="RJ152" s="133"/>
      <c r="RK152" s="133"/>
      <c r="RL152" s="133"/>
      <c r="RM152" s="133"/>
      <c r="RN152" s="133"/>
      <c r="RO152" s="133"/>
      <c r="RP152" s="133"/>
      <c r="RQ152" s="133"/>
      <c r="RR152" s="133"/>
      <c r="RS152" s="133"/>
      <c r="RT152" s="133"/>
      <c r="RU152" s="133"/>
      <c r="RV152" s="133"/>
      <c r="RW152" s="133"/>
      <c r="RX152" s="133"/>
      <c r="RY152" s="133"/>
      <c r="RZ152" s="133"/>
      <c r="SA152" s="133"/>
      <c r="SB152" s="133"/>
      <c r="SC152" s="133"/>
      <c r="SD152" s="133"/>
      <c r="SE152" s="133"/>
      <c r="SF152" s="133"/>
      <c r="SG152" s="133"/>
      <c r="SH152" s="133"/>
      <c r="SI152" s="133"/>
      <c r="SJ152" s="133"/>
      <c r="SK152" s="133"/>
      <c r="SL152" s="133"/>
      <c r="SM152" s="133"/>
      <c r="SN152" s="133"/>
      <c r="SO152" s="133"/>
      <c r="SP152" s="133"/>
      <c r="SQ152" s="133"/>
      <c r="SR152" s="133"/>
      <c r="SS152" s="133"/>
      <c r="ST152" s="133"/>
      <c r="SU152" s="133"/>
      <c r="SV152" s="133"/>
      <c r="SW152" s="133"/>
      <c r="SX152" s="133"/>
      <c r="SY152" s="133"/>
      <c r="SZ152" s="133"/>
      <c r="TA152" s="133"/>
      <c r="TB152" s="133"/>
      <c r="TC152" s="133"/>
      <c r="TD152" s="133"/>
      <c r="TE152" s="133"/>
      <c r="TF152" s="133"/>
      <c r="TG152" s="133"/>
      <c r="TH152" s="133"/>
      <c r="TI152" s="133"/>
    </row>
    <row r="153" spans="1:529" s="134" customFormat="1" x14ac:dyDescent="0.25">
      <c r="A153" s="43"/>
      <c r="B153" s="44"/>
      <c r="C153" s="44"/>
      <c r="D153" s="22" t="s">
        <v>308</v>
      </c>
      <c r="E153" s="69">
        <f t="shared" si="69"/>
        <v>0</v>
      </c>
      <c r="F153" s="69"/>
      <c r="G153" s="69"/>
      <c r="H153" s="69"/>
      <c r="I153" s="69"/>
      <c r="J153" s="69">
        <f t="shared" si="70"/>
        <v>80000000</v>
      </c>
      <c r="K153" s="69"/>
      <c r="L153" s="69">
        <v>80000000</v>
      </c>
      <c r="M153" s="69"/>
      <c r="N153" s="69"/>
      <c r="O153" s="69"/>
      <c r="P153" s="69">
        <f t="shared" si="71"/>
        <v>80000000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  <c r="IU153" s="133"/>
      <c r="IV153" s="133"/>
      <c r="IW153" s="133"/>
      <c r="IX153" s="133"/>
      <c r="IY153" s="133"/>
      <c r="IZ153" s="133"/>
      <c r="JA153" s="133"/>
      <c r="JB153" s="133"/>
      <c r="JC153" s="133"/>
      <c r="JD153" s="133"/>
      <c r="JE153" s="133"/>
      <c r="JF153" s="133"/>
      <c r="JG153" s="133"/>
      <c r="JH153" s="133"/>
      <c r="JI153" s="133"/>
      <c r="JJ153" s="133"/>
      <c r="JK153" s="133"/>
      <c r="JL153" s="133"/>
      <c r="JM153" s="133"/>
      <c r="JN153" s="133"/>
      <c r="JO153" s="133"/>
      <c r="JP153" s="133"/>
      <c r="JQ153" s="133"/>
      <c r="JR153" s="133"/>
      <c r="JS153" s="133"/>
      <c r="JT153" s="133"/>
      <c r="JU153" s="133"/>
      <c r="JV153" s="133"/>
      <c r="JW153" s="133"/>
      <c r="JX153" s="133"/>
      <c r="JY153" s="133"/>
      <c r="JZ153" s="133"/>
      <c r="KA153" s="133"/>
      <c r="KB153" s="133"/>
      <c r="KC153" s="133"/>
      <c r="KD153" s="133"/>
      <c r="KE153" s="133"/>
      <c r="KF153" s="133"/>
      <c r="KG153" s="133"/>
      <c r="KH153" s="133"/>
      <c r="KI153" s="133"/>
      <c r="KJ153" s="133"/>
      <c r="KK153" s="133"/>
      <c r="KL153" s="133"/>
      <c r="KM153" s="133"/>
      <c r="KN153" s="133"/>
      <c r="KO153" s="133"/>
      <c r="KP153" s="133"/>
      <c r="KQ153" s="133"/>
      <c r="KR153" s="133"/>
      <c r="KS153" s="133"/>
      <c r="KT153" s="133"/>
      <c r="KU153" s="133"/>
      <c r="KV153" s="133"/>
      <c r="KW153" s="133"/>
      <c r="KX153" s="133"/>
      <c r="KY153" s="133"/>
      <c r="KZ153" s="133"/>
      <c r="LA153" s="133"/>
      <c r="LB153" s="133"/>
      <c r="LC153" s="133"/>
      <c r="LD153" s="133"/>
      <c r="LE153" s="133"/>
      <c r="LF153" s="133"/>
      <c r="LG153" s="133"/>
      <c r="LH153" s="133"/>
      <c r="LI153" s="133"/>
      <c r="LJ153" s="133"/>
      <c r="LK153" s="133"/>
      <c r="LL153" s="133"/>
      <c r="LM153" s="133"/>
      <c r="LN153" s="133"/>
      <c r="LO153" s="133"/>
      <c r="LP153" s="133"/>
      <c r="LQ153" s="133"/>
      <c r="LR153" s="133"/>
      <c r="LS153" s="133"/>
      <c r="LT153" s="133"/>
      <c r="LU153" s="133"/>
      <c r="LV153" s="133"/>
      <c r="LW153" s="133"/>
      <c r="LX153" s="133"/>
      <c r="LY153" s="133"/>
      <c r="LZ153" s="133"/>
      <c r="MA153" s="133"/>
      <c r="MB153" s="133"/>
      <c r="MC153" s="133"/>
      <c r="MD153" s="133"/>
      <c r="ME153" s="133"/>
      <c r="MF153" s="133"/>
      <c r="MG153" s="133"/>
      <c r="MH153" s="133"/>
      <c r="MI153" s="133"/>
      <c r="MJ153" s="133"/>
      <c r="MK153" s="133"/>
      <c r="ML153" s="133"/>
      <c r="MM153" s="133"/>
      <c r="MN153" s="133"/>
      <c r="MO153" s="133"/>
      <c r="MP153" s="133"/>
      <c r="MQ153" s="133"/>
      <c r="MR153" s="133"/>
      <c r="MS153" s="133"/>
      <c r="MT153" s="133"/>
      <c r="MU153" s="133"/>
      <c r="MV153" s="133"/>
      <c r="MW153" s="133"/>
      <c r="MX153" s="133"/>
      <c r="MY153" s="133"/>
      <c r="MZ153" s="133"/>
      <c r="NA153" s="133"/>
      <c r="NB153" s="133"/>
      <c r="NC153" s="133"/>
      <c r="ND153" s="133"/>
      <c r="NE153" s="133"/>
      <c r="NF153" s="133"/>
      <c r="NG153" s="133"/>
      <c r="NH153" s="133"/>
      <c r="NI153" s="133"/>
      <c r="NJ153" s="133"/>
      <c r="NK153" s="133"/>
      <c r="NL153" s="133"/>
      <c r="NM153" s="133"/>
      <c r="NN153" s="133"/>
      <c r="NO153" s="133"/>
      <c r="NP153" s="133"/>
      <c r="NQ153" s="133"/>
      <c r="NR153" s="133"/>
      <c r="NS153" s="133"/>
      <c r="NT153" s="133"/>
      <c r="NU153" s="133"/>
      <c r="NV153" s="133"/>
      <c r="NW153" s="133"/>
      <c r="NX153" s="133"/>
      <c r="NY153" s="133"/>
      <c r="NZ153" s="133"/>
      <c r="OA153" s="133"/>
      <c r="OB153" s="133"/>
      <c r="OC153" s="133"/>
      <c r="OD153" s="133"/>
      <c r="OE153" s="133"/>
      <c r="OF153" s="133"/>
      <c r="OG153" s="133"/>
      <c r="OH153" s="133"/>
      <c r="OI153" s="133"/>
      <c r="OJ153" s="133"/>
      <c r="OK153" s="133"/>
      <c r="OL153" s="133"/>
      <c r="OM153" s="133"/>
      <c r="ON153" s="133"/>
      <c r="OO153" s="133"/>
      <c r="OP153" s="133"/>
      <c r="OQ153" s="133"/>
      <c r="OR153" s="133"/>
      <c r="OS153" s="133"/>
      <c r="OT153" s="133"/>
      <c r="OU153" s="133"/>
      <c r="OV153" s="133"/>
      <c r="OW153" s="133"/>
      <c r="OX153" s="133"/>
      <c r="OY153" s="133"/>
      <c r="OZ153" s="133"/>
      <c r="PA153" s="133"/>
      <c r="PB153" s="133"/>
      <c r="PC153" s="133"/>
      <c r="PD153" s="133"/>
      <c r="PE153" s="133"/>
      <c r="PF153" s="133"/>
      <c r="PG153" s="133"/>
      <c r="PH153" s="133"/>
      <c r="PI153" s="133"/>
      <c r="PJ153" s="133"/>
      <c r="PK153" s="133"/>
      <c r="PL153" s="133"/>
      <c r="PM153" s="133"/>
      <c r="PN153" s="133"/>
      <c r="PO153" s="133"/>
      <c r="PP153" s="133"/>
      <c r="PQ153" s="133"/>
      <c r="PR153" s="133"/>
      <c r="PS153" s="133"/>
      <c r="PT153" s="133"/>
      <c r="PU153" s="133"/>
      <c r="PV153" s="133"/>
      <c r="PW153" s="133"/>
      <c r="PX153" s="133"/>
      <c r="PY153" s="133"/>
      <c r="PZ153" s="133"/>
      <c r="QA153" s="133"/>
      <c r="QB153" s="133"/>
      <c r="QC153" s="133"/>
      <c r="QD153" s="133"/>
      <c r="QE153" s="133"/>
      <c r="QF153" s="133"/>
      <c r="QG153" s="133"/>
      <c r="QH153" s="133"/>
      <c r="QI153" s="133"/>
      <c r="QJ153" s="133"/>
      <c r="QK153" s="133"/>
      <c r="QL153" s="133"/>
      <c r="QM153" s="133"/>
      <c r="QN153" s="133"/>
      <c r="QO153" s="133"/>
      <c r="QP153" s="133"/>
      <c r="QQ153" s="133"/>
      <c r="QR153" s="133"/>
      <c r="QS153" s="133"/>
      <c r="QT153" s="133"/>
      <c r="QU153" s="133"/>
      <c r="QV153" s="133"/>
      <c r="QW153" s="133"/>
      <c r="QX153" s="133"/>
      <c r="QY153" s="133"/>
      <c r="QZ153" s="133"/>
      <c r="RA153" s="133"/>
      <c r="RB153" s="133"/>
      <c r="RC153" s="133"/>
      <c r="RD153" s="133"/>
      <c r="RE153" s="133"/>
      <c r="RF153" s="133"/>
      <c r="RG153" s="133"/>
      <c r="RH153" s="133"/>
      <c r="RI153" s="133"/>
      <c r="RJ153" s="133"/>
      <c r="RK153" s="133"/>
      <c r="RL153" s="133"/>
      <c r="RM153" s="133"/>
      <c r="RN153" s="133"/>
      <c r="RO153" s="133"/>
      <c r="RP153" s="133"/>
      <c r="RQ153" s="133"/>
      <c r="RR153" s="133"/>
      <c r="RS153" s="133"/>
      <c r="RT153" s="133"/>
      <c r="RU153" s="133"/>
      <c r="RV153" s="133"/>
      <c r="RW153" s="133"/>
      <c r="RX153" s="133"/>
      <c r="RY153" s="133"/>
      <c r="RZ153" s="133"/>
      <c r="SA153" s="133"/>
      <c r="SB153" s="133"/>
      <c r="SC153" s="133"/>
      <c r="SD153" s="133"/>
      <c r="SE153" s="133"/>
      <c r="SF153" s="133"/>
      <c r="SG153" s="133"/>
      <c r="SH153" s="133"/>
      <c r="SI153" s="133"/>
      <c r="SJ153" s="133"/>
      <c r="SK153" s="133"/>
      <c r="SL153" s="133"/>
      <c r="SM153" s="133"/>
      <c r="SN153" s="133"/>
      <c r="SO153" s="133"/>
      <c r="SP153" s="133"/>
      <c r="SQ153" s="133"/>
      <c r="SR153" s="133"/>
      <c r="SS153" s="133"/>
      <c r="ST153" s="133"/>
      <c r="SU153" s="133"/>
      <c r="SV153" s="133"/>
      <c r="SW153" s="133"/>
      <c r="SX153" s="133"/>
      <c r="SY153" s="133"/>
      <c r="SZ153" s="133"/>
      <c r="TA153" s="133"/>
      <c r="TB153" s="133"/>
      <c r="TC153" s="133"/>
      <c r="TD153" s="133"/>
      <c r="TE153" s="133"/>
      <c r="TF153" s="133"/>
      <c r="TG153" s="133"/>
      <c r="TH153" s="133"/>
      <c r="TI153" s="133"/>
    </row>
    <row r="154" spans="1:529" s="23" customFormat="1" ht="20.25" customHeight="1" x14ac:dyDescent="0.25">
      <c r="A154" s="43" t="s">
        <v>239</v>
      </c>
      <c r="B154" s="44" t="str">
        <f>'дод 3'!A124</f>
        <v>7640</v>
      </c>
      <c r="C154" s="44" t="str">
        <f>'дод 3'!B124</f>
        <v>0470</v>
      </c>
      <c r="D154" s="24" t="str">
        <f>'дод 3'!C124</f>
        <v>Заходи з енергозбереження</v>
      </c>
      <c r="E154" s="69">
        <f t="shared" si="66"/>
        <v>1500000</v>
      </c>
      <c r="F154" s="69">
        <f>750000-250000</f>
        <v>500000</v>
      </c>
      <c r="G154" s="69"/>
      <c r="H154" s="69"/>
      <c r="I154" s="69">
        <f>750000+250000</f>
        <v>1000000</v>
      </c>
      <c r="J154" s="69">
        <f t="shared" si="68"/>
        <v>0</v>
      </c>
      <c r="K154" s="69"/>
      <c r="L154" s="69"/>
      <c r="M154" s="69"/>
      <c r="N154" s="69"/>
      <c r="O154" s="69"/>
      <c r="P154" s="69">
        <f t="shared" si="67"/>
        <v>1500000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3" customFormat="1" ht="23.25" customHeight="1" x14ac:dyDescent="0.25">
      <c r="A155" s="43" t="s">
        <v>388</v>
      </c>
      <c r="B155" s="44" t="str">
        <f>'дод 3'!A127</f>
        <v>7670</v>
      </c>
      <c r="C155" s="44" t="str">
        <f>'дод 3'!B127</f>
        <v>0490</v>
      </c>
      <c r="D155" s="24" t="str">
        <f>'дод 3'!C127</f>
        <v>Внески до статутного капіталу суб’єктів господарювання</v>
      </c>
      <c r="E155" s="69">
        <f t="shared" si="66"/>
        <v>0</v>
      </c>
      <c r="F155" s="69"/>
      <c r="G155" s="69"/>
      <c r="H155" s="69"/>
      <c r="I155" s="69"/>
      <c r="J155" s="69">
        <f t="shared" si="68"/>
        <v>17042330</v>
      </c>
      <c r="K155" s="69">
        <f>7042330+10000000</f>
        <v>17042330</v>
      </c>
      <c r="L155" s="69"/>
      <c r="M155" s="69"/>
      <c r="N155" s="69"/>
      <c r="O155" s="69">
        <f>7042330+10000000</f>
        <v>17042330</v>
      </c>
      <c r="P155" s="69">
        <f t="shared" si="67"/>
        <v>17042330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23" customFormat="1" ht="102" customHeight="1" x14ac:dyDescent="0.25">
      <c r="A156" s="52" t="s">
        <v>350</v>
      </c>
      <c r="B156" s="45">
        <v>7691</v>
      </c>
      <c r="C156" s="45" t="s">
        <v>102</v>
      </c>
      <c r="D156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6" s="69">
        <f t="shared" si="66"/>
        <v>0</v>
      </c>
      <c r="F156" s="69"/>
      <c r="G156" s="69"/>
      <c r="H156" s="69"/>
      <c r="I156" s="69"/>
      <c r="J156" s="69">
        <f t="shared" si="68"/>
        <v>290090.27</v>
      </c>
      <c r="K156" s="69"/>
      <c r="L156" s="69">
        <f>41000+115890.27</f>
        <v>156890.27000000002</v>
      </c>
      <c r="M156" s="69"/>
      <c r="N156" s="69"/>
      <c r="O156" s="69">
        <v>133200</v>
      </c>
      <c r="P156" s="69">
        <f t="shared" si="67"/>
        <v>290090.27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3" customFormat="1" ht="60.75" customHeight="1" x14ac:dyDescent="0.25">
      <c r="A157" s="52" t="s">
        <v>472</v>
      </c>
      <c r="B157" s="45" t="str">
        <f>'дод 3'!A138</f>
        <v>8230</v>
      </c>
      <c r="C157" s="45" t="str">
        <f>'дод 3'!B138</f>
        <v>0380</v>
      </c>
      <c r="D157" s="150" t="str">
        <f>'дод 3'!C138</f>
        <v>Інші заходи громадського порядку та безпеки</v>
      </c>
      <c r="E157" s="69">
        <f t="shared" ref="E157" si="72">F157+I157</f>
        <v>110000</v>
      </c>
      <c r="F157" s="69">
        <v>110000</v>
      </c>
      <c r="G157" s="69"/>
      <c r="H157" s="69"/>
      <c r="I157" s="69"/>
      <c r="J157" s="69">
        <f t="shared" ref="J157" si="73">L157+O157</f>
        <v>0</v>
      </c>
      <c r="K157" s="69"/>
      <c r="L157" s="69"/>
      <c r="M157" s="69"/>
      <c r="N157" s="69"/>
      <c r="O157" s="69"/>
      <c r="P157" s="69">
        <f t="shared" ref="P157" si="74">E157+J157</f>
        <v>110000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24.75" customHeight="1" x14ac:dyDescent="0.25">
      <c r="A158" s="43" t="s">
        <v>240</v>
      </c>
      <c r="B158" s="44" t="str">
        <f>'дод 3'!A141</f>
        <v>8340</v>
      </c>
      <c r="C158" s="44" t="str">
        <f>'дод 3'!B141</f>
        <v>0540</v>
      </c>
      <c r="D158" s="24" t="str">
        <f>'дод 3'!C141</f>
        <v>Природоохоронні заходи за рахунок цільових фондів</v>
      </c>
      <c r="E158" s="69">
        <f t="shared" si="66"/>
        <v>0</v>
      </c>
      <c r="F158" s="69"/>
      <c r="G158" s="69"/>
      <c r="H158" s="69"/>
      <c r="I158" s="69"/>
      <c r="J158" s="69">
        <f t="shared" si="68"/>
        <v>5599043.4500000002</v>
      </c>
      <c r="K158" s="69"/>
      <c r="L158" s="69">
        <v>1870000</v>
      </c>
      <c r="M158" s="69"/>
      <c r="N158" s="69">
        <v>540000</v>
      </c>
      <c r="O158" s="69">
        <f>1946500+1782543.45</f>
        <v>3729043.45</v>
      </c>
      <c r="P158" s="69">
        <f t="shared" si="67"/>
        <v>5599043.4500000002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3" customFormat="1" ht="23.25" customHeight="1" x14ac:dyDescent="0.25">
      <c r="A159" s="43" t="s">
        <v>241</v>
      </c>
      <c r="B159" s="44" t="str">
        <f>'дод 3'!A150</f>
        <v>9770</v>
      </c>
      <c r="C159" s="44" t="str">
        <f>'дод 3'!B150</f>
        <v>0180</v>
      </c>
      <c r="D159" s="24" t="str">
        <f>'дод 3'!C150</f>
        <v>Інші субвенції з місцевого бюджету</v>
      </c>
      <c r="E159" s="69">
        <f t="shared" si="66"/>
        <v>368000</v>
      </c>
      <c r="F159" s="69">
        <v>368000</v>
      </c>
      <c r="G159" s="69"/>
      <c r="H159" s="69"/>
      <c r="I159" s="69"/>
      <c r="J159" s="69">
        <f t="shared" si="68"/>
        <v>7632000</v>
      </c>
      <c r="K159" s="69">
        <f>8000000-368000</f>
        <v>7632000</v>
      </c>
      <c r="L159" s="69"/>
      <c r="M159" s="69"/>
      <c r="N159" s="69"/>
      <c r="O159" s="69">
        <f>8000000-368000</f>
        <v>7632000</v>
      </c>
      <c r="P159" s="69">
        <f t="shared" si="67"/>
        <v>8000000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31" customFormat="1" ht="33.75" customHeight="1" x14ac:dyDescent="0.2">
      <c r="A160" s="76" t="s">
        <v>37</v>
      </c>
      <c r="B160" s="74"/>
      <c r="C160" s="74"/>
      <c r="D160" s="30" t="s">
        <v>47</v>
      </c>
      <c r="E160" s="66">
        <f>E161</f>
        <v>6157500</v>
      </c>
      <c r="F160" s="66">
        <f t="shared" ref="F160:J161" si="75">F161</f>
        <v>6157500</v>
      </c>
      <c r="G160" s="66">
        <f t="shared" si="75"/>
        <v>4788800</v>
      </c>
      <c r="H160" s="66">
        <f t="shared" si="75"/>
        <v>98300</v>
      </c>
      <c r="I160" s="66">
        <f t="shared" si="75"/>
        <v>0</v>
      </c>
      <c r="J160" s="66">
        <f t="shared" si="75"/>
        <v>160000</v>
      </c>
      <c r="K160" s="66">
        <f t="shared" ref="K160:K161" si="76">K161</f>
        <v>160000</v>
      </c>
      <c r="L160" s="66">
        <f t="shared" ref="L160:L161" si="77">L161</f>
        <v>0</v>
      </c>
      <c r="M160" s="66">
        <f t="shared" ref="M160:M161" si="78">M161</f>
        <v>0</v>
      </c>
      <c r="N160" s="66">
        <f t="shared" ref="N160:N161" si="79">N161</f>
        <v>0</v>
      </c>
      <c r="O160" s="66">
        <f t="shared" ref="O160:P161" si="80">O161</f>
        <v>160000</v>
      </c>
      <c r="P160" s="66">
        <f t="shared" si="80"/>
        <v>6317500</v>
      </c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  <c r="IW160" s="38"/>
      <c r="IX160" s="38"/>
      <c r="IY160" s="38"/>
      <c r="IZ160" s="38"/>
      <c r="JA160" s="38"/>
      <c r="JB160" s="38"/>
      <c r="JC160" s="38"/>
      <c r="JD160" s="38"/>
      <c r="JE160" s="38"/>
      <c r="JF160" s="38"/>
      <c r="JG160" s="38"/>
      <c r="JH160" s="38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JS160" s="38"/>
      <c r="JT160" s="38"/>
      <c r="JU160" s="38"/>
      <c r="JV160" s="38"/>
      <c r="JW160" s="38"/>
      <c r="JX160" s="38"/>
      <c r="JY160" s="38"/>
      <c r="JZ160" s="38"/>
      <c r="KA160" s="38"/>
      <c r="KB160" s="38"/>
      <c r="KC160" s="38"/>
      <c r="KD160" s="38"/>
      <c r="KE160" s="38"/>
      <c r="KF160" s="38"/>
      <c r="KG160" s="38"/>
      <c r="KH160" s="38"/>
      <c r="KI160" s="38"/>
      <c r="KJ160" s="38"/>
      <c r="KK160" s="38"/>
      <c r="KL160" s="38"/>
      <c r="KM160" s="38"/>
      <c r="KN160" s="38"/>
      <c r="KO160" s="38"/>
      <c r="KP160" s="38"/>
      <c r="KQ160" s="38"/>
      <c r="KR160" s="38"/>
      <c r="KS160" s="38"/>
      <c r="KT160" s="38"/>
      <c r="KU160" s="38"/>
      <c r="KV160" s="38"/>
      <c r="KW160" s="38"/>
      <c r="KX160" s="38"/>
      <c r="KY160" s="38"/>
      <c r="KZ160" s="38"/>
      <c r="LA160" s="38"/>
      <c r="LB160" s="38"/>
      <c r="LC160" s="38"/>
      <c r="LD160" s="38"/>
      <c r="LE160" s="38"/>
      <c r="LF160" s="38"/>
      <c r="LG160" s="38"/>
      <c r="LH160" s="38"/>
      <c r="LI160" s="38"/>
      <c r="LJ160" s="38"/>
      <c r="LK160" s="38"/>
      <c r="LL160" s="38"/>
      <c r="LM160" s="38"/>
      <c r="LN160" s="38"/>
      <c r="LO160" s="38"/>
      <c r="LP160" s="38"/>
      <c r="LQ160" s="38"/>
      <c r="LR160" s="38"/>
      <c r="LS160" s="38"/>
      <c r="LT160" s="38"/>
      <c r="LU160" s="38"/>
      <c r="LV160" s="38"/>
      <c r="LW160" s="38"/>
      <c r="LX160" s="38"/>
      <c r="LY160" s="38"/>
      <c r="LZ160" s="38"/>
      <c r="MA160" s="38"/>
      <c r="MB160" s="38"/>
      <c r="MC160" s="38"/>
      <c r="MD160" s="38"/>
      <c r="ME160" s="38"/>
      <c r="MF160" s="38"/>
      <c r="MG160" s="38"/>
      <c r="MH160" s="38"/>
      <c r="MI160" s="38"/>
      <c r="MJ160" s="38"/>
      <c r="MK160" s="38"/>
      <c r="ML160" s="38"/>
      <c r="MM160" s="38"/>
      <c r="MN160" s="38"/>
      <c r="MO160" s="38"/>
      <c r="MP160" s="38"/>
      <c r="MQ160" s="38"/>
      <c r="MR160" s="38"/>
      <c r="MS160" s="38"/>
      <c r="MT160" s="38"/>
      <c r="MU160" s="38"/>
      <c r="MV160" s="38"/>
      <c r="MW160" s="38"/>
      <c r="MX160" s="38"/>
      <c r="MY160" s="38"/>
      <c r="MZ160" s="38"/>
      <c r="NA160" s="38"/>
      <c r="NB160" s="38"/>
      <c r="NC160" s="38"/>
      <c r="ND160" s="38"/>
      <c r="NE160" s="38"/>
      <c r="NF160" s="38"/>
      <c r="NG160" s="38"/>
      <c r="NH160" s="38"/>
      <c r="NI160" s="38"/>
      <c r="NJ160" s="38"/>
      <c r="NK160" s="38"/>
      <c r="NL160" s="38"/>
      <c r="NM160" s="38"/>
      <c r="NN160" s="38"/>
      <c r="NO160" s="38"/>
      <c r="NP160" s="38"/>
      <c r="NQ160" s="38"/>
      <c r="NR160" s="38"/>
      <c r="NS160" s="38"/>
      <c r="NT160" s="38"/>
      <c r="NU160" s="38"/>
      <c r="NV160" s="38"/>
      <c r="NW160" s="38"/>
      <c r="NX160" s="38"/>
      <c r="NY160" s="38"/>
      <c r="NZ160" s="38"/>
      <c r="OA160" s="38"/>
      <c r="OB160" s="38"/>
      <c r="OC160" s="38"/>
      <c r="OD160" s="38"/>
      <c r="OE160" s="38"/>
      <c r="OF160" s="38"/>
      <c r="OG160" s="38"/>
      <c r="OH160" s="38"/>
      <c r="OI160" s="38"/>
      <c r="OJ160" s="38"/>
      <c r="OK160" s="38"/>
      <c r="OL160" s="38"/>
      <c r="OM160" s="38"/>
      <c r="ON160" s="38"/>
      <c r="OO160" s="38"/>
      <c r="OP160" s="38"/>
      <c r="OQ160" s="38"/>
      <c r="OR160" s="38"/>
      <c r="OS160" s="38"/>
      <c r="OT160" s="38"/>
      <c r="OU160" s="38"/>
      <c r="OV160" s="38"/>
      <c r="OW160" s="38"/>
      <c r="OX160" s="38"/>
      <c r="OY160" s="38"/>
      <c r="OZ160" s="38"/>
      <c r="PA160" s="38"/>
      <c r="PB160" s="38"/>
      <c r="PC160" s="38"/>
      <c r="PD160" s="38"/>
      <c r="PE160" s="38"/>
      <c r="PF160" s="38"/>
      <c r="PG160" s="38"/>
      <c r="PH160" s="38"/>
      <c r="PI160" s="38"/>
      <c r="PJ160" s="38"/>
      <c r="PK160" s="38"/>
      <c r="PL160" s="38"/>
      <c r="PM160" s="38"/>
      <c r="PN160" s="38"/>
      <c r="PO160" s="38"/>
      <c r="PP160" s="38"/>
      <c r="PQ160" s="38"/>
      <c r="PR160" s="38"/>
      <c r="PS160" s="38"/>
      <c r="PT160" s="38"/>
      <c r="PU160" s="38"/>
      <c r="PV160" s="38"/>
      <c r="PW160" s="38"/>
      <c r="PX160" s="38"/>
      <c r="PY160" s="38"/>
      <c r="PZ160" s="38"/>
      <c r="QA160" s="38"/>
      <c r="QB160" s="38"/>
      <c r="QC160" s="38"/>
      <c r="QD160" s="38"/>
      <c r="QE160" s="38"/>
      <c r="QF160" s="38"/>
      <c r="QG160" s="38"/>
      <c r="QH160" s="38"/>
      <c r="QI160" s="38"/>
      <c r="QJ160" s="38"/>
      <c r="QK160" s="38"/>
      <c r="QL160" s="38"/>
      <c r="QM160" s="38"/>
      <c r="QN160" s="38"/>
      <c r="QO160" s="38"/>
      <c r="QP160" s="38"/>
      <c r="QQ160" s="38"/>
      <c r="QR160" s="38"/>
      <c r="QS160" s="38"/>
      <c r="QT160" s="38"/>
      <c r="QU160" s="38"/>
      <c r="QV160" s="38"/>
      <c r="QW160" s="38"/>
      <c r="QX160" s="38"/>
      <c r="QY160" s="38"/>
      <c r="QZ160" s="38"/>
      <c r="RA160" s="38"/>
      <c r="RB160" s="38"/>
      <c r="RC160" s="38"/>
      <c r="RD160" s="38"/>
      <c r="RE160" s="38"/>
      <c r="RF160" s="38"/>
      <c r="RG160" s="38"/>
      <c r="RH160" s="38"/>
      <c r="RI160" s="38"/>
      <c r="RJ160" s="38"/>
      <c r="RK160" s="38"/>
      <c r="RL160" s="38"/>
      <c r="RM160" s="38"/>
      <c r="RN160" s="38"/>
      <c r="RO160" s="38"/>
      <c r="RP160" s="38"/>
      <c r="RQ160" s="38"/>
      <c r="RR160" s="38"/>
      <c r="RS160" s="38"/>
      <c r="RT160" s="38"/>
      <c r="RU160" s="38"/>
      <c r="RV160" s="38"/>
      <c r="RW160" s="38"/>
      <c r="RX160" s="38"/>
      <c r="RY160" s="38"/>
      <c r="RZ160" s="38"/>
      <c r="SA160" s="38"/>
      <c r="SB160" s="38"/>
      <c r="SC160" s="38"/>
      <c r="SD160" s="38"/>
      <c r="SE160" s="38"/>
      <c r="SF160" s="38"/>
      <c r="SG160" s="38"/>
      <c r="SH160" s="38"/>
      <c r="SI160" s="38"/>
      <c r="SJ160" s="38"/>
      <c r="SK160" s="38"/>
      <c r="SL160" s="38"/>
      <c r="SM160" s="38"/>
      <c r="SN160" s="38"/>
      <c r="SO160" s="38"/>
      <c r="SP160" s="38"/>
      <c r="SQ160" s="38"/>
      <c r="SR160" s="38"/>
      <c r="SS160" s="38"/>
      <c r="ST160" s="38"/>
      <c r="SU160" s="38"/>
      <c r="SV160" s="38"/>
      <c r="SW160" s="38"/>
      <c r="SX160" s="38"/>
      <c r="SY160" s="38"/>
      <c r="SZ160" s="38"/>
      <c r="TA160" s="38"/>
      <c r="TB160" s="38"/>
      <c r="TC160" s="38"/>
      <c r="TD160" s="38"/>
      <c r="TE160" s="38"/>
      <c r="TF160" s="38"/>
      <c r="TG160" s="38"/>
      <c r="TH160" s="38"/>
      <c r="TI160" s="38"/>
    </row>
    <row r="161" spans="1:529" s="40" customFormat="1" ht="36.75" customHeight="1" x14ac:dyDescent="0.25">
      <c r="A161" s="77" t="s">
        <v>139</v>
      </c>
      <c r="B161" s="75"/>
      <c r="C161" s="75"/>
      <c r="D161" s="33" t="s">
        <v>47</v>
      </c>
      <c r="E161" s="68">
        <f>E162</f>
        <v>6157500</v>
      </c>
      <c r="F161" s="68">
        <f t="shared" si="75"/>
        <v>6157500</v>
      </c>
      <c r="G161" s="68">
        <f t="shared" si="75"/>
        <v>4788800</v>
      </c>
      <c r="H161" s="68">
        <f t="shared" si="75"/>
        <v>98300</v>
      </c>
      <c r="I161" s="68">
        <f t="shared" si="75"/>
        <v>0</v>
      </c>
      <c r="J161" s="68">
        <f t="shared" si="75"/>
        <v>160000</v>
      </c>
      <c r="K161" s="68">
        <f t="shared" si="76"/>
        <v>160000</v>
      </c>
      <c r="L161" s="68">
        <f t="shared" si="77"/>
        <v>0</v>
      </c>
      <c r="M161" s="68">
        <f t="shared" si="78"/>
        <v>0</v>
      </c>
      <c r="N161" s="68">
        <f t="shared" si="79"/>
        <v>0</v>
      </c>
      <c r="O161" s="68">
        <f t="shared" si="80"/>
        <v>160000</v>
      </c>
      <c r="P161" s="68">
        <f t="shared" si="80"/>
        <v>6317500</v>
      </c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  <c r="IW161" s="39"/>
      <c r="IX161" s="39"/>
      <c r="IY161" s="39"/>
      <c r="IZ161" s="39"/>
      <c r="JA161" s="39"/>
      <c r="JB161" s="39"/>
      <c r="JC161" s="39"/>
      <c r="JD161" s="39"/>
      <c r="JE161" s="39"/>
      <c r="JF161" s="39"/>
      <c r="JG161" s="39"/>
      <c r="JH161" s="39"/>
      <c r="JI161" s="39"/>
      <c r="JJ161" s="39"/>
      <c r="JK161" s="39"/>
      <c r="JL161" s="39"/>
      <c r="JM161" s="39"/>
      <c r="JN161" s="39"/>
      <c r="JO161" s="39"/>
      <c r="JP161" s="39"/>
      <c r="JQ161" s="39"/>
      <c r="JR161" s="39"/>
      <c r="JS161" s="39"/>
      <c r="JT161" s="39"/>
      <c r="JU161" s="39"/>
      <c r="JV161" s="39"/>
      <c r="JW161" s="39"/>
      <c r="JX161" s="39"/>
      <c r="JY161" s="39"/>
      <c r="JZ161" s="39"/>
      <c r="KA161" s="39"/>
      <c r="KB161" s="39"/>
      <c r="KC161" s="39"/>
      <c r="KD161" s="39"/>
      <c r="KE161" s="39"/>
      <c r="KF161" s="39"/>
      <c r="KG161" s="39"/>
      <c r="KH161" s="39"/>
      <c r="KI161" s="39"/>
      <c r="KJ161" s="39"/>
      <c r="KK161" s="39"/>
      <c r="KL161" s="39"/>
      <c r="KM161" s="39"/>
      <c r="KN161" s="39"/>
      <c r="KO161" s="39"/>
      <c r="KP161" s="39"/>
      <c r="KQ161" s="39"/>
      <c r="KR161" s="39"/>
      <c r="KS161" s="39"/>
      <c r="KT161" s="39"/>
      <c r="KU161" s="39"/>
      <c r="KV161" s="39"/>
      <c r="KW161" s="39"/>
      <c r="KX161" s="39"/>
      <c r="KY161" s="39"/>
      <c r="KZ161" s="39"/>
      <c r="LA161" s="39"/>
      <c r="LB161" s="39"/>
      <c r="LC161" s="39"/>
      <c r="LD161" s="39"/>
      <c r="LE161" s="39"/>
      <c r="LF161" s="39"/>
      <c r="LG161" s="39"/>
      <c r="LH161" s="39"/>
      <c r="LI161" s="39"/>
      <c r="LJ161" s="39"/>
      <c r="LK161" s="39"/>
      <c r="LL161" s="39"/>
      <c r="LM161" s="39"/>
      <c r="LN161" s="39"/>
      <c r="LO161" s="39"/>
      <c r="LP161" s="39"/>
      <c r="LQ161" s="39"/>
      <c r="LR161" s="39"/>
      <c r="LS161" s="39"/>
      <c r="LT161" s="39"/>
      <c r="LU161" s="39"/>
      <c r="LV161" s="39"/>
      <c r="LW161" s="39"/>
      <c r="LX161" s="39"/>
      <c r="LY161" s="39"/>
      <c r="LZ161" s="39"/>
      <c r="MA161" s="39"/>
      <c r="MB161" s="39"/>
      <c r="MC161" s="39"/>
      <c r="MD161" s="39"/>
      <c r="ME161" s="39"/>
      <c r="MF161" s="39"/>
      <c r="MG161" s="39"/>
      <c r="MH161" s="39"/>
      <c r="MI161" s="39"/>
      <c r="MJ161" s="39"/>
      <c r="MK161" s="39"/>
      <c r="ML161" s="39"/>
      <c r="MM161" s="39"/>
      <c r="MN161" s="39"/>
      <c r="MO161" s="39"/>
      <c r="MP161" s="39"/>
      <c r="MQ161" s="39"/>
      <c r="MR161" s="39"/>
      <c r="MS161" s="39"/>
      <c r="MT161" s="39"/>
      <c r="MU161" s="39"/>
      <c r="MV161" s="39"/>
      <c r="MW161" s="39"/>
      <c r="MX161" s="39"/>
      <c r="MY161" s="39"/>
      <c r="MZ161" s="39"/>
      <c r="NA161" s="39"/>
      <c r="NB161" s="39"/>
      <c r="NC161" s="39"/>
      <c r="ND161" s="39"/>
      <c r="NE161" s="39"/>
      <c r="NF161" s="39"/>
      <c r="NG161" s="39"/>
      <c r="NH161" s="39"/>
      <c r="NI161" s="39"/>
      <c r="NJ161" s="39"/>
      <c r="NK161" s="39"/>
      <c r="NL161" s="39"/>
      <c r="NM161" s="39"/>
      <c r="NN161" s="39"/>
      <c r="NO161" s="39"/>
      <c r="NP161" s="39"/>
      <c r="NQ161" s="39"/>
      <c r="NR161" s="39"/>
      <c r="NS161" s="39"/>
      <c r="NT161" s="39"/>
      <c r="NU161" s="39"/>
      <c r="NV161" s="39"/>
      <c r="NW161" s="39"/>
      <c r="NX161" s="39"/>
      <c r="NY161" s="39"/>
      <c r="NZ161" s="39"/>
      <c r="OA161" s="39"/>
      <c r="OB161" s="39"/>
      <c r="OC161" s="39"/>
      <c r="OD161" s="39"/>
      <c r="OE161" s="39"/>
      <c r="OF161" s="39"/>
      <c r="OG161" s="39"/>
      <c r="OH161" s="39"/>
      <c r="OI161" s="39"/>
      <c r="OJ161" s="39"/>
      <c r="OK161" s="39"/>
      <c r="OL161" s="39"/>
      <c r="OM161" s="39"/>
      <c r="ON161" s="39"/>
      <c r="OO161" s="39"/>
      <c r="OP161" s="39"/>
      <c r="OQ161" s="39"/>
      <c r="OR161" s="39"/>
      <c r="OS161" s="39"/>
      <c r="OT161" s="39"/>
      <c r="OU161" s="39"/>
      <c r="OV161" s="39"/>
      <c r="OW161" s="39"/>
      <c r="OX161" s="39"/>
      <c r="OY161" s="39"/>
      <c r="OZ161" s="39"/>
      <c r="PA161" s="39"/>
      <c r="PB161" s="39"/>
      <c r="PC161" s="39"/>
      <c r="PD161" s="39"/>
      <c r="PE161" s="39"/>
      <c r="PF161" s="39"/>
      <c r="PG161" s="39"/>
      <c r="PH161" s="39"/>
      <c r="PI161" s="39"/>
      <c r="PJ161" s="39"/>
      <c r="PK161" s="39"/>
      <c r="PL161" s="39"/>
      <c r="PM161" s="39"/>
      <c r="PN161" s="39"/>
      <c r="PO161" s="39"/>
      <c r="PP161" s="39"/>
      <c r="PQ161" s="39"/>
      <c r="PR161" s="39"/>
      <c r="PS161" s="39"/>
      <c r="PT161" s="39"/>
      <c r="PU161" s="39"/>
      <c r="PV161" s="39"/>
      <c r="PW161" s="39"/>
      <c r="PX161" s="39"/>
      <c r="PY161" s="39"/>
      <c r="PZ161" s="39"/>
      <c r="QA161" s="39"/>
      <c r="QB161" s="39"/>
      <c r="QC161" s="39"/>
      <c r="QD161" s="39"/>
      <c r="QE161" s="39"/>
      <c r="QF161" s="39"/>
      <c r="QG161" s="39"/>
      <c r="QH161" s="39"/>
      <c r="QI161" s="39"/>
      <c r="QJ161" s="39"/>
      <c r="QK161" s="39"/>
      <c r="QL161" s="39"/>
      <c r="QM161" s="39"/>
      <c r="QN161" s="39"/>
      <c r="QO161" s="39"/>
      <c r="QP161" s="39"/>
      <c r="QQ161" s="39"/>
      <c r="QR161" s="39"/>
      <c r="QS161" s="39"/>
      <c r="QT161" s="39"/>
      <c r="QU161" s="39"/>
      <c r="QV161" s="39"/>
      <c r="QW161" s="39"/>
      <c r="QX161" s="39"/>
      <c r="QY161" s="39"/>
      <c r="QZ161" s="39"/>
      <c r="RA161" s="39"/>
      <c r="RB161" s="39"/>
      <c r="RC161" s="39"/>
      <c r="RD161" s="39"/>
      <c r="RE161" s="39"/>
      <c r="RF161" s="39"/>
      <c r="RG161" s="39"/>
      <c r="RH161" s="39"/>
      <c r="RI161" s="39"/>
      <c r="RJ161" s="39"/>
      <c r="RK161" s="39"/>
      <c r="RL161" s="39"/>
      <c r="RM161" s="39"/>
      <c r="RN161" s="39"/>
      <c r="RO161" s="39"/>
      <c r="RP161" s="39"/>
      <c r="RQ161" s="39"/>
      <c r="RR161" s="39"/>
      <c r="RS161" s="39"/>
      <c r="RT161" s="39"/>
      <c r="RU161" s="39"/>
      <c r="RV161" s="39"/>
      <c r="RW161" s="39"/>
      <c r="RX161" s="39"/>
      <c r="RY161" s="39"/>
      <c r="RZ161" s="39"/>
      <c r="SA161" s="39"/>
      <c r="SB161" s="39"/>
      <c r="SC161" s="39"/>
      <c r="SD161" s="39"/>
      <c r="SE161" s="39"/>
      <c r="SF161" s="39"/>
      <c r="SG161" s="39"/>
      <c r="SH161" s="39"/>
      <c r="SI161" s="39"/>
      <c r="SJ161" s="39"/>
      <c r="SK161" s="39"/>
      <c r="SL161" s="39"/>
      <c r="SM161" s="39"/>
      <c r="SN161" s="39"/>
      <c r="SO161" s="39"/>
      <c r="SP161" s="39"/>
      <c r="SQ161" s="39"/>
      <c r="SR161" s="39"/>
      <c r="SS161" s="39"/>
      <c r="ST161" s="39"/>
      <c r="SU161" s="39"/>
      <c r="SV161" s="39"/>
      <c r="SW161" s="39"/>
      <c r="SX161" s="39"/>
      <c r="SY161" s="39"/>
      <c r="SZ161" s="39"/>
      <c r="TA161" s="39"/>
      <c r="TB161" s="39"/>
      <c r="TC161" s="39"/>
      <c r="TD161" s="39"/>
      <c r="TE161" s="39"/>
      <c r="TF161" s="39"/>
      <c r="TG161" s="39"/>
      <c r="TH161" s="39"/>
      <c r="TI161" s="39"/>
    </row>
    <row r="162" spans="1:529" s="23" customFormat="1" ht="45" x14ac:dyDescent="0.25">
      <c r="A162" s="43" t="s">
        <v>0</v>
      </c>
      <c r="B162" s="44" t="str">
        <f>'дод 3'!A20</f>
        <v>0160</v>
      </c>
      <c r="C162" s="44" t="str">
        <f>'дод 3'!B20</f>
        <v>0111</v>
      </c>
      <c r="D162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2" s="69">
        <f>F162+I162</f>
        <v>6157500</v>
      </c>
      <c r="F162" s="69">
        <f>6462800+10100-315400</f>
        <v>6157500</v>
      </c>
      <c r="G162" s="69">
        <f>5047300-258500</f>
        <v>4788800</v>
      </c>
      <c r="H162" s="69">
        <v>98300</v>
      </c>
      <c r="I162" s="69"/>
      <c r="J162" s="69">
        <f>L162+O162</f>
        <v>160000</v>
      </c>
      <c r="K162" s="69">
        <v>160000</v>
      </c>
      <c r="L162" s="69"/>
      <c r="M162" s="69"/>
      <c r="N162" s="69"/>
      <c r="O162" s="69">
        <v>160000</v>
      </c>
      <c r="P162" s="69">
        <f>E162+J162</f>
        <v>6317500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31" customFormat="1" ht="34.5" customHeight="1" x14ac:dyDescent="0.2">
      <c r="A163" s="76" t="s">
        <v>39</v>
      </c>
      <c r="B163" s="74"/>
      <c r="C163" s="74"/>
      <c r="D163" s="30" t="s">
        <v>46</v>
      </c>
      <c r="E163" s="66">
        <f>E164</f>
        <v>3706717</v>
      </c>
      <c r="F163" s="66">
        <f t="shared" ref="F163:J163" si="81">F164</f>
        <v>3621811</v>
      </c>
      <c r="G163" s="66">
        <f t="shared" si="81"/>
        <v>1552300</v>
      </c>
      <c r="H163" s="66">
        <f t="shared" si="81"/>
        <v>0</v>
      </c>
      <c r="I163" s="66">
        <f t="shared" si="81"/>
        <v>84906</v>
      </c>
      <c r="J163" s="66">
        <f t="shared" si="81"/>
        <v>172874492.18000001</v>
      </c>
      <c r="K163" s="66">
        <f t="shared" ref="K163" si="82">K164</f>
        <v>159027220</v>
      </c>
      <c r="L163" s="66">
        <f t="shared" ref="L163" si="83">L164</f>
        <v>3200000</v>
      </c>
      <c r="M163" s="66">
        <f t="shared" ref="M163" si="84">M164</f>
        <v>2348000</v>
      </c>
      <c r="N163" s="66">
        <f t="shared" ref="N163" si="85">N164</f>
        <v>90600</v>
      </c>
      <c r="O163" s="66">
        <f t="shared" ref="O163:P163" si="86">O164</f>
        <v>169674492.18000001</v>
      </c>
      <c r="P163" s="66">
        <f t="shared" si="86"/>
        <v>176581209.18000001</v>
      </c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  <c r="IW163" s="38"/>
      <c r="IX163" s="38"/>
      <c r="IY163" s="38"/>
      <c r="IZ163" s="38"/>
      <c r="JA163" s="38"/>
      <c r="JB163" s="38"/>
      <c r="JC163" s="38"/>
      <c r="JD163" s="38"/>
      <c r="JE163" s="38"/>
      <c r="JF163" s="38"/>
      <c r="JG163" s="38"/>
      <c r="JH163" s="38"/>
      <c r="JI163" s="38"/>
      <c r="JJ163" s="38"/>
      <c r="JK163" s="38"/>
      <c r="JL163" s="38"/>
      <c r="JM163" s="38"/>
      <c r="JN163" s="38"/>
      <c r="JO163" s="38"/>
      <c r="JP163" s="38"/>
      <c r="JQ163" s="38"/>
      <c r="JR163" s="38"/>
      <c r="JS163" s="38"/>
      <c r="JT163" s="38"/>
      <c r="JU163" s="38"/>
      <c r="JV163" s="38"/>
      <c r="JW163" s="38"/>
      <c r="JX163" s="38"/>
      <c r="JY163" s="38"/>
      <c r="JZ163" s="38"/>
      <c r="KA163" s="38"/>
      <c r="KB163" s="38"/>
      <c r="KC163" s="38"/>
      <c r="KD163" s="38"/>
      <c r="KE163" s="38"/>
      <c r="KF163" s="38"/>
      <c r="KG163" s="38"/>
      <c r="KH163" s="38"/>
      <c r="KI163" s="38"/>
      <c r="KJ163" s="38"/>
      <c r="KK163" s="38"/>
      <c r="KL163" s="38"/>
      <c r="KM163" s="38"/>
      <c r="KN163" s="38"/>
      <c r="KO163" s="38"/>
      <c r="KP163" s="38"/>
      <c r="KQ163" s="38"/>
      <c r="KR163" s="38"/>
      <c r="KS163" s="38"/>
      <c r="KT163" s="38"/>
      <c r="KU163" s="38"/>
      <c r="KV163" s="38"/>
      <c r="KW163" s="38"/>
      <c r="KX163" s="38"/>
      <c r="KY163" s="38"/>
      <c r="KZ163" s="38"/>
      <c r="LA163" s="38"/>
      <c r="LB163" s="38"/>
      <c r="LC163" s="38"/>
      <c r="LD163" s="38"/>
      <c r="LE163" s="38"/>
      <c r="LF163" s="38"/>
      <c r="LG163" s="38"/>
      <c r="LH163" s="38"/>
      <c r="LI163" s="38"/>
      <c r="LJ163" s="38"/>
      <c r="LK163" s="38"/>
      <c r="LL163" s="38"/>
      <c r="LM163" s="38"/>
      <c r="LN163" s="38"/>
      <c r="LO163" s="38"/>
      <c r="LP163" s="38"/>
      <c r="LQ163" s="38"/>
      <c r="LR163" s="38"/>
      <c r="LS163" s="38"/>
      <c r="LT163" s="38"/>
      <c r="LU163" s="38"/>
      <c r="LV163" s="38"/>
      <c r="LW163" s="38"/>
      <c r="LX163" s="38"/>
      <c r="LY163" s="38"/>
      <c r="LZ163" s="38"/>
      <c r="MA163" s="38"/>
      <c r="MB163" s="38"/>
      <c r="MC163" s="38"/>
      <c r="MD163" s="38"/>
      <c r="ME163" s="38"/>
      <c r="MF163" s="38"/>
      <c r="MG163" s="38"/>
      <c r="MH163" s="38"/>
      <c r="MI163" s="38"/>
      <c r="MJ163" s="38"/>
      <c r="MK163" s="38"/>
      <c r="ML163" s="38"/>
      <c r="MM163" s="38"/>
      <c r="MN163" s="38"/>
      <c r="MO163" s="38"/>
      <c r="MP163" s="38"/>
      <c r="MQ163" s="38"/>
      <c r="MR163" s="38"/>
      <c r="MS163" s="38"/>
      <c r="MT163" s="38"/>
      <c r="MU163" s="38"/>
      <c r="MV163" s="38"/>
      <c r="MW163" s="38"/>
      <c r="MX163" s="38"/>
      <c r="MY163" s="38"/>
      <c r="MZ163" s="38"/>
      <c r="NA163" s="38"/>
      <c r="NB163" s="38"/>
      <c r="NC163" s="38"/>
      <c r="ND163" s="38"/>
      <c r="NE163" s="38"/>
      <c r="NF163" s="38"/>
      <c r="NG163" s="38"/>
      <c r="NH163" s="38"/>
      <c r="NI163" s="38"/>
      <c r="NJ163" s="38"/>
      <c r="NK163" s="38"/>
      <c r="NL163" s="38"/>
      <c r="NM163" s="38"/>
      <c r="NN163" s="38"/>
      <c r="NO163" s="38"/>
      <c r="NP163" s="38"/>
      <c r="NQ163" s="38"/>
      <c r="NR163" s="38"/>
      <c r="NS163" s="38"/>
      <c r="NT163" s="38"/>
      <c r="NU163" s="38"/>
      <c r="NV163" s="38"/>
      <c r="NW163" s="38"/>
      <c r="NX163" s="38"/>
      <c r="NY163" s="38"/>
      <c r="NZ163" s="38"/>
      <c r="OA163" s="38"/>
      <c r="OB163" s="38"/>
      <c r="OC163" s="38"/>
      <c r="OD163" s="38"/>
      <c r="OE163" s="38"/>
      <c r="OF163" s="38"/>
      <c r="OG163" s="38"/>
      <c r="OH163" s="38"/>
      <c r="OI163" s="38"/>
      <c r="OJ163" s="38"/>
      <c r="OK163" s="38"/>
      <c r="OL163" s="38"/>
      <c r="OM163" s="38"/>
      <c r="ON163" s="38"/>
      <c r="OO163" s="38"/>
      <c r="OP163" s="38"/>
      <c r="OQ163" s="38"/>
      <c r="OR163" s="38"/>
      <c r="OS163" s="38"/>
      <c r="OT163" s="38"/>
      <c r="OU163" s="38"/>
      <c r="OV163" s="38"/>
      <c r="OW163" s="38"/>
      <c r="OX163" s="38"/>
      <c r="OY163" s="38"/>
      <c r="OZ163" s="38"/>
      <c r="PA163" s="38"/>
      <c r="PB163" s="38"/>
      <c r="PC163" s="38"/>
      <c r="PD163" s="38"/>
      <c r="PE163" s="38"/>
      <c r="PF163" s="38"/>
      <c r="PG163" s="38"/>
      <c r="PH163" s="38"/>
      <c r="PI163" s="38"/>
      <c r="PJ163" s="38"/>
      <c r="PK163" s="38"/>
      <c r="PL163" s="38"/>
      <c r="PM163" s="38"/>
      <c r="PN163" s="38"/>
      <c r="PO163" s="38"/>
      <c r="PP163" s="38"/>
      <c r="PQ163" s="38"/>
      <c r="PR163" s="38"/>
      <c r="PS163" s="38"/>
      <c r="PT163" s="38"/>
      <c r="PU163" s="38"/>
      <c r="PV163" s="38"/>
      <c r="PW163" s="38"/>
      <c r="PX163" s="38"/>
      <c r="PY163" s="38"/>
      <c r="PZ163" s="38"/>
      <c r="QA163" s="38"/>
      <c r="QB163" s="38"/>
      <c r="QC163" s="38"/>
      <c r="QD163" s="38"/>
      <c r="QE163" s="38"/>
      <c r="QF163" s="38"/>
      <c r="QG163" s="38"/>
      <c r="QH163" s="38"/>
      <c r="QI163" s="38"/>
      <c r="QJ163" s="38"/>
      <c r="QK163" s="38"/>
      <c r="QL163" s="38"/>
      <c r="QM163" s="38"/>
      <c r="QN163" s="38"/>
      <c r="QO163" s="38"/>
      <c r="QP163" s="38"/>
      <c r="QQ163" s="38"/>
      <c r="QR163" s="38"/>
      <c r="QS163" s="38"/>
      <c r="QT163" s="38"/>
      <c r="QU163" s="38"/>
      <c r="QV163" s="38"/>
      <c r="QW163" s="38"/>
      <c r="QX163" s="38"/>
      <c r="QY163" s="38"/>
      <c r="QZ163" s="38"/>
      <c r="RA163" s="38"/>
      <c r="RB163" s="38"/>
      <c r="RC163" s="38"/>
      <c r="RD163" s="38"/>
      <c r="RE163" s="38"/>
      <c r="RF163" s="38"/>
      <c r="RG163" s="38"/>
      <c r="RH163" s="38"/>
      <c r="RI163" s="38"/>
      <c r="RJ163" s="38"/>
      <c r="RK163" s="38"/>
      <c r="RL163" s="38"/>
      <c r="RM163" s="38"/>
      <c r="RN163" s="38"/>
      <c r="RO163" s="38"/>
      <c r="RP163" s="38"/>
      <c r="RQ163" s="38"/>
      <c r="RR163" s="38"/>
      <c r="RS163" s="38"/>
      <c r="RT163" s="38"/>
      <c r="RU163" s="38"/>
      <c r="RV163" s="38"/>
      <c r="RW163" s="38"/>
      <c r="RX163" s="38"/>
      <c r="RY163" s="38"/>
      <c r="RZ163" s="38"/>
      <c r="SA163" s="38"/>
      <c r="SB163" s="38"/>
      <c r="SC163" s="38"/>
      <c r="SD163" s="38"/>
      <c r="SE163" s="38"/>
      <c r="SF163" s="38"/>
      <c r="SG163" s="38"/>
      <c r="SH163" s="38"/>
      <c r="SI163" s="38"/>
      <c r="SJ163" s="38"/>
      <c r="SK163" s="38"/>
      <c r="SL163" s="38"/>
      <c r="SM163" s="38"/>
      <c r="SN163" s="38"/>
      <c r="SO163" s="38"/>
      <c r="SP163" s="38"/>
      <c r="SQ163" s="38"/>
      <c r="SR163" s="38"/>
      <c r="SS163" s="38"/>
      <c r="ST163" s="38"/>
      <c r="SU163" s="38"/>
      <c r="SV163" s="38"/>
      <c r="SW163" s="38"/>
      <c r="SX163" s="38"/>
      <c r="SY163" s="38"/>
      <c r="SZ163" s="38"/>
      <c r="TA163" s="38"/>
      <c r="TB163" s="38"/>
      <c r="TC163" s="38"/>
      <c r="TD163" s="38"/>
      <c r="TE163" s="38"/>
      <c r="TF163" s="38"/>
      <c r="TG163" s="38"/>
      <c r="TH163" s="38"/>
      <c r="TI163" s="38"/>
    </row>
    <row r="164" spans="1:529" s="40" customFormat="1" ht="38.25" customHeight="1" x14ac:dyDescent="0.25">
      <c r="A164" s="77" t="s">
        <v>40</v>
      </c>
      <c r="B164" s="75"/>
      <c r="C164" s="75"/>
      <c r="D164" s="33" t="s">
        <v>46</v>
      </c>
      <c r="E164" s="68">
        <f>SUM(E165+E166+E167+E168+E169+E170+E172+E173+E174+E175+E171+E176)</f>
        <v>3706717</v>
      </c>
      <c r="F164" s="68">
        <f t="shared" ref="F164:P164" si="87">SUM(F165+F166+F167+F168+F169+F170+F172+F173+F174+F175+F171+F176)</f>
        <v>3621811</v>
      </c>
      <c r="G164" s="68">
        <f t="shared" si="87"/>
        <v>1552300</v>
      </c>
      <c r="H164" s="68">
        <f t="shared" si="87"/>
        <v>0</v>
      </c>
      <c r="I164" s="68">
        <f t="shared" si="87"/>
        <v>84906</v>
      </c>
      <c r="J164" s="68">
        <f t="shared" si="87"/>
        <v>172874492.18000001</v>
      </c>
      <c r="K164" s="68">
        <f t="shared" si="87"/>
        <v>159027220</v>
      </c>
      <c r="L164" s="68">
        <f t="shared" si="87"/>
        <v>3200000</v>
      </c>
      <c r="M164" s="68">
        <f t="shared" si="87"/>
        <v>2348000</v>
      </c>
      <c r="N164" s="68">
        <f t="shared" si="87"/>
        <v>90600</v>
      </c>
      <c r="O164" s="68">
        <f t="shared" si="87"/>
        <v>169674492.18000001</v>
      </c>
      <c r="P164" s="68">
        <f t="shared" si="87"/>
        <v>176581209.18000001</v>
      </c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  <c r="JF164" s="39"/>
      <c r="JG164" s="39"/>
      <c r="JH164" s="39"/>
      <c r="JI164" s="39"/>
      <c r="JJ164" s="39"/>
      <c r="JK164" s="39"/>
      <c r="JL164" s="39"/>
      <c r="JM164" s="39"/>
      <c r="JN164" s="39"/>
      <c r="JO164" s="39"/>
      <c r="JP164" s="39"/>
      <c r="JQ164" s="39"/>
      <c r="JR164" s="39"/>
      <c r="JS164" s="39"/>
      <c r="JT164" s="39"/>
      <c r="JU164" s="39"/>
      <c r="JV164" s="39"/>
      <c r="JW164" s="39"/>
      <c r="JX164" s="39"/>
      <c r="JY164" s="39"/>
      <c r="JZ164" s="39"/>
      <c r="KA164" s="39"/>
      <c r="KB164" s="39"/>
      <c r="KC164" s="39"/>
      <c r="KD164" s="39"/>
      <c r="KE164" s="39"/>
      <c r="KF164" s="39"/>
      <c r="KG164" s="39"/>
      <c r="KH164" s="39"/>
      <c r="KI164" s="39"/>
      <c r="KJ164" s="39"/>
      <c r="KK164" s="39"/>
      <c r="KL164" s="39"/>
      <c r="KM164" s="39"/>
      <c r="KN164" s="39"/>
      <c r="KO164" s="39"/>
      <c r="KP164" s="39"/>
      <c r="KQ164" s="39"/>
      <c r="KR164" s="39"/>
      <c r="KS164" s="39"/>
      <c r="KT164" s="39"/>
      <c r="KU164" s="39"/>
      <c r="KV164" s="39"/>
      <c r="KW164" s="39"/>
      <c r="KX164" s="39"/>
      <c r="KY164" s="39"/>
      <c r="KZ164" s="39"/>
      <c r="LA164" s="39"/>
      <c r="LB164" s="39"/>
      <c r="LC164" s="39"/>
      <c r="LD164" s="39"/>
      <c r="LE164" s="39"/>
      <c r="LF164" s="39"/>
      <c r="LG164" s="39"/>
      <c r="LH164" s="39"/>
      <c r="LI164" s="39"/>
      <c r="LJ164" s="39"/>
      <c r="LK164" s="39"/>
      <c r="LL164" s="39"/>
      <c r="LM164" s="39"/>
      <c r="LN164" s="39"/>
      <c r="LO164" s="39"/>
      <c r="LP164" s="39"/>
      <c r="LQ164" s="39"/>
      <c r="LR164" s="39"/>
      <c r="LS164" s="39"/>
      <c r="LT164" s="39"/>
      <c r="LU164" s="39"/>
      <c r="LV164" s="39"/>
      <c r="LW164" s="39"/>
      <c r="LX164" s="39"/>
      <c r="LY164" s="39"/>
      <c r="LZ164" s="39"/>
      <c r="MA164" s="39"/>
      <c r="MB164" s="39"/>
      <c r="MC164" s="39"/>
      <c r="MD164" s="39"/>
      <c r="ME164" s="39"/>
      <c r="MF164" s="39"/>
      <c r="MG164" s="39"/>
      <c r="MH164" s="39"/>
      <c r="MI164" s="39"/>
      <c r="MJ164" s="39"/>
      <c r="MK164" s="39"/>
      <c r="ML164" s="39"/>
      <c r="MM164" s="39"/>
      <c r="MN164" s="39"/>
      <c r="MO164" s="39"/>
      <c r="MP164" s="39"/>
      <c r="MQ164" s="39"/>
      <c r="MR164" s="39"/>
      <c r="MS164" s="39"/>
      <c r="MT164" s="39"/>
      <c r="MU164" s="39"/>
      <c r="MV164" s="39"/>
      <c r="MW164" s="39"/>
      <c r="MX164" s="39"/>
      <c r="MY164" s="39"/>
      <c r="MZ164" s="39"/>
      <c r="NA164" s="39"/>
      <c r="NB164" s="39"/>
      <c r="NC164" s="39"/>
      <c r="ND164" s="39"/>
      <c r="NE164" s="39"/>
      <c r="NF164" s="39"/>
      <c r="NG164" s="39"/>
      <c r="NH164" s="39"/>
      <c r="NI164" s="39"/>
      <c r="NJ164" s="39"/>
      <c r="NK164" s="39"/>
      <c r="NL164" s="39"/>
      <c r="NM164" s="39"/>
      <c r="NN164" s="39"/>
      <c r="NO164" s="39"/>
      <c r="NP164" s="39"/>
      <c r="NQ164" s="39"/>
      <c r="NR164" s="39"/>
      <c r="NS164" s="39"/>
      <c r="NT164" s="39"/>
      <c r="NU164" s="39"/>
      <c r="NV164" s="39"/>
      <c r="NW164" s="39"/>
      <c r="NX164" s="39"/>
      <c r="NY164" s="39"/>
      <c r="NZ164" s="39"/>
      <c r="OA164" s="39"/>
      <c r="OB164" s="39"/>
      <c r="OC164" s="39"/>
      <c r="OD164" s="39"/>
      <c r="OE164" s="39"/>
      <c r="OF164" s="39"/>
      <c r="OG164" s="39"/>
      <c r="OH164" s="39"/>
      <c r="OI164" s="39"/>
      <c r="OJ164" s="39"/>
      <c r="OK164" s="39"/>
      <c r="OL164" s="39"/>
      <c r="OM164" s="39"/>
      <c r="ON164" s="39"/>
      <c r="OO164" s="39"/>
      <c r="OP164" s="39"/>
      <c r="OQ164" s="39"/>
      <c r="OR164" s="39"/>
      <c r="OS164" s="39"/>
      <c r="OT164" s="39"/>
      <c r="OU164" s="39"/>
      <c r="OV164" s="39"/>
      <c r="OW164" s="39"/>
      <c r="OX164" s="39"/>
      <c r="OY164" s="39"/>
      <c r="OZ164" s="39"/>
      <c r="PA164" s="39"/>
      <c r="PB164" s="39"/>
      <c r="PC164" s="39"/>
      <c r="PD164" s="39"/>
      <c r="PE164" s="39"/>
      <c r="PF164" s="39"/>
      <c r="PG164" s="39"/>
      <c r="PH164" s="39"/>
      <c r="PI164" s="39"/>
      <c r="PJ164" s="39"/>
      <c r="PK164" s="39"/>
      <c r="PL164" s="39"/>
      <c r="PM164" s="39"/>
      <c r="PN164" s="39"/>
      <c r="PO164" s="39"/>
      <c r="PP164" s="39"/>
      <c r="PQ164" s="39"/>
      <c r="PR164" s="39"/>
      <c r="PS164" s="39"/>
      <c r="PT164" s="39"/>
      <c r="PU164" s="39"/>
      <c r="PV164" s="39"/>
      <c r="PW164" s="39"/>
      <c r="PX164" s="39"/>
      <c r="PY164" s="39"/>
      <c r="PZ164" s="39"/>
      <c r="QA164" s="39"/>
      <c r="QB164" s="39"/>
      <c r="QC164" s="39"/>
      <c r="QD164" s="39"/>
      <c r="QE164" s="39"/>
      <c r="QF164" s="39"/>
      <c r="QG164" s="39"/>
      <c r="QH164" s="39"/>
      <c r="QI164" s="39"/>
      <c r="QJ164" s="39"/>
      <c r="QK164" s="39"/>
      <c r="QL164" s="39"/>
      <c r="QM164" s="39"/>
      <c r="QN164" s="39"/>
      <c r="QO164" s="39"/>
      <c r="QP164" s="39"/>
      <c r="QQ164" s="39"/>
      <c r="QR164" s="39"/>
      <c r="QS164" s="39"/>
      <c r="QT164" s="39"/>
      <c r="QU164" s="39"/>
      <c r="QV164" s="39"/>
      <c r="QW164" s="39"/>
      <c r="QX164" s="39"/>
      <c r="QY164" s="39"/>
      <c r="QZ164" s="39"/>
      <c r="RA164" s="39"/>
      <c r="RB164" s="39"/>
      <c r="RC164" s="39"/>
      <c r="RD164" s="39"/>
      <c r="RE164" s="39"/>
      <c r="RF164" s="39"/>
      <c r="RG164" s="39"/>
      <c r="RH164" s="39"/>
      <c r="RI164" s="39"/>
      <c r="RJ164" s="39"/>
      <c r="RK164" s="39"/>
      <c r="RL164" s="39"/>
      <c r="RM164" s="39"/>
      <c r="RN164" s="39"/>
      <c r="RO164" s="39"/>
      <c r="RP164" s="39"/>
      <c r="RQ164" s="39"/>
      <c r="RR164" s="39"/>
      <c r="RS164" s="39"/>
      <c r="RT164" s="39"/>
      <c r="RU164" s="39"/>
      <c r="RV164" s="39"/>
      <c r="RW164" s="39"/>
      <c r="RX164" s="39"/>
      <c r="RY164" s="39"/>
      <c r="RZ164" s="39"/>
      <c r="SA164" s="39"/>
      <c r="SB164" s="39"/>
      <c r="SC164" s="39"/>
      <c r="SD164" s="39"/>
      <c r="SE164" s="39"/>
      <c r="SF164" s="39"/>
      <c r="SG164" s="39"/>
      <c r="SH164" s="39"/>
      <c r="SI164" s="39"/>
      <c r="SJ164" s="39"/>
      <c r="SK164" s="39"/>
      <c r="SL164" s="39"/>
      <c r="SM164" s="39"/>
      <c r="SN164" s="39"/>
      <c r="SO164" s="39"/>
      <c r="SP164" s="39"/>
      <c r="SQ164" s="39"/>
      <c r="SR164" s="39"/>
      <c r="SS164" s="39"/>
      <c r="ST164" s="39"/>
      <c r="SU164" s="39"/>
      <c r="SV164" s="39"/>
      <c r="SW164" s="39"/>
      <c r="SX164" s="39"/>
      <c r="SY164" s="39"/>
      <c r="SZ164" s="39"/>
      <c r="TA164" s="39"/>
      <c r="TB164" s="39"/>
      <c r="TC164" s="39"/>
      <c r="TD164" s="39"/>
      <c r="TE164" s="39"/>
      <c r="TF164" s="39"/>
      <c r="TG164" s="39"/>
      <c r="TH164" s="39"/>
      <c r="TI164" s="39"/>
    </row>
    <row r="165" spans="1:529" s="23" customFormat="1" ht="44.25" customHeight="1" x14ac:dyDescent="0.25">
      <c r="A165" s="43" t="s">
        <v>170</v>
      </c>
      <c r="B165" s="44" t="str">
        <f>'дод 3'!A20</f>
        <v>0160</v>
      </c>
      <c r="C165" s="44" t="str">
        <f>'дод 3'!B20</f>
        <v>0111</v>
      </c>
      <c r="D16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5" s="69">
        <f t="shared" ref="E165:E176" si="88">F165+I165</f>
        <v>1893800</v>
      </c>
      <c r="F165" s="69">
        <f>1976700-82900</f>
        <v>1893800</v>
      </c>
      <c r="G165" s="69">
        <f>1620200-67900</f>
        <v>1552300</v>
      </c>
      <c r="H165" s="69"/>
      <c r="I165" s="69"/>
      <c r="J165" s="69">
        <f>L165+O165</f>
        <v>3200000</v>
      </c>
      <c r="K165" s="69"/>
      <c r="L165" s="69">
        <v>3200000</v>
      </c>
      <c r="M165" s="69">
        <v>2348000</v>
      </c>
      <c r="N165" s="69">
        <v>90600</v>
      </c>
      <c r="O165" s="69"/>
      <c r="P165" s="69">
        <f t="shared" ref="P165:P176" si="89">E165+J165</f>
        <v>5093800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23" customFormat="1" ht="22.5" customHeight="1" x14ac:dyDescent="0.25">
      <c r="A166" s="43" t="s">
        <v>242</v>
      </c>
      <c r="B166" s="44" t="str">
        <f>'дод 3'!A94</f>
        <v>6030</v>
      </c>
      <c r="C166" s="44" t="str">
        <f>'дод 3'!B94</f>
        <v>0620</v>
      </c>
      <c r="D166" s="24" t="str">
        <f>'дод 3'!C94</f>
        <v>Організація благоустрою населених пунктів</v>
      </c>
      <c r="E166" s="69">
        <f t="shared" si="88"/>
        <v>0</v>
      </c>
      <c r="F166" s="69"/>
      <c r="G166" s="69"/>
      <c r="H166" s="69"/>
      <c r="I166" s="69"/>
      <c r="J166" s="69">
        <f t="shared" ref="J166:J181" si="90">L166+O166</f>
        <v>15454000</v>
      </c>
      <c r="K166" s="69">
        <f>60000000-5000000-3750000-35796000</f>
        <v>15454000</v>
      </c>
      <c r="L166" s="69"/>
      <c r="M166" s="69"/>
      <c r="N166" s="69"/>
      <c r="O166" s="69">
        <f>60000000-5000000-3750000-35796000</f>
        <v>15454000</v>
      </c>
      <c r="P166" s="69">
        <f t="shared" si="89"/>
        <v>15454000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3" customFormat="1" ht="54.75" customHeight="1" x14ac:dyDescent="0.25">
      <c r="A167" s="43" t="s">
        <v>243</v>
      </c>
      <c r="B167" s="44" t="str">
        <f>'дод 3'!A95</f>
        <v>6084</v>
      </c>
      <c r="C167" s="44" t="str">
        <f>'дод 3'!B95</f>
        <v>0610</v>
      </c>
      <c r="D167" s="24" t="str">
        <f>'дод 3'!C95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67" s="69">
        <f t="shared" si="88"/>
        <v>84906</v>
      </c>
      <c r="F167" s="69"/>
      <c r="G167" s="69"/>
      <c r="H167" s="69"/>
      <c r="I167" s="69">
        <v>84906</v>
      </c>
      <c r="J167" s="69">
        <f t="shared" si="90"/>
        <v>77703.06</v>
      </c>
      <c r="K167" s="69"/>
      <c r="L167" s="71"/>
      <c r="M167" s="69"/>
      <c r="N167" s="69"/>
      <c r="O167" s="69">
        <f>46724+30979.06</f>
        <v>77703.06</v>
      </c>
      <c r="P167" s="69">
        <f t="shared" si="89"/>
        <v>162609.06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3" customFormat="1" ht="33.75" customHeight="1" x14ac:dyDescent="0.25">
      <c r="A168" s="43" t="s">
        <v>318</v>
      </c>
      <c r="B168" s="44" t="str">
        <f>'дод 3'!A103</f>
        <v>7310</v>
      </c>
      <c r="C168" s="44" t="str">
        <f>'дод 3'!B103</f>
        <v>0443</v>
      </c>
      <c r="D168" s="24" t="str">
        <f>'дод 3'!C103</f>
        <v>Будівництво об'єктів житлово-комунального господарства</v>
      </c>
      <c r="E168" s="69">
        <f t="shared" si="88"/>
        <v>0</v>
      </c>
      <c r="F168" s="69"/>
      <c r="G168" s="69"/>
      <c r="H168" s="69"/>
      <c r="I168" s="69"/>
      <c r="J168" s="69">
        <f t="shared" si="90"/>
        <v>4590000</v>
      </c>
      <c r="K168" s="69">
        <f>3000000+1590000</f>
        <v>4590000</v>
      </c>
      <c r="L168" s="69"/>
      <c r="M168" s="69"/>
      <c r="N168" s="69"/>
      <c r="O168" s="69">
        <f>3000000+1590000</f>
        <v>4590000</v>
      </c>
      <c r="P168" s="69">
        <f t="shared" si="89"/>
        <v>4590000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21.75" customHeight="1" x14ac:dyDescent="0.25">
      <c r="A169" s="43" t="s">
        <v>319</v>
      </c>
      <c r="B169" s="44" t="str">
        <f>'дод 3'!A104</f>
        <v>7321</v>
      </c>
      <c r="C169" s="44" t="str">
        <f>'дод 3'!B104</f>
        <v>0443</v>
      </c>
      <c r="D169" s="24" t="str">
        <f>'дод 3'!C104</f>
        <v>Будівництво освітніх установ та закладів</v>
      </c>
      <c r="E169" s="69">
        <f t="shared" si="88"/>
        <v>0</v>
      </c>
      <c r="F169" s="69"/>
      <c r="G169" s="69"/>
      <c r="H169" s="69"/>
      <c r="I169" s="69"/>
      <c r="J169" s="69">
        <f t="shared" si="90"/>
        <v>4000000</v>
      </c>
      <c r="K169" s="69">
        <f>9000000-5000000</f>
        <v>4000000</v>
      </c>
      <c r="L169" s="69"/>
      <c r="M169" s="69"/>
      <c r="N169" s="69"/>
      <c r="O169" s="69">
        <f>9000000-5000000</f>
        <v>4000000</v>
      </c>
      <c r="P169" s="69">
        <f t="shared" si="89"/>
        <v>4000000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18" customHeight="1" x14ac:dyDescent="0.25">
      <c r="A170" s="43" t="s">
        <v>321</v>
      </c>
      <c r="B170" s="44" t="str">
        <f>'дод 3'!A105</f>
        <v>7322</v>
      </c>
      <c r="C170" s="44" t="str">
        <f>'дод 3'!B105</f>
        <v>0443</v>
      </c>
      <c r="D170" s="24" t="str">
        <f>'дод 3'!C105</f>
        <v>Будівництво медичних установ та закладів</v>
      </c>
      <c r="E170" s="69">
        <f t="shared" si="88"/>
        <v>0</v>
      </c>
      <c r="F170" s="69"/>
      <c r="G170" s="69"/>
      <c r="H170" s="69"/>
      <c r="I170" s="69"/>
      <c r="J170" s="69">
        <f t="shared" si="90"/>
        <v>12454849</v>
      </c>
      <c r="K170" s="69">
        <f>7000000-3286719+741568+8000000</f>
        <v>12454849</v>
      </c>
      <c r="L170" s="69"/>
      <c r="M170" s="69"/>
      <c r="N170" s="69"/>
      <c r="O170" s="69">
        <f>7000000-3286719+741568+8000000</f>
        <v>12454849</v>
      </c>
      <c r="P170" s="69">
        <f t="shared" si="89"/>
        <v>12454849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30" x14ac:dyDescent="0.25">
      <c r="A171" s="43" t="s">
        <v>421</v>
      </c>
      <c r="B171" s="44">
        <f>'дод 3'!A106</f>
        <v>7325</v>
      </c>
      <c r="C171" s="44">
        <f>'дод 3'!B106</f>
        <v>443</v>
      </c>
      <c r="D171" s="24" t="str">
        <f>'дод 3'!C106</f>
        <v>Будівництво споруд, установ та закладів фізичної культури і спорту</v>
      </c>
      <c r="E171" s="69"/>
      <c r="F171" s="69"/>
      <c r="G171" s="69"/>
      <c r="H171" s="69"/>
      <c r="I171" s="69"/>
      <c r="J171" s="69">
        <f t="shared" si="90"/>
        <v>100000</v>
      </c>
      <c r="K171" s="69">
        <f>7000000-7000000+100000</f>
        <v>100000</v>
      </c>
      <c r="L171" s="69"/>
      <c r="M171" s="69"/>
      <c r="N171" s="69"/>
      <c r="O171" s="69">
        <f>7000000-7000000+100000</f>
        <v>100000</v>
      </c>
      <c r="P171" s="69">
        <f t="shared" si="89"/>
        <v>100000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23.25" customHeight="1" x14ac:dyDescent="0.25">
      <c r="A172" s="43" t="s">
        <v>323</v>
      </c>
      <c r="B172" s="44" t="str">
        <f>'дод 3'!A107</f>
        <v>7330</v>
      </c>
      <c r="C172" s="44" t="str">
        <f>'дод 3'!B107</f>
        <v>0443</v>
      </c>
      <c r="D172" s="24" t="str">
        <f>'дод 3'!C107</f>
        <v>Будівництво інших об'єктів комунальної власності</v>
      </c>
      <c r="E172" s="69">
        <f t="shared" si="88"/>
        <v>0</v>
      </c>
      <c r="F172" s="69"/>
      <c r="G172" s="69"/>
      <c r="H172" s="69"/>
      <c r="I172" s="69"/>
      <c r="J172" s="69">
        <f t="shared" si="90"/>
        <v>42980823</v>
      </c>
      <c r="K172" s="69">
        <f>41200000+100000-1000000+300000+1000000+1000000-1800000+860151+8034260+1003444+2000000+282968-10000000</f>
        <v>42980823</v>
      </c>
      <c r="L172" s="69"/>
      <c r="M172" s="69"/>
      <c r="N172" s="69"/>
      <c r="O172" s="69">
        <f>41200000+100000-1000000+300000+1000000+1000000-1800000+860151+8034260+1003444+2000000+282968-10000000</f>
        <v>42980823</v>
      </c>
      <c r="P172" s="69">
        <f t="shared" si="89"/>
        <v>42980823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44.25" customHeight="1" x14ac:dyDescent="0.25">
      <c r="A173" s="43" t="s">
        <v>448</v>
      </c>
      <c r="B173" s="44">
        <f>'дод 3'!A109</f>
        <v>7361</v>
      </c>
      <c r="C173" s="44" t="str">
        <f>'дод 3'!B109</f>
        <v>0490</v>
      </c>
      <c r="D173" s="24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73" s="69">
        <f t="shared" ref="E173" si="91">F173+I173</f>
        <v>0</v>
      </c>
      <c r="F173" s="69"/>
      <c r="G173" s="69"/>
      <c r="H173" s="69"/>
      <c r="I173" s="69"/>
      <c r="J173" s="69">
        <f t="shared" ref="J173" si="92">L173+O173</f>
        <v>5000000</v>
      </c>
      <c r="K173" s="69">
        <v>5000000</v>
      </c>
      <c r="L173" s="69"/>
      <c r="M173" s="69"/>
      <c r="N173" s="69"/>
      <c r="O173" s="69">
        <v>5000000</v>
      </c>
      <c r="P173" s="69">
        <f t="shared" si="89"/>
        <v>5000000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23" customFormat="1" ht="42.75" customHeight="1" x14ac:dyDescent="0.25">
      <c r="A174" s="43" t="s">
        <v>437</v>
      </c>
      <c r="B174" s="44">
        <v>7363</v>
      </c>
      <c r="C174" s="43" t="s">
        <v>102</v>
      </c>
      <c r="D174" s="24" t="s">
        <v>438</v>
      </c>
      <c r="E174" s="69">
        <f t="shared" si="88"/>
        <v>0</v>
      </c>
      <c r="F174" s="69"/>
      <c r="G174" s="69"/>
      <c r="H174" s="69"/>
      <c r="I174" s="69"/>
      <c r="J174" s="69">
        <f t="shared" si="90"/>
        <v>95000</v>
      </c>
      <c r="K174" s="69">
        <v>95000</v>
      </c>
      <c r="L174" s="69"/>
      <c r="M174" s="69"/>
      <c r="N174" s="69"/>
      <c r="O174" s="69">
        <v>95000</v>
      </c>
      <c r="P174" s="69">
        <f t="shared" si="89"/>
        <v>95000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23" customFormat="1" ht="21.75" customHeight="1" x14ac:dyDescent="0.25">
      <c r="A175" s="43" t="s">
        <v>177</v>
      </c>
      <c r="B175" s="44" t="str">
        <f>'дод 3'!A124</f>
        <v>7640</v>
      </c>
      <c r="C175" s="44" t="str">
        <f>'дод 3'!B124</f>
        <v>0470</v>
      </c>
      <c r="D175" s="24" t="str">
        <f>'дод 3'!C124</f>
        <v>Заходи з енергозбереження</v>
      </c>
      <c r="E175" s="69">
        <f t="shared" si="88"/>
        <v>1728011</v>
      </c>
      <c r="F175" s="69">
        <v>1728011</v>
      </c>
      <c r="G175" s="69"/>
      <c r="H175" s="69"/>
      <c r="I175" s="69"/>
      <c r="J175" s="69">
        <f t="shared" si="90"/>
        <v>84089000</v>
      </c>
      <c r="K175" s="69">
        <v>74352548</v>
      </c>
      <c r="L175" s="71"/>
      <c r="M175" s="69"/>
      <c r="N175" s="69"/>
      <c r="O175" s="69">
        <f>74352548+9736452</f>
        <v>84089000</v>
      </c>
      <c r="P175" s="69">
        <f t="shared" si="89"/>
        <v>85817011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116.25" customHeight="1" x14ac:dyDescent="0.25">
      <c r="A176" s="43" t="s">
        <v>443</v>
      </c>
      <c r="B176" s="44">
        <v>7691</v>
      </c>
      <c r="C176" s="46" t="s">
        <v>102</v>
      </c>
      <c r="D176" s="3" t="s">
        <v>367</v>
      </c>
      <c r="E176" s="69">
        <f t="shared" si="88"/>
        <v>0</v>
      </c>
      <c r="F176" s="69"/>
      <c r="G176" s="69"/>
      <c r="H176" s="69"/>
      <c r="I176" s="69"/>
      <c r="J176" s="69">
        <f t="shared" si="90"/>
        <v>833117.12</v>
      </c>
      <c r="K176" s="69"/>
      <c r="L176" s="71"/>
      <c r="M176" s="69"/>
      <c r="N176" s="69"/>
      <c r="O176" s="69">
        <v>833117.12</v>
      </c>
      <c r="P176" s="69">
        <f t="shared" si="89"/>
        <v>833117.12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31" customFormat="1" ht="35.25" customHeight="1" x14ac:dyDescent="0.2">
      <c r="A177" s="76" t="s">
        <v>244</v>
      </c>
      <c r="B177" s="74"/>
      <c r="C177" s="74"/>
      <c r="D177" s="30" t="s">
        <v>53</v>
      </c>
      <c r="E177" s="66">
        <f>E178</f>
        <v>9067800</v>
      </c>
      <c r="F177" s="66">
        <f t="shared" ref="F177:J177" si="93">F178</f>
        <v>9067800</v>
      </c>
      <c r="G177" s="66">
        <f t="shared" si="93"/>
        <v>6950200</v>
      </c>
      <c r="H177" s="66">
        <f t="shared" si="93"/>
        <v>92400</v>
      </c>
      <c r="I177" s="66">
        <f t="shared" si="93"/>
        <v>0</v>
      </c>
      <c r="J177" s="66">
        <f t="shared" si="93"/>
        <v>2696249.54</v>
      </c>
      <c r="K177" s="66">
        <f t="shared" ref="K177" si="94">K178</f>
        <v>0</v>
      </c>
      <c r="L177" s="66">
        <f t="shared" ref="L177" si="95">L178</f>
        <v>1946249.54</v>
      </c>
      <c r="M177" s="66">
        <f t="shared" ref="M177" si="96">M178</f>
        <v>0</v>
      </c>
      <c r="N177" s="66">
        <f t="shared" ref="N177" si="97">N178</f>
        <v>0</v>
      </c>
      <c r="O177" s="66">
        <f t="shared" ref="O177:P177" si="98">O178</f>
        <v>750000</v>
      </c>
      <c r="P177" s="66">
        <f t="shared" si="98"/>
        <v>11764049.539999999</v>
      </c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  <c r="HI177" s="38"/>
      <c r="HJ177" s="38"/>
      <c r="HK177" s="38"/>
      <c r="HL177" s="38"/>
      <c r="HM177" s="38"/>
      <c r="HN177" s="38"/>
      <c r="HO177" s="38"/>
      <c r="HP177" s="38"/>
      <c r="HQ177" s="38"/>
      <c r="HR177" s="38"/>
      <c r="HS177" s="38"/>
      <c r="HT177" s="38"/>
      <c r="HU177" s="38"/>
      <c r="HV177" s="38"/>
      <c r="HW177" s="38"/>
      <c r="HX177" s="38"/>
      <c r="HY177" s="38"/>
      <c r="HZ177" s="38"/>
      <c r="IA177" s="38"/>
      <c r="IB177" s="38"/>
      <c r="IC177" s="38"/>
      <c r="ID177" s="38"/>
      <c r="IE177" s="38"/>
      <c r="IF177" s="38"/>
      <c r="IG177" s="38"/>
      <c r="IH177" s="38"/>
      <c r="II177" s="38"/>
      <c r="IJ177" s="38"/>
      <c r="IK177" s="38"/>
      <c r="IL177" s="38"/>
      <c r="IM177" s="38"/>
      <c r="IN177" s="38"/>
      <c r="IO177" s="38"/>
      <c r="IP177" s="38"/>
      <c r="IQ177" s="38"/>
      <c r="IR177" s="38"/>
      <c r="IS177" s="38"/>
      <c r="IT177" s="38"/>
      <c r="IU177" s="38"/>
      <c r="IV177" s="38"/>
      <c r="IW177" s="38"/>
      <c r="IX177" s="38"/>
      <c r="IY177" s="38"/>
      <c r="IZ177" s="38"/>
      <c r="JA177" s="38"/>
      <c r="JB177" s="38"/>
      <c r="JC177" s="38"/>
      <c r="JD177" s="38"/>
      <c r="JE177" s="38"/>
      <c r="JF177" s="38"/>
      <c r="JG177" s="38"/>
      <c r="JH177" s="38"/>
      <c r="JI177" s="38"/>
      <c r="JJ177" s="38"/>
      <c r="JK177" s="38"/>
      <c r="JL177" s="38"/>
      <c r="JM177" s="38"/>
      <c r="JN177" s="38"/>
      <c r="JO177" s="38"/>
      <c r="JP177" s="38"/>
      <c r="JQ177" s="38"/>
      <c r="JR177" s="38"/>
      <c r="JS177" s="38"/>
      <c r="JT177" s="38"/>
      <c r="JU177" s="38"/>
      <c r="JV177" s="38"/>
      <c r="JW177" s="38"/>
      <c r="JX177" s="38"/>
      <c r="JY177" s="38"/>
      <c r="JZ177" s="38"/>
      <c r="KA177" s="38"/>
      <c r="KB177" s="38"/>
      <c r="KC177" s="38"/>
      <c r="KD177" s="38"/>
      <c r="KE177" s="38"/>
      <c r="KF177" s="38"/>
      <c r="KG177" s="38"/>
      <c r="KH177" s="38"/>
      <c r="KI177" s="38"/>
      <c r="KJ177" s="38"/>
      <c r="KK177" s="38"/>
      <c r="KL177" s="38"/>
      <c r="KM177" s="38"/>
      <c r="KN177" s="38"/>
      <c r="KO177" s="38"/>
      <c r="KP177" s="38"/>
      <c r="KQ177" s="38"/>
      <c r="KR177" s="38"/>
      <c r="KS177" s="38"/>
      <c r="KT177" s="38"/>
      <c r="KU177" s="38"/>
      <c r="KV177" s="38"/>
      <c r="KW177" s="38"/>
      <c r="KX177" s="38"/>
      <c r="KY177" s="38"/>
      <c r="KZ177" s="38"/>
      <c r="LA177" s="38"/>
      <c r="LB177" s="38"/>
      <c r="LC177" s="38"/>
      <c r="LD177" s="38"/>
      <c r="LE177" s="38"/>
      <c r="LF177" s="38"/>
      <c r="LG177" s="38"/>
      <c r="LH177" s="38"/>
      <c r="LI177" s="38"/>
      <c r="LJ177" s="38"/>
      <c r="LK177" s="38"/>
      <c r="LL177" s="38"/>
      <c r="LM177" s="38"/>
      <c r="LN177" s="38"/>
      <c r="LO177" s="38"/>
      <c r="LP177" s="38"/>
      <c r="LQ177" s="38"/>
      <c r="LR177" s="38"/>
      <c r="LS177" s="38"/>
      <c r="LT177" s="38"/>
      <c r="LU177" s="38"/>
      <c r="LV177" s="38"/>
      <c r="LW177" s="38"/>
      <c r="LX177" s="38"/>
      <c r="LY177" s="38"/>
      <c r="LZ177" s="38"/>
      <c r="MA177" s="38"/>
      <c r="MB177" s="38"/>
      <c r="MC177" s="38"/>
      <c r="MD177" s="38"/>
      <c r="ME177" s="38"/>
      <c r="MF177" s="38"/>
      <c r="MG177" s="38"/>
      <c r="MH177" s="38"/>
      <c r="MI177" s="38"/>
      <c r="MJ177" s="38"/>
      <c r="MK177" s="38"/>
      <c r="ML177" s="38"/>
      <c r="MM177" s="38"/>
      <c r="MN177" s="38"/>
      <c r="MO177" s="38"/>
      <c r="MP177" s="38"/>
      <c r="MQ177" s="38"/>
      <c r="MR177" s="38"/>
      <c r="MS177" s="38"/>
      <c r="MT177" s="38"/>
      <c r="MU177" s="38"/>
      <c r="MV177" s="38"/>
      <c r="MW177" s="38"/>
      <c r="MX177" s="38"/>
      <c r="MY177" s="38"/>
      <c r="MZ177" s="38"/>
      <c r="NA177" s="38"/>
      <c r="NB177" s="38"/>
      <c r="NC177" s="38"/>
      <c r="ND177" s="38"/>
      <c r="NE177" s="38"/>
      <c r="NF177" s="38"/>
      <c r="NG177" s="38"/>
      <c r="NH177" s="38"/>
      <c r="NI177" s="38"/>
      <c r="NJ177" s="38"/>
      <c r="NK177" s="38"/>
      <c r="NL177" s="38"/>
      <c r="NM177" s="38"/>
      <c r="NN177" s="38"/>
      <c r="NO177" s="38"/>
      <c r="NP177" s="38"/>
      <c r="NQ177" s="38"/>
      <c r="NR177" s="38"/>
      <c r="NS177" s="38"/>
      <c r="NT177" s="38"/>
      <c r="NU177" s="38"/>
      <c r="NV177" s="38"/>
      <c r="NW177" s="38"/>
      <c r="NX177" s="38"/>
      <c r="NY177" s="38"/>
      <c r="NZ177" s="38"/>
      <c r="OA177" s="38"/>
      <c r="OB177" s="38"/>
      <c r="OC177" s="38"/>
      <c r="OD177" s="38"/>
      <c r="OE177" s="38"/>
      <c r="OF177" s="38"/>
      <c r="OG177" s="38"/>
      <c r="OH177" s="38"/>
      <c r="OI177" s="38"/>
      <c r="OJ177" s="38"/>
      <c r="OK177" s="38"/>
      <c r="OL177" s="38"/>
      <c r="OM177" s="38"/>
      <c r="ON177" s="38"/>
      <c r="OO177" s="38"/>
      <c r="OP177" s="38"/>
      <c r="OQ177" s="38"/>
      <c r="OR177" s="38"/>
      <c r="OS177" s="38"/>
      <c r="OT177" s="38"/>
      <c r="OU177" s="38"/>
      <c r="OV177" s="38"/>
      <c r="OW177" s="38"/>
      <c r="OX177" s="38"/>
      <c r="OY177" s="38"/>
      <c r="OZ177" s="38"/>
      <c r="PA177" s="38"/>
      <c r="PB177" s="38"/>
      <c r="PC177" s="38"/>
      <c r="PD177" s="38"/>
      <c r="PE177" s="38"/>
      <c r="PF177" s="38"/>
      <c r="PG177" s="38"/>
      <c r="PH177" s="38"/>
      <c r="PI177" s="38"/>
      <c r="PJ177" s="38"/>
      <c r="PK177" s="38"/>
      <c r="PL177" s="38"/>
      <c r="PM177" s="38"/>
      <c r="PN177" s="38"/>
      <c r="PO177" s="38"/>
      <c r="PP177" s="38"/>
      <c r="PQ177" s="38"/>
      <c r="PR177" s="38"/>
      <c r="PS177" s="38"/>
      <c r="PT177" s="38"/>
      <c r="PU177" s="38"/>
      <c r="PV177" s="38"/>
      <c r="PW177" s="38"/>
      <c r="PX177" s="38"/>
      <c r="PY177" s="38"/>
      <c r="PZ177" s="38"/>
      <c r="QA177" s="38"/>
      <c r="QB177" s="38"/>
      <c r="QC177" s="38"/>
      <c r="QD177" s="38"/>
      <c r="QE177" s="38"/>
      <c r="QF177" s="38"/>
      <c r="QG177" s="38"/>
      <c r="QH177" s="38"/>
      <c r="QI177" s="38"/>
      <c r="QJ177" s="38"/>
      <c r="QK177" s="38"/>
      <c r="QL177" s="38"/>
      <c r="QM177" s="38"/>
      <c r="QN177" s="38"/>
      <c r="QO177" s="38"/>
      <c r="QP177" s="38"/>
      <c r="QQ177" s="38"/>
      <c r="QR177" s="38"/>
      <c r="QS177" s="38"/>
      <c r="QT177" s="38"/>
      <c r="QU177" s="38"/>
      <c r="QV177" s="38"/>
      <c r="QW177" s="38"/>
      <c r="QX177" s="38"/>
      <c r="QY177" s="38"/>
      <c r="QZ177" s="38"/>
      <c r="RA177" s="38"/>
      <c r="RB177" s="38"/>
      <c r="RC177" s="38"/>
      <c r="RD177" s="38"/>
      <c r="RE177" s="38"/>
      <c r="RF177" s="38"/>
      <c r="RG177" s="38"/>
      <c r="RH177" s="38"/>
      <c r="RI177" s="38"/>
      <c r="RJ177" s="38"/>
      <c r="RK177" s="38"/>
      <c r="RL177" s="38"/>
      <c r="RM177" s="38"/>
      <c r="RN177" s="38"/>
      <c r="RO177" s="38"/>
      <c r="RP177" s="38"/>
      <c r="RQ177" s="38"/>
      <c r="RR177" s="38"/>
      <c r="RS177" s="38"/>
      <c r="RT177" s="38"/>
      <c r="RU177" s="38"/>
      <c r="RV177" s="38"/>
      <c r="RW177" s="38"/>
      <c r="RX177" s="38"/>
      <c r="RY177" s="38"/>
      <c r="RZ177" s="38"/>
      <c r="SA177" s="38"/>
      <c r="SB177" s="38"/>
      <c r="SC177" s="38"/>
      <c r="SD177" s="38"/>
      <c r="SE177" s="38"/>
      <c r="SF177" s="38"/>
      <c r="SG177" s="38"/>
      <c r="SH177" s="38"/>
      <c r="SI177" s="38"/>
      <c r="SJ177" s="38"/>
      <c r="SK177" s="38"/>
      <c r="SL177" s="38"/>
      <c r="SM177" s="38"/>
      <c r="SN177" s="38"/>
      <c r="SO177" s="38"/>
      <c r="SP177" s="38"/>
      <c r="SQ177" s="38"/>
      <c r="SR177" s="38"/>
      <c r="SS177" s="38"/>
      <c r="ST177" s="38"/>
      <c r="SU177" s="38"/>
      <c r="SV177" s="38"/>
      <c r="SW177" s="38"/>
      <c r="SX177" s="38"/>
      <c r="SY177" s="38"/>
      <c r="SZ177" s="38"/>
      <c r="TA177" s="38"/>
      <c r="TB177" s="38"/>
      <c r="TC177" s="38"/>
      <c r="TD177" s="38"/>
      <c r="TE177" s="38"/>
      <c r="TF177" s="38"/>
      <c r="TG177" s="38"/>
      <c r="TH177" s="38"/>
      <c r="TI177" s="38"/>
    </row>
    <row r="178" spans="1:529" s="40" customFormat="1" ht="41.25" customHeight="1" x14ac:dyDescent="0.25">
      <c r="A178" s="77" t="s">
        <v>245</v>
      </c>
      <c r="B178" s="75"/>
      <c r="C178" s="75"/>
      <c r="D178" s="33" t="s">
        <v>53</v>
      </c>
      <c r="E178" s="68">
        <f>E179+E180+E181</f>
        <v>9067800</v>
      </c>
      <c r="F178" s="68">
        <f t="shared" ref="F178:P178" si="99">F179+F180+F181</f>
        <v>9067800</v>
      </c>
      <c r="G178" s="68">
        <f t="shared" si="99"/>
        <v>6950200</v>
      </c>
      <c r="H178" s="68">
        <f t="shared" si="99"/>
        <v>92400</v>
      </c>
      <c r="I178" s="68">
        <f t="shared" si="99"/>
        <v>0</v>
      </c>
      <c r="J178" s="68">
        <f t="shared" si="99"/>
        <v>2696249.54</v>
      </c>
      <c r="K178" s="68">
        <f t="shared" si="99"/>
        <v>0</v>
      </c>
      <c r="L178" s="68">
        <f>L179+L180+L181</f>
        <v>1946249.54</v>
      </c>
      <c r="M178" s="68">
        <f t="shared" si="99"/>
        <v>0</v>
      </c>
      <c r="N178" s="68">
        <f t="shared" si="99"/>
        <v>0</v>
      </c>
      <c r="O178" s="68">
        <f t="shared" si="99"/>
        <v>750000</v>
      </c>
      <c r="P178" s="68">
        <f t="shared" si="99"/>
        <v>11764049.539999999</v>
      </c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  <c r="IW178" s="39"/>
      <c r="IX178" s="39"/>
      <c r="IY178" s="39"/>
      <c r="IZ178" s="39"/>
      <c r="JA178" s="39"/>
      <c r="JB178" s="39"/>
      <c r="JC178" s="39"/>
      <c r="JD178" s="39"/>
      <c r="JE178" s="39"/>
      <c r="JF178" s="39"/>
      <c r="JG178" s="39"/>
      <c r="JH178" s="39"/>
      <c r="JI178" s="39"/>
      <c r="JJ178" s="39"/>
      <c r="JK178" s="39"/>
      <c r="JL178" s="39"/>
      <c r="JM178" s="39"/>
      <c r="JN178" s="39"/>
      <c r="JO178" s="39"/>
      <c r="JP178" s="39"/>
      <c r="JQ178" s="39"/>
      <c r="JR178" s="39"/>
      <c r="JS178" s="39"/>
      <c r="JT178" s="39"/>
      <c r="JU178" s="39"/>
      <c r="JV178" s="39"/>
      <c r="JW178" s="39"/>
      <c r="JX178" s="39"/>
      <c r="JY178" s="39"/>
      <c r="JZ178" s="39"/>
      <c r="KA178" s="39"/>
      <c r="KB178" s="39"/>
      <c r="KC178" s="39"/>
      <c r="KD178" s="39"/>
      <c r="KE178" s="39"/>
      <c r="KF178" s="39"/>
      <c r="KG178" s="39"/>
      <c r="KH178" s="39"/>
      <c r="KI178" s="39"/>
      <c r="KJ178" s="39"/>
      <c r="KK178" s="39"/>
      <c r="KL178" s="39"/>
      <c r="KM178" s="39"/>
      <c r="KN178" s="39"/>
      <c r="KO178" s="39"/>
      <c r="KP178" s="39"/>
      <c r="KQ178" s="39"/>
      <c r="KR178" s="39"/>
      <c r="KS178" s="39"/>
      <c r="KT178" s="39"/>
      <c r="KU178" s="39"/>
      <c r="KV178" s="39"/>
      <c r="KW178" s="39"/>
      <c r="KX178" s="39"/>
      <c r="KY178" s="39"/>
      <c r="KZ178" s="39"/>
      <c r="LA178" s="39"/>
      <c r="LB178" s="39"/>
      <c r="LC178" s="39"/>
      <c r="LD178" s="39"/>
      <c r="LE178" s="39"/>
      <c r="LF178" s="39"/>
      <c r="LG178" s="39"/>
      <c r="LH178" s="39"/>
      <c r="LI178" s="39"/>
      <c r="LJ178" s="39"/>
      <c r="LK178" s="39"/>
      <c r="LL178" s="39"/>
      <c r="LM178" s="39"/>
      <c r="LN178" s="39"/>
      <c r="LO178" s="39"/>
      <c r="LP178" s="39"/>
      <c r="LQ178" s="39"/>
      <c r="LR178" s="39"/>
      <c r="LS178" s="39"/>
      <c r="LT178" s="39"/>
      <c r="LU178" s="39"/>
      <c r="LV178" s="39"/>
      <c r="LW178" s="39"/>
      <c r="LX178" s="39"/>
      <c r="LY178" s="39"/>
      <c r="LZ178" s="39"/>
      <c r="MA178" s="39"/>
      <c r="MB178" s="39"/>
      <c r="MC178" s="39"/>
      <c r="MD178" s="39"/>
      <c r="ME178" s="39"/>
      <c r="MF178" s="39"/>
      <c r="MG178" s="39"/>
      <c r="MH178" s="39"/>
      <c r="MI178" s="39"/>
      <c r="MJ178" s="39"/>
      <c r="MK178" s="39"/>
      <c r="ML178" s="39"/>
      <c r="MM178" s="39"/>
      <c r="MN178" s="39"/>
      <c r="MO178" s="39"/>
      <c r="MP178" s="39"/>
      <c r="MQ178" s="39"/>
      <c r="MR178" s="39"/>
      <c r="MS178" s="39"/>
      <c r="MT178" s="39"/>
      <c r="MU178" s="39"/>
      <c r="MV178" s="39"/>
      <c r="MW178" s="39"/>
      <c r="MX178" s="39"/>
      <c r="MY178" s="39"/>
      <c r="MZ178" s="39"/>
      <c r="NA178" s="39"/>
      <c r="NB178" s="39"/>
      <c r="NC178" s="39"/>
      <c r="ND178" s="39"/>
      <c r="NE178" s="39"/>
      <c r="NF178" s="39"/>
      <c r="NG178" s="39"/>
      <c r="NH178" s="39"/>
      <c r="NI178" s="39"/>
      <c r="NJ178" s="39"/>
      <c r="NK178" s="39"/>
      <c r="NL178" s="39"/>
      <c r="NM178" s="39"/>
      <c r="NN178" s="39"/>
      <c r="NO178" s="39"/>
      <c r="NP178" s="39"/>
      <c r="NQ178" s="39"/>
      <c r="NR178" s="39"/>
      <c r="NS178" s="39"/>
      <c r="NT178" s="39"/>
      <c r="NU178" s="39"/>
      <c r="NV178" s="39"/>
      <c r="NW178" s="39"/>
      <c r="NX178" s="39"/>
      <c r="NY178" s="39"/>
      <c r="NZ178" s="39"/>
      <c r="OA178" s="39"/>
      <c r="OB178" s="39"/>
      <c r="OC178" s="39"/>
      <c r="OD178" s="39"/>
      <c r="OE178" s="39"/>
      <c r="OF178" s="39"/>
      <c r="OG178" s="39"/>
      <c r="OH178" s="39"/>
      <c r="OI178" s="39"/>
      <c r="OJ178" s="39"/>
      <c r="OK178" s="39"/>
      <c r="OL178" s="39"/>
      <c r="OM178" s="39"/>
      <c r="ON178" s="39"/>
      <c r="OO178" s="39"/>
      <c r="OP178" s="39"/>
      <c r="OQ178" s="39"/>
      <c r="OR178" s="39"/>
      <c r="OS178" s="39"/>
      <c r="OT178" s="39"/>
      <c r="OU178" s="39"/>
      <c r="OV178" s="39"/>
      <c r="OW178" s="39"/>
      <c r="OX178" s="39"/>
      <c r="OY178" s="39"/>
      <c r="OZ178" s="39"/>
      <c r="PA178" s="39"/>
      <c r="PB178" s="39"/>
      <c r="PC178" s="39"/>
      <c r="PD178" s="39"/>
      <c r="PE178" s="39"/>
      <c r="PF178" s="39"/>
      <c r="PG178" s="39"/>
      <c r="PH178" s="39"/>
      <c r="PI178" s="39"/>
      <c r="PJ178" s="39"/>
      <c r="PK178" s="39"/>
      <c r="PL178" s="39"/>
      <c r="PM178" s="39"/>
      <c r="PN178" s="39"/>
      <c r="PO178" s="39"/>
      <c r="PP178" s="39"/>
      <c r="PQ178" s="39"/>
      <c r="PR178" s="39"/>
      <c r="PS178" s="39"/>
      <c r="PT178" s="39"/>
      <c r="PU178" s="39"/>
      <c r="PV178" s="39"/>
      <c r="PW178" s="39"/>
      <c r="PX178" s="39"/>
      <c r="PY178" s="39"/>
      <c r="PZ178" s="39"/>
      <c r="QA178" s="39"/>
      <c r="QB178" s="39"/>
      <c r="QC178" s="39"/>
      <c r="QD178" s="39"/>
      <c r="QE178" s="39"/>
      <c r="QF178" s="39"/>
      <c r="QG178" s="39"/>
      <c r="QH178" s="39"/>
      <c r="QI178" s="39"/>
      <c r="QJ178" s="39"/>
      <c r="QK178" s="39"/>
      <c r="QL178" s="39"/>
      <c r="QM178" s="39"/>
      <c r="QN178" s="39"/>
      <c r="QO178" s="39"/>
      <c r="QP178" s="39"/>
      <c r="QQ178" s="39"/>
      <c r="QR178" s="39"/>
      <c r="QS178" s="39"/>
      <c r="QT178" s="39"/>
      <c r="QU178" s="39"/>
      <c r="QV178" s="39"/>
      <c r="QW178" s="39"/>
      <c r="QX178" s="39"/>
      <c r="QY178" s="39"/>
      <c r="QZ178" s="39"/>
      <c r="RA178" s="39"/>
      <c r="RB178" s="39"/>
      <c r="RC178" s="39"/>
      <c r="RD178" s="39"/>
      <c r="RE178" s="39"/>
      <c r="RF178" s="39"/>
      <c r="RG178" s="39"/>
      <c r="RH178" s="39"/>
      <c r="RI178" s="39"/>
      <c r="RJ178" s="39"/>
      <c r="RK178" s="39"/>
      <c r="RL178" s="39"/>
      <c r="RM178" s="39"/>
      <c r="RN178" s="39"/>
      <c r="RO178" s="39"/>
      <c r="RP178" s="39"/>
      <c r="RQ178" s="39"/>
      <c r="RR178" s="39"/>
      <c r="RS178" s="39"/>
      <c r="RT178" s="39"/>
      <c r="RU178" s="39"/>
      <c r="RV178" s="39"/>
      <c r="RW178" s="39"/>
      <c r="RX178" s="39"/>
      <c r="RY178" s="39"/>
      <c r="RZ178" s="39"/>
      <c r="SA178" s="39"/>
      <c r="SB178" s="39"/>
      <c r="SC178" s="39"/>
      <c r="SD178" s="39"/>
      <c r="SE178" s="39"/>
      <c r="SF178" s="39"/>
      <c r="SG178" s="39"/>
      <c r="SH178" s="39"/>
      <c r="SI178" s="39"/>
      <c r="SJ178" s="39"/>
      <c r="SK178" s="39"/>
      <c r="SL178" s="39"/>
      <c r="SM178" s="39"/>
      <c r="SN178" s="39"/>
      <c r="SO178" s="39"/>
      <c r="SP178" s="39"/>
      <c r="SQ178" s="39"/>
      <c r="SR178" s="39"/>
      <c r="SS178" s="39"/>
      <c r="ST178" s="39"/>
      <c r="SU178" s="39"/>
      <c r="SV178" s="39"/>
      <c r="SW178" s="39"/>
      <c r="SX178" s="39"/>
      <c r="SY178" s="39"/>
      <c r="SZ178" s="39"/>
      <c r="TA178" s="39"/>
      <c r="TB178" s="39"/>
      <c r="TC178" s="39"/>
      <c r="TD178" s="39"/>
      <c r="TE178" s="39"/>
      <c r="TF178" s="39"/>
      <c r="TG178" s="39"/>
      <c r="TH178" s="39"/>
      <c r="TI178" s="39"/>
    </row>
    <row r="179" spans="1:529" s="23" customFormat="1" ht="45" customHeight="1" x14ac:dyDescent="0.25">
      <c r="A179" s="43" t="s">
        <v>246</v>
      </c>
      <c r="B179" s="44" t="str">
        <f>'дод 3'!A20</f>
        <v>0160</v>
      </c>
      <c r="C179" s="44" t="str">
        <f>'дод 3'!B20</f>
        <v>0111</v>
      </c>
      <c r="D179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79" s="69">
        <f>F179+I179</f>
        <v>8892800</v>
      </c>
      <c r="F179" s="69">
        <f>8936200+12100+288619-394119+50000</f>
        <v>8892800</v>
      </c>
      <c r="G179" s="69">
        <f>7036700+236573-323073</f>
        <v>6950200</v>
      </c>
      <c r="H179" s="69">
        <v>92400</v>
      </c>
      <c r="I179" s="69"/>
      <c r="J179" s="69">
        <f t="shared" si="90"/>
        <v>0</v>
      </c>
      <c r="K179" s="69"/>
      <c r="L179" s="69"/>
      <c r="M179" s="69"/>
      <c r="N179" s="69"/>
      <c r="O179" s="69"/>
      <c r="P179" s="69">
        <f>E179+J179</f>
        <v>8892800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23" customFormat="1" ht="34.5" customHeight="1" x14ac:dyDescent="0.25">
      <c r="A180" s="43" t="s">
        <v>363</v>
      </c>
      <c r="B180" s="44" t="str">
        <f>'дод 3'!A96</f>
        <v>6090</v>
      </c>
      <c r="C180" s="44" t="str">
        <f>'дод 3'!B96</f>
        <v>0640</v>
      </c>
      <c r="D180" s="24" t="str">
        <f>'дод 3'!C96</f>
        <v>Інша діяльність у сфері житлово-комунального господарства</v>
      </c>
      <c r="E180" s="69">
        <f>F180+I180</f>
        <v>175000</v>
      </c>
      <c r="F180" s="69">
        <v>175000</v>
      </c>
      <c r="G180" s="69"/>
      <c r="H180" s="69"/>
      <c r="I180" s="69"/>
      <c r="J180" s="69">
        <f t="shared" si="90"/>
        <v>0</v>
      </c>
      <c r="K180" s="69"/>
      <c r="L180" s="69"/>
      <c r="M180" s="69"/>
      <c r="N180" s="69"/>
      <c r="O180" s="69"/>
      <c r="P180" s="69">
        <f>E180+J180</f>
        <v>175000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3" customFormat="1" ht="87.75" customHeight="1" x14ac:dyDescent="0.25">
      <c r="A181" s="52" t="s">
        <v>349</v>
      </c>
      <c r="B181" s="45" t="str">
        <f>'дод 3'!A129</f>
        <v>7691</v>
      </c>
      <c r="C181" s="45" t="str">
        <f>'дод 3'!B129</f>
        <v>0490</v>
      </c>
      <c r="D181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1" s="69">
        <f>F181+I181</f>
        <v>0</v>
      </c>
      <c r="F181" s="69"/>
      <c r="G181" s="69"/>
      <c r="H181" s="69"/>
      <c r="I181" s="69"/>
      <c r="J181" s="69">
        <f t="shared" si="90"/>
        <v>2696249.54</v>
      </c>
      <c r="K181" s="69"/>
      <c r="L181" s="69">
        <f>1321371+1074878.54-450000</f>
        <v>1946249.54</v>
      </c>
      <c r="M181" s="69"/>
      <c r="N181" s="69"/>
      <c r="O181" s="69">
        <f>300000+450000</f>
        <v>750000</v>
      </c>
      <c r="P181" s="69">
        <f>E181+J181</f>
        <v>2696249.54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</row>
    <row r="182" spans="1:529" s="31" customFormat="1" ht="36.75" customHeight="1" x14ac:dyDescent="0.2">
      <c r="A182" s="76" t="s">
        <v>249</v>
      </c>
      <c r="B182" s="74"/>
      <c r="C182" s="74"/>
      <c r="D182" s="30" t="s">
        <v>56</v>
      </c>
      <c r="E182" s="66">
        <f>E183</f>
        <v>4531018</v>
      </c>
      <c r="F182" s="66">
        <f t="shared" ref="F182:J183" si="100">F183</f>
        <v>4531018</v>
      </c>
      <c r="G182" s="66">
        <f t="shared" si="100"/>
        <v>3516425</v>
      </c>
      <c r="H182" s="66">
        <f t="shared" si="100"/>
        <v>52700</v>
      </c>
      <c r="I182" s="66">
        <f t="shared" si="100"/>
        <v>0</v>
      </c>
      <c r="J182" s="66">
        <f t="shared" si="100"/>
        <v>0</v>
      </c>
      <c r="K182" s="66">
        <f t="shared" ref="K182:K183" si="101">K183</f>
        <v>0</v>
      </c>
      <c r="L182" s="66">
        <f t="shared" ref="L182:L183" si="102">L183</f>
        <v>0</v>
      </c>
      <c r="M182" s="66">
        <f t="shared" ref="M182:M183" si="103">M183</f>
        <v>0</v>
      </c>
      <c r="N182" s="66">
        <f t="shared" ref="N182:N183" si="104">N183</f>
        <v>0</v>
      </c>
      <c r="O182" s="66">
        <f t="shared" ref="O182:P183" si="105">O183</f>
        <v>0</v>
      </c>
      <c r="P182" s="66">
        <f t="shared" si="105"/>
        <v>4531018</v>
      </c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38"/>
      <c r="PM182" s="38"/>
      <c r="PN182" s="38"/>
      <c r="PO182" s="38"/>
      <c r="PP182" s="38"/>
      <c r="PQ182" s="38"/>
      <c r="PR182" s="38"/>
      <c r="PS182" s="38"/>
      <c r="PT182" s="38"/>
      <c r="PU182" s="38"/>
      <c r="PV182" s="38"/>
      <c r="PW182" s="38"/>
      <c r="PX182" s="38"/>
      <c r="PY182" s="38"/>
      <c r="PZ182" s="38"/>
      <c r="QA182" s="38"/>
      <c r="QB182" s="38"/>
      <c r="QC182" s="38"/>
      <c r="QD182" s="38"/>
      <c r="QE182" s="38"/>
      <c r="QF182" s="38"/>
      <c r="QG182" s="38"/>
      <c r="QH182" s="38"/>
      <c r="QI182" s="38"/>
      <c r="QJ182" s="38"/>
      <c r="QK182" s="38"/>
      <c r="QL182" s="38"/>
      <c r="QM182" s="38"/>
      <c r="QN182" s="38"/>
      <c r="QO182" s="38"/>
      <c r="QP182" s="38"/>
      <c r="QQ182" s="38"/>
      <c r="QR182" s="38"/>
      <c r="QS182" s="38"/>
      <c r="QT182" s="38"/>
      <c r="QU182" s="38"/>
      <c r="QV182" s="38"/>
      <c r="QW182" s="38"/>
      <c r="QX182" s="38"/>
      <c r="QY182" s="38"/>
      <c r="QZ182" s="38"/>
      <c r="RA182" s="38"/>
      <c r="RB182" s="38"/>
      <c r="RC182" s="38"/>
      <c r="RD182" s="38"/>
      <c r="RE182" s="38"/>
      <c r="RF182" s="38"/>
      <c r="RG182" s="38"/>
      <c r="RH182" s="38"/>
      <c r="RI182" s="38"/>
      <c r="RJ182" s="38"/>
      <c r="RK182" s="38"/>
      <c r="RL182" s="38"/>
      <c r="RM182" s="38"/>
      <c r="RN182" s="38"/>
      <c r="RO182" s="38"/>
      <c r="RP182" s="38"/>
      <c r="RQ182" s="38"/>
      <c r="RR182" s="38"/>
      <c r="RS182" s="38"/>
      <c r="RT182" s="38"/>
      <c r="RU182" s="38"/>
      <c r="RV182" s="38"/>
      <c r="RW182" s="38"/>
      <c r="RX182" s="38"/>
      <c r="RY182" s="38"/>
      <c r="RZ182" s="38"/>
      <c r="SA182" s="38"/>
      <c r="SB182" s="38"/>
      <c r="SC182" s="38"/>
      <c r="SD182" s="38"/>
      <c r="SE182" s="38"/>
      <c r="SF182" s="38"/>
      <c r="SG182" s="38"/>
      <c r="SH182" s="38"/>
      <c r="SI182" s="38"/>
      <c r="SJ182" s="38"/>
      <c r="SK182" s="38"/>
      <c r="SL182" s="38"/>
      <c r="SM182" s="38"/>
      <c r="SN182" s="38"/>
      <c r="SO182" s="38"/>
      <c r="SP182" s="38"/>
      <c r="SQ182" s="38"/>
      <c r="SR182" s="38"/>
      <c r="SS182" s="38"/>
      <c r="ST182" s="38"/>
      <c r="SU182" s="38"/>
      <c r="SV182" s="38"/>
      <c r="SW182" s="38"/>
      <c r="SX182" s="38"/>
      <c r="SY182" s="38"/>
      <c r="SZ182" s="38"/>
      <c r="TA182" s="38"/>
      <c r="TB182" s="38"/>
      <c r="TC182" s="38"/>
      <c r="TD182" s="38"/>
      <c r="TE182" s="38"/>
      <c r="TF182" s="38"/>
      <c r="TG182" s="38"/>
      <c r="TH182" s="38"/>
      <c r="TI182" s="38"/>
    </row>
    <row r="183" spans="1:529" s="40" customFormat="1" ht="35.25" customHeight="1" x14ac:dyDescent="0.25">
      <c r="A183" s="77" t="s">
        <v>247</v>
      </c>
      <c r="B183" s="75"/>
      <c r="C183" s="75"/>
      <c r="D183" s="33" t="s">
        <v>56</v>
      </c>
      <c r="E183" s="68">
        <f>E184</f>
        <v>4531018</v>
      </c>
      <c r="F183" s="68">
        <f t="shared" si="100"/>
        <v>4531018</v>
      </c>
      <c r="G183" s="68">
        <f t="shared" si="100"/>
        <v>3516425</v>
      </c>
      <c r="H183" s="68">
        <f t="shared" si="100"/>
        <v>52700</v>
      </c>
      <c r="I183" s="68">
        <f t="shared" si="100"/>
        <v>0</v>
      </c>
      <c r="J183" s="68">
        <f t="shared" si="100"/>
        <v>0</v>
      </c>
      <c r="K183" s="68">
        <f t="shared" si="101"/>
        <v>0</v>
      </c>
      <c r="L183" s="68">
        <f t="shared" si="102"/>
        <v>0</v>
      </c>
      <c r="M183" s="68">
        <f t="shared" si="103"/>
        <v>0</v>
      </c>
      <c r="N183" s="68">
        <f t="shared" si="104"/>
        <v>0</v>
      </c>
      <c r="O183" s="68">
        <f t="shared" si="105"/>
        <v>0</v>
      </c>
      <c r="P183" s="68">
        <f t="shared" si="105"/>
        <v>4531018</v>
      </c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/>
      <c r="IU183" s="39"/>
      <c r="IV183" s="39"/>
      <c r="IW183" s="39"/>
      <c r="IX183" s="39"/>
      <c r="IY183" s="39"/>
      <c r="IZ183" s="39"/>
      <c r="JA183" s="39"/>
      <c r="JB183" s="39"/>
      <c r="JC183" s="39"/>
      <c r="JD183" s="39"/>
      <c r="JE183" s="39"/>
      <c r="JF183" s="39"/>
      <c r="JG183" s="39"/>
      <c r="JH183" s="39"/>
      <c r="JI183" s="39"/>
      <c r="JJ183" s="39"/>
      <c r="JK183" s="39"/>
      <c r="JL183" s="39"/>
      <c r="JM183" s="39"/>
      <c r="JN183" s="39"/>
      <c r="JO183" s="39"/>
      <c r="JP183" s="39"/>
      <c r="JQ183" s="39"/>
      <c r="JR183" s="39"/>
      <c r="JS183" s="39"/>
      <c r="JT183" s="39"/>
      <c r="JU183" s="39"/>
      <c r="JV183" s="39"/>
      <c r="JW183" s="39"/>
      <c r="JX183" s="39"/>
      <c r="JY183" s="39"/>
      <c r="JZ183" s="39"/>
      <c r="KA183" s="39"/>
      <c r="KB183" s="39"/>
      <c r="KC183" s="39"/>
      <c r="KD183" s="39"/>
      <c r="KE183" s="39"/>
      <c r="KF183" s="39"/>
      <c r="KG183" s="39"/>
      <c r="KH183" s="39"/>
      <c r="KI183" s="39"/>
      <c r="KJ183" s="39"/>
      <c r="KK183" s="39"/>
      <c r="KL183" s="39"/>
      <c r="KM183" s="39"/>
      <c r="KN183" s="39"/>
      <c r="KO183" s="39"/>
      <c r="KP183" s="39"/>
      <c r="KQ183" s="39"/>
      <c r="KR183" s="39"/>
      <c r="KS183" s="39"/>
      <c r="KT183" s="39"/>
      <c r="KU183" s="39"/>
      <c r="KV183" s="39"/>
      <c r="KW183" s="39"/>
      <c r="KX183" s="39"/>
      <c r="KY183" s="39"/>
      <c r="KZ183" s="39"/>
      <c r="LA183" s="39"/>
      <c r="LB183" s="39"/>
      <c r="LC183" s="39"/>
      <c r="LD183" s="39"/>
      <c r="LE183" s="39"/>
      <c r="LF183" s="39"/>
      <c r="LG183" s="39"/>
      <c r="LH183" s="39"/>
      <c r="LI183" s="39"/>
      <c r="LJ183" s="39"/>
      <c r="LK183" s="39"/>
      <c r="LL183" s="39"/>
      <c r="LM183" s="39"/>
      <c r="LN183" s="39"/>
      <c r="LO183" s="39"/>
      <c r="LP183" s="39"/>
      <c r="LQ183" s="39"/>
      <c r="LR183" s="39"/>
      <c r="LS183" s="39"/>
      <c r="LT183" s="39"/>
      <c r="LU183" s="39"/>
      <c r="LV183" s="39"/>
      <c r="LW183" s="39"/>
      <c r="LX183" s="39"/>
      <c r="LY183" s="39"/>
      <c r="LZ183" s="39"/>
      <c r="MA183" s="39"/>
      <c r="MB183" s="39"/>
      <c r="MC183" s="39"/>
      <c r="MD183" s="39"/>
      <c r="ME183" s="39"/>
      <c r="MF183" s="39"/>
      <c r="MG183" s="39"/>
      <c r="MH183" s="39"/>
      <c r="MI183" s="39"/>
      <c r="MJ183" s="39"/>
      <c r="MK183" s="39"/>
      <c r="ML183" s="39"/>
      <c r="MM183" s="39"/>
      <c r="MN183" s="39"/>
      <c r="MO183" s="39"/>
      <c r="MP183" s="39"/>
      <c r="MQ183" s="39"/>
      <c r="MR183" s="39"/>
      <c r="MS183" s="39"/>
      <c r="MT183" s="39"/>
      <c r="MU183" s="39"/>
      <c r="MV183" s="39"/>
      <c r="MW183" s="39"/>
      <c r="MX183" s="39"/>
      <c r="MY183" s="39"/>
      <c r="MZ183" s="39"/>
      <c r="NA183" s="39"/>
      <c r="NB183" s="39"/>
      <c r="NC183" s="39"/>
      <c r="ND183" s="39"/>
      <c r="NE183" s="39"/>
      <c r="NF183" s="39"/>
      <c r="NG183" s="39"/>
      <c r="NH183" s="39"/>
      <c r="NI183" s="39"/>
      <c r="NJ183" s="39"/>
      <c r="NK183" s="39"/>
      <c r="NL183" s="39"/>
      <c r="NM183" s="39"/>
      <c r="NN183" s="39"/>
      <c r="NO183" s="39"/>
      <c r="NP183" s="39"/>
      <c r="NQ183" s="39"/>
      <c r="NR183" s="39"/>
      <c r="NS183" s="39"/>
      <c r="NT183" s="39"/>
      <c r="NU183" s="39"/>
      <c r="NV183" s="39"/>
      <c r="NW183" s="39"/>
      <c r="NX183" s="39"/>
      <c r="NY183" s="39"/>
      <c r="NZ183" s="39"/>
      <c r="OA183" s="39"/>
      <c r="OB183" s="39"/>
      <c r="OC183" s="39"/>
      <c r="OD183" s="39"/>
      <c r="OE183" s="39"/>
      <c r="OF183" s="39"/>
      <c r="OG183" s="39"/>
      <c r="OH183" s="39"/>
      <c r="OI183" s="39"/>
      <c r="OJ183" s="39"/>
      <c r="OK183" s="39"/>
      <c r="OL183" s="39"/>
      <c r="OM183" s="39"/>
      <c r="ON183" s="39"/>
      <c r="OO183" s="39"/>
      <c r="OP183" s="39"/>
      <c r="OQ183" s="39"/>
      <c r="OR183" s="39"/>
      <c r="OS183" s="39"/>
      <c r="OT183" s="39"/>
      <c r="OU183" s="39"/>
      <c r="OV183" s="39"/>
      <c r="OW183" s="39"/>
      <c r="OX183" s="39"/>
      <c r="OY183" s="39"/>
      <c r="OZ183" s="39"/>
      <c r="PA183" s="39"/>
      <c r="PB183" s="39"/>
      <c r="PC183" s="39"/>
      <c r="PD183" s="39"/>
      <c r="PE183" s="39"/>
      <c r="PF183" s="39"/>
      <c r="PG183" s="39"/>
      <c r="PH183" s="39"/>
      <c r="PI183" s="39"/>
      <c r="PJ183" s="39"/>
      <c r="PK183" s="39"/>
      <c r="PL183" s="39"/>
      <c r="PM183" s="39"/>
      <c r="PN183" s="39"/>
      <c r="PO183" s="39"/>
      <c r="PP183" s="39"/>
      <c r="PQ183" s="39"/>
      <c r="PR183" s="39"/>
      <c r="PS183" s="39"/>
      <c r="PT183" s="39"/>
      <c r="PU183" s="39"/>
      <c r="PV183" s="39"/>
      <c r="PW183" s="39"/>
      <c r="PX183" s="39"/>
      <c r="PY183" s="39"/>
      <c r="PZ183" s="39"/>
      <c r="QA183" s="39"/>
      <c r="QB183" s="39"/>
      <c r="QC183" s="39"/>
      <c r="QD183" s="39"/>
      <c r="QE183" s="39"/>
      <c r="QF183" s="39"/>
      <c r="QG183" s="39"/>
      <c r="QH183" s="39"/>
      <c r="QI183" s="39"/>
      <c r="QJ183" s="39"/>
      <c r="QK183" s="39"/>
      <c r="QL183" s="39"/>
      <c r="QM183" s="39"/>
      <c r="QN183" s="39"/>
      <c r="QO183" s="39"/>
      <c r="QP183" s="39"/>
      <c r="QQ183" s="39"/>
      <c r="QR183" s="39"/>
      <c r="QS183" s="39"/>
      <c r="QT183" s="39"/>
      <c r="QU183" s="39"/>
      <c r="QV183" s="39"/>
      <c r="QW183" s="39"/>
      <c r="QX183" s="39"/>
      <c r="QY183" s="39"/>
      <c r="QZ183" s="39"/>
      <c r="RA183" s="39"/>
      <c r="RB183" s="39"/>
      <c r="RC183" s="39"/>
      <c r="RD183" s="39"/>
      <c r="RE183" s="39"/>
      <c r="RF183" s="39"/>
      <c r="RG183" s="39"/>
      <c r="RH183" s="39"/>
      <c r="RI183" s="39"/>
      <c r="RJ183" s="39"/>
      <c r="RK183" s="39"/>
      <c r="RL183" s="39"/>
      <c r="RM183" s="39"/>
      <c r="RN183" s="39"/>
      <c r="RO183" s="39"/>
      <c r="RP183" s="39"/>
      <c r="RQ183" s="39"/>
      <c r="RR183" s="39"/>
      <c r="RS183" s="39"/>
      <c r="RT183" s="39"/>
      <c r="RU183" s="39"/>
      <c r="RV183" s="39"/>
      <c r="RW183" s="39"/>
      <c r="RX183" s="39"/>
      <c r="RY183" s="39"/>
      <c r="RZ183" s="39"/>
      <c r="SA183" s="39"/>
      <c r="SB183" s="39"/>
      <c r="SC183" s="39"/>
      <c r="SD183" s="39"/>
      <c r="SE183" s="39"/>
      <c r="SF183" s="39"/>
      <c r="SG183" s="39"/>
      <c r="SH183" s="39"/>
      <c r="SI183" s="39"/>
      <c r="SJ183" s="39"/>
      <c r="SK183" s="39"/>
      <c r="SL183" s="39"/>
      <c r="SM183" s="39"/>
      <c r="SN183" s="39"/>
      <c r="SO183" s="39"/>
      <c r="SP183" s="39"/>
      <c r="SQ183" s="39"/>
      <c r="SR183" s="39"/>
      <c r="SS183" s="39"/>
      <c r="ST183" s="39"/>
      <c r="SU183" s="39"/>
      <c r="SV183" s="39"/>
      <c r="SW183" s="39"/>
      <c r="SX183" s="39"/>
      <c r="SY183" s="39"/>
      <c r="SZ183" s="39"/>
      <c r="TA183" s="39"/>
      <c r="TB183" s="39"/>
      <c r="TC183" s="39"/>
      <c r="TD183" s="39"/>
      <c r="TE183" s="39"/>
      <c r="TF183" s="39"/>
      <c r="TG183" s="39"/>
      <c r="TH183" s="39"/>
      <c r="TI183" s="39"/>
    </row>
    <row r="184" spans="1:529" s="23" customFormat="1" ht="43.5" customHeight="1" x14ac:dyDescent="0.25">
      <c r="A184" s="43" t="s">
        <v>248</v>
      </c>
      <c r="B184" s="44" t="str">
        <f>'дод 3'!A20</f>
        <v>0160</v>
      </c>
      <c r="C184" s="44" t="str">
        <f>'дод 3'!B20</f>
        <v>0111</v>
      </c>
      <c r="D184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4" s="69">
        <f>F184+I184</f>
        <v>4531018</v>
      </c>
      <c r="F184" s="69">
        <f>4985700+21800-233000-243482</f>
        <v>4531018</v>
      </c>
      <c r="G184" s="69">
        <f>3907000-191000-199575</f>
        <v>3516425</v>
      </c>
      <c r="H184" s="69">
        <v>52700</v>
      </c>
      <c r="I184" s="69"/>
      <c r="J184" s="69">
        <f>L184+O184</f>
        <v>0</v>
      </c>
      <c r="K184" s="69"/>
      <c r="L184" s="69"/>
      <c r="M184" s="69"/>
      <c r="N184" s="69"/>
      <c r="O184" s="69"/>
      <c r="P184" s="69">
        <f>E184+J184</f>
        <v>4531018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31" customFormat="1" ht="37.5" customHeight="1" x14ac:dyDescent="0.2">
      <c r="A185" s="76" t="s">
        <v>250</v>
      </c>
      <c r="B185" s="74"/>
      <c r="C185" s="74"/>
      <c r="D185" s="30" t="s">
        <v>52</v>
      </c>
      <c r="E185" s="66">
        <f>E186</f>
        <v>20393000</v>
      </c>
      <c r="F185" s="66">
        <f t="shared" ref="F185:J185" si="106">F186</f>
        <v>19775000</v>
      </c>
      <c r="G185" s="66">
        <f t="shared" si="106"/>
        <v>13931300</v>
      </c>
      <c r="H185" s="66">
        <f t="shared" si="106"/>
        <v>314600</v>
      </c>
      <c r="I185" s="66">
        <f t="shared" si="106"/>
        <v>618000</v>
      </c>
      <c r="J185" s="66">
        <f t="shared" si="106"/>
        <v>100000</v>
      </c>
      <c r="K185" s="66">
        <f t="shared" ref="K185" si="107">K186</f>
        <v>100000</v>
      </c>
      <c r="L185" s="66">
        <f t="shared" ref="L185" si="108">L186</f>
        <v>0</v>
      </c>
      <c r="M185" s="66">
        <f t="shared" ref="M185" si="109">M186</f>
        <v>0</v>
      </c>
      <c r="N185" s="66">
        <f t="shared" ref="N185" si="110">N186</f>
        <v>0</v>
      </c>
      <c r="O185" s="66">
        <f t="shared" ref="O185" si="111">O186</f>
        <v>100000</v>
      </c>
      <c r="P185" s="66">
        <f>P186</f>
        <v>20493000</v>
      </c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  <c r="IH185" s="38"/>
      <c r="II185" s="38"/>
      <c r="IJ185" s="38"/>
      <c r="IK185" s="38"/>
      <c r="IL185" s="38"/>
      <c r="IM185" s="38"/>
      <c r="IN185" s="38"/>
      <c r="IO185" s="38"/>
      <c r="IP185" s="38"/>
      <c r="IQ185" s="38"/>
      <c r="IR185" s="38"/>
      <c r="IS185" s="38"/>
      <c r="IT185" s="38"/>
      <c r="IU185" s="38"/>
      <c r="IV185" s="38"/>
      <c r="IW185" s="38"/>
      <c r="IX185" s="38"/>
      <c r="IY185" s="38"/>
      <c r="IZ185" s="38"/>
      <c r="JA185" s="38"/>
      <c r="JB185" s="38"/>
      <c r="JC185" s="38"/>
      <c r="JD185" s="38"/>
      <c r="JE185" s="38"/>
      <c r="JF185" s="38"/>
      <c r="JG185" s="38"/>
      <c r="JH185" s="38"/>
      <c r="JI185" s="38"/>
      <c r="JJ185" s="38"/>
      <c r="JK185" s="38"/>
      <c r="JL185" s="38"/>
      <c r="JM185" s="38"/>
      <c r="JN185" s="38"/>
      <c r="JO185" s="38"/>
      <c r="JP185" s="38"/>
      <c r="JQ185" s="38"/>
      <c r="JR185" s="38"/>
      <c r="JS185" s="38"/>
      <c r="JT185" s="38"/>
      <c r="JU185" s="38"/>
      <c r="JV185" s="38"/>
      <c r="JW185" s="38"/>
      <c r="JX185" s="38"/>
      <c r="JY185" s="38"/>
      <c r="JZ185" s="38"/>
      <c r="KA185" s="38"/>
      <c r="KB185" s="38"/>
      <c r="KC185" s="38"/>
      <c r="KD185" s="38"/>
      <c r="KE185" s="38"/>
      <c r="KF185" s="38"/>
      <c r="KG185" s="38"/>
      <c r="KH185" s="38"/>
      <c r="KI185" s="38"/>
      <c r="KJ185" s="38"/>
      <c r="KK185" s="38"/>
      <c r="KL185" s="38"/>
      <c r="KM185" s="38"/>
      <c r="KN185" s="38"/>
      <c r="KO185" s="38"/>
      <c r="KP185" s="38"/>
      <c r="KQ185" s="38"/>
      <c r="KR185" s="38"/>
      <c r="KS185" s="38"/>
      <c r="KT185" s="38"/>
      <c r="KU185" s="38"/>
      <c r="KV185" s="38"/>
      <c r="KW185" s="38"/>
      <c r="KX185" s="38"/>
      <c r="KY185" s="38"/>
      <c r="KZ185" s="38"/>
      <c r="LA185" s="38"/>
      <c r="LB185" s="38"/>
      <c r="LC185" s="38"/>
      <c r="LD185" s="38"/>
      <c r="LE185" s="38"/>
      <c r="LF185" s="38"/>
      <c r="LG185" s="38"/>
      <c r="LH185" s="38"/>
      <c r="LI185" s="38"/>
      <c r="LJ185" s="38"/>
      <c r="LK185" s="38"/>
      <c r="LL185" s="38"/>
      <c r="LM185" s="38"/>
      <c r="LN185" s="38"/>
      <c r="LO185" s="38"/>
      <c r="LP185" s="38"/>
      <c r="LQ185" s="38"/>
      <c r="LR185" s="38"/>
      <c r="LS185" s="38"/>
      <c r="LT185" s="38"/>
      <c r="LU185" s="38"/>
      <c r="LV185" s="38"/>
      <c r="LW185" s="38"/>
      <c r="LX185" s="38"/>
      <c r="LY185" s="38"/>
      <c r="LZ185" s="38"/>
      <c r="MA185" s="38"/>
      <c r="MB185" s="38"/>
      <c r="MC185" s="38"/>
      <c r="MD185" s="38"/>
      <c r="ME185" s="38"/>
      <c r="MF185" s="38"/>
      <c r="MG185" s="38"/>
      <c r="MH185" s="38"/>
      <c r="MI185" s="38"/>
      <c r="MJ185" s="38"/>
      <c r="MK185" s="38"/>
      <c r="ML185" s="38"/>
      <c r="MM185" s="38"/>
      <c r="MN185" s="38"/>
      <c r="MO185" s="38"/>
      <c r="MP185" s="38"/>
      <c r="MQ185" s="38"/>
      <c r="MR185" s="38"/>
      <c r="MS185" s="38"/>
      <c r="MT185" s="38"/>
      <c r="MU185" s="38"/>
      <c r="MV185" s="38"/>
      <c r="MW185" s="38"/>
      <c r="MX185" s="38"/>
      <c r="MY185" s="38"/>
      <c r="MZ185" s="38"/>
      <c r="NA185" s="38"/>
      <c r="NB185" s="38"/>
      <c r="NC185" s="38"/>
      <c r="ND185" s="38"/>
      <c r="NE185" s="38"/>
      <c r="NF185" s="38"/>
      <c r="NG185" s="38"/>
      <c r="NH185" s="38"/>
      <c r="NI185" s="38"/>
      <c r="NJ185" s="38"/>
      <c r="NK185" s="38"/>
      <c r="NL185" s="38"/>
      <c r="NM185" s="38"/>
      <c r="NN185" s="38"/>
      <c r="NO185" s="38"/>
      <c r="NP185" s="38"/>
      <c r="NQ185" s="38"/>
      <c r="NR185" s="38"/>
      <c r="NS185" s="38"/>
      <c r="NT185" s="38"/>
      <c r="NU185" s="38"/>
      <c r="NV185" s="38"/>
      <c r="NW185" s="38"/>
      <c r="NX185" s="38"/>
      <c r="NY185" s="38"/>
      <c r="NZ185" s="38"/>
      <c r="OA185" s="38"/>
      <c r="OB185" s="38"/>
      <c r="OC185" s="38"/>
      <c r="OD185" s="38"/>
      <c r="OE185" s="38"/>
      <c r="OF185" s="38"/>
      <c r="OG185" s="38"/>
      <c r="OH185" s="38"/>
      <c r="OI185" s="38"/>
      <c r="OJ185" s="38"/>
      <c r="OK185" s="38"/>
      <c r="OL185" s="38"/>
      <c r="OM185" s="38"/>
      <c r="ON185" s="38"/>
      <c r="OO185" s="38"/>
      <c r="OP185" s="38"/>
      <c r="OQ185" s="38"/>
      <c r="OR185" s="38"/>
      <c r="OS185" s="38"/>
      <c r="OT185" s="38"/>
      <c r="OU185" s="38"/>
      <c r="OV185" s="38"/>
      <c r="OW185" s="38"/>
      <c r="OX185" s="38"/>
      <c r="OY185" s="38"/>
      <c r="OZ185" s="38"/>
      <c r="PA185" s="38"/>
      <c r="PB185" s="38"/>
      <c r="PC185" s="38"/>
      <c r="PD185" s="38"/>
      <c r="PE185" s="38"/>
      <c r="PF185" s="38"/>
      <c r="PG185" s="38"/>
      <c r="PH185" s="38"/>
      <c r="PI185" s="38"/>
      <c r="PJ185" s="38"/>
      <c r="PK185" s="38"/>
      <c r="PL185" s="38"/>
      <c r="PM185" s="38"/>
      <c r="PN185" s="38"/>
      <c r="PO185" s="38"/>
      <c r="PP185" s="38"/>
      <c r="PQ185" s="38"/>
      <c r="PR185" s="38"/>
      <c r="PS185" s="38"/>
      <c r="PT185" s="38"/>
      <c r="PU185" s="38"/>
      <c r="PV185" s="38"/>
      <c r="PW185" s="38"/>
      <c r="PX185" s="38"/>
      <c r="PY185" s="38"/>
      <c r="PZ185" s="38"/>
      <c r="QA185" s="38"/>
      <c r="QB185" s="38"/>
      <c r="QC185" s="38"/>
      <c r="QD185" s="38"/>
      <c r="QE185" s="38"/>
      <c r="QF185" s="38"/>
      <c r="QG185" s="38"/>
      <c r="QH185" s="38"/>
      <c r="QI185" s="38"/>
      <c r="QJ185" s="38"/>
      <c r="QK185" s="38"/>
      <c r="QL185" s="38"/>
      <c r="QM185" s="38"/>
      <c r="QN185" s="38"/>
      <c r="QO185" s="38"/>
      <c r="QP185" s="38"/>
      <c r="QQ185" s="38"/>
      <c r="QR185" s="38"/>
      <c r="QS185" s="38"/>
      <c r="QT185" s="38"/>
      <c r="QU185" s="38"/>
      <c r="QV185" s="38"/>
      <c r="QW185" s="38"/>
      <c r="QX185" s="38"/>
      <c r="QY185" s="38"/>
      <c r="QZ185" s="38"/>
      <c r="RA185" s="38"/>
      <c r="RB185" s="38"/>
      <c r="RC185" s="38"/>
      <c r="RD185" s="38"/>
      <c r="RE185" s="38"/>
      <c r="RF185" s="38"/>
      <c r="RG185" s="38"/>
      <c r="RH185" s="38"/>
      <c r="RI185" s="38"/>
      <c r="RJ185" s="38"/>
      <c r="RK185" s="38"/>
      <c r="RL185" s="38"/>
      <c r="RM185" s="38"/>
      <c r="RN185" s="38"/>
      <c r="RO185" s="38"/>
      <c r="RP185" s="38"/>
      <c r="RQ185" s="38"/>
      <c r="RR185" s="38"/>
      <c r="RS185" s="38"/>
      <c r="RT185" s="38"/>
      <c r="RU185" s="38"/>
      <c r="RV185" s="38"/>
      <c r="RW185" s="38"/>
      <c r="RX185" s="38"/>
      <c r="RY185" s="38"/>
      <c r="RZ185" s="38"/>
      <c r="SA185" s="38"/>
      <c r="SB185" s="38"/>
      <c r="SC185" s="38"/>
      <c r="SD185" s="38"/>
      <c r="SE185" s="38"/>
      <c r="SF185" s="38"/>
      <c r="SG185" s="38"/>
      <c r="SH185" s="38"/>
      <c r="SI185" s="38"/>
      <c r="SJ185" s="38"/>
      <c r="SK185" s="38"/>
      <c r="SL185" s="38"/>
      <c r="SM185" s="38"/>
      <c r="SN185" s="38"/>
      <c r="SO185" s="38"/>
      <c r="SP185" s="38"/>
      <c r="SQ185" s="38"/>
      <c r="SR185" s="38"/>
      <c r="SS185" s="38"/>
      <c r="ST185" s="38"/>
      <c r="SU185" s="38"/>
      <c r="SV185" s="38"/>
      <c r="SW185" s="38"/>
      <c r="SX185" s="38"/>
      <c r="SY185" s="38"/>
      <c r="SZ185" s="38"/>
      <c r="TA185" s="38"/>
      <c r="TB185" s="38"/>
      <c r="TC185" s="38"/>
      <c r="TD185" s="38"/>
      <c r="TE185" s="38"/>
      <c r="TF185" s="38"/>
      <c r="TG185" s="38"/>
      <c r="TH185" s="38"/>
      <c r="TI185" s="38"/>
    </row>
    <row r="186" spans="1:529" s="40" customFormat="1" ht="37.5" customHeight="1" x14ac:dyDescent="0.25">
      <c r="A186" s="77" t="s">
        <v>251</v>
      </c>
      <c r="B186" s="75"/>
      <c r="C186" s="75"/>
      <c r="D186" s="33" t="s">
        <v>52</v>
      </c>
      <c r="E186" s="68">
        <f>E187+E188++E189+E190+E191+E192</f>
        <v>20393000</v>
      </c>
      <c r="F186" s="68">
        <f t="shared" ref="F186:P186" si="112">F187+F188++F189+F190+F191+F192</f>
        <v>19775000</v>
      </c>
      <c r="G186" s="68">
        <f t="shared" si="112"/>
        <v>13931300</v>
      </c>
      <c r="H186" s="68">
        <f t="shared" si="112"/>
        <v>314600</v>
      </c>
      <c r="I186" s="68">
        <f t="shared" si="112"/>
        <v>618000</v>
      </c>
      <c r="J186" s="68">
        <f t="shared" si="112"/>
        <v>100000</v>
      </c>
      <c r="K186" s="68">
        <f>K187+K188++K189+K190+K191+K192</f>
        <v>100000</v>
      </c>
      <c r="L186" s="68">
        <f t="shared" si="112"/>
        <v>0</v>
      </c>
      <c r="M186" s="68">
        <f t="shared" si="112"/>
        <v>0</v>
      </c>
      <c r="N186" s="68">
        <f t="shared" si="112"/>
        <v>0</v>
      </c>
      <c r="O186" s="68">
        <f t="shared" si="112"/>
        <v>100000</v>
      </c>
      <c r="P186" s="68">
        <f t="shared" si="112"/>
        <v>20493000</v>
      </c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  <c r="JF186" s="39"/>
      <c r="JG186" s="39"/>
      <c r="JH186" s="39"/>
      <c r="JI186" s="39"/>
      <c r="JJ186" s="39"/>
      <c r="JK186" s="39"/>
      <c r="JL186" s="39"/>
      <c r="JM186" s="39"/>
      <c r="JN186" s="39"/>
      <c r="JO186" s="39"/>
      <c r="JP186" s="39"/>
      <c r="JQ186" s="39"/>
      <c r="JR186" s="39"/>
      <c r="JS186" s="39"/>
      <c r="JT186" s="39"/>
      <c r="JU186" s="39"/>
      <c r="JV186" s="39"/>
      <c r="JW186" s="39"/>
      <c r="JX186" s="39"/>
      <c r="JY186" s="39"/>
      <c r="JZ186" s="39"/>
      <c r="KA186" s="39"/>
      <c r="KB186" s="39"/>
      <c r="KC186" s="39"/>
      <c r="KD186" s="39"/>
      <c r="KE186" s="39"/>
      <c r="KF186" s="39"/>
      <c r="KG186" s="39"/>
      <c r="KH186" s="39"/>
      <c r="KI186" s="39"/>
      <c r="KJ186" s="39"/>
      <c r="KK186" s="39"/>
      <c r="KL186" s="39"/>
      <c r="KM186" s="39"/>
      <c r="KN186" s="39"/>
      <c r="KO186" s="39"/>
      <c r="KP186" s="39"/>
      <c r="KQ186" s="39"/>
      <c r="KR186" s="39"/>
      <c r="KS186" s="39"/>
      <c r="KT186" s="39"/>
      <c r="KU186" s="39"/>
      <c r="KV186" s="39"/>
      <c r="KW186" s="39"/>
      <c r="KX186" s="39"/>
      <c r="KY186" s="39"/>
      <c r="KZ186" s="39"/>
      <c r="LA186" s="39"/>
      <c r="LB186" s="39"/>
      <c r="LC186" s="39"/>
      <c r="LD186" s="39"/>
      <c r="LE186" s="39"/>
      <c r="LF186" s="39"/>
      <c r="LG186" s="39"/>
      <c r="LH186" s="39"/>
      <c r="LI186" s="39"/>
      <c r="LJ186" s="39"/>
      <c r="LK186" s="39"/>
      <c r="LL186" s="39"/>
      <c r="LM186" s="39"/>
      <c r="LN186" s="39"/>
      <c r="LO186" s="39"/>
      <c r="LP186" s="39"/>
      <c r="LQ186" s="39"/>
      <c r="LR186" s="39"/>
      <c r="LS186" s="39"/>
      <c r="LT186" s="39"/>
      <c r="LU186" s="39"/>
      <c r="LV186" s="39"/>
      <c r="LW186" s="39"/>
      <c r="LX186" s="39"/>
      <c r="LY186" s="39"/>
      <c r="LZ186" s="39"/>
      <c r="MA186" s="39"/>
      <c r="MB186" s="39"/>
      <c r="MC186" s="39"/>
      <c r="MD186" s="39"/>
      <c r="ME186" s="39"/>
      <c r="MF186" s="39"/>
      <c r="MG186" s="39"/>
      <c r="MH186" s="39"/>
      <c r="MI186" s="39"/>
      <c r="MJ186" s="39"/>
      <c r="MK186" s="39"/>
      <c r="ML186" s="39"/>
      <c r="MM186" s="39"/>
      <c r="MN186" s="39"/>
      <c r="MO186" s="39"/>
      <c r="MP186" s="39"/>
      <c r="MQ186" s="39"/>
      <c r="MR186" s="39"/>
      <c r="MS186" s="39"/>
      <c r="MT186" s="39"/>
      <c r="MU186" s="39"/>
      <c r="MV186" s="39"/>
      <c r="MW186" s="39"/>
      <c r="MX186" s="39"/>
      <c r="MY186" s="39"/>
      <c r="MZ186" s="39"/>
      <c r="NA186" s="39"/>
      <c r="NB186" s="39"/>
      <c r="NC186" s="39"/>
      <c r="ND186" s="39"/>
      <c r="NE186" s="39"/>
      <c r="NF186" s="39"/>
      <c r="NG186" s="39"/>
      <c r="NH186" s="39"/>
      <c r="NI186" s="39"/>
      <c r="NJ186" s="39"/>
      <c r="NK186" s="39"/>
      <c r="NL186" s="39"/>
      <c r="NM186" s="39"/>
      <c r="NN186" s="39"/>
      <c r="NO186" s="39"/>
      <c r="NP186" s="39"/>
      <c r="NQ186" s="39"/>
      <c r="NR186" s="39"/>
      <c r="NS186" s="39"/>
      <c r="NT186" s="39"/>
      <c r="NU186" s="39"/>
      <c r="NV186" s="39"/>
      <c r="NW186" s="39"/>
      <c r="NX186" s="39"/>
      <c r="NY186" s="39"/>
      <c r="NZ186" s="39"/>
      <c r="OA186" s="39"/>
      <c r="OB186" s="39"/>
      <c r="OC186" s="39"/>
      <c r="OD186" s="39"/>
      <c r="OE186" s="39"/>
      <c r="OF186" s="39"/>
      <c r="OG186" s="39"/>
      <c r="OH186" s="39"/>
      <c r="OI186" s="39"/>
      <c r="OJ186" s="39"/>
      <c r="OK186" s="39"/>
      <c r="OL186" s="39"/>
      <c r="OM186" s="39"/>
      <c r="ON186" s="39"/>
      <c r="OO186" s="39"/>
      <c r="OP186" s="39"/>
      <c r="OQ186" s="39"/>
      <c r="OR186" s="39"/>
      <c r="OS186" s="39"/>
      <c r="OT186" s="39"/>
      <c r="OU186" s="39"/>
      <c r="OV186" s="39"/>
      <c r="OW186" s="39"/>
      <c r="OX186" s="39"/>
      <c r="OY186" s="39"/>
      <c r="OZ186" s="39"/>
      <c r="PA186" s="39"/>
      <c r="PB186" s="39"/>
      <c r="PC186" s="39"/>
      <c r="PD186" s="39"/>
      <c r="PE186" s="39"/>
      <c r="PF186" s="39"/>
      <c r="PG186" s="39"/>
      <c r="PH186" s="39"/>
      <c r="PI186" s="39"/>
      <c r="PJ186" s="39"/>
      <c r="PK186" s="39"/>
      <c r="PL186" s="39"/>
      <c r="PM186" s="39"/>
      <c r="PN186" s="39"/>
      <c r="PO186" s="39"/>
      <c r="PP186" s="39"/>
      <c r="PQ186" s="39"/>
      <c r="PR186" s="39"/>
      <c r="PS186" s="39"/>
      <c r="PT186" s="39"/>
      <c r="PU186" s="39"/>
      <c r="PV186" s="39"/>
      <c r="PW186" s="39"/>
      <c r="PX186" s="39"/>
      <c r="PY186" s="39"/>
      <c r="PZ186" s="39"/>
      <c r="QA186" s="39"/>
      <c r="QB186" s="39"/>
      <c r="QC186" s="39"/>
      <c r="QD186" s="39"/>
      <c r="QE186" s="39"/>
      <c r="QF186" s="39"/>
      <c r="QG186" s="39"/>
      <c r="QH186" s="39"/>
      <c r="QI186" s="39"/>
      <c r="QJ186" s="39"/>
      <c r="QK186" s="39"/>
      <c r="QL186" s="39"/>
      <c r="QM186" s="39"/>
      <c r="QN186" s="39"/>
      <c r="QO186" s="39"/>
      <c r="QP186" s="39"/>
      <c r="QQ186" s="39"/>
      <c r="QR186" s="39"/>
      <c r="QS186" s="39"/>
      <c r="QT186" s="39"/>
      <c r="QU186" s="39"/>
      <c r="QV186" s="39"/>
      <c r="QW186" s="39"/>
      <c r="QX186" s="39"/>
      <c r="QY186" s="39"/>
      <c r="QZ186" s="39"/>
      <c r="RA186" s="39"/>
      <c r="RB186" s="39"/>
      <c r="RC186" s="39"/>
      <c r="RD186" s="39"/>
      <c r="RE186" s="39"/>
      <c r="RF186" s="39"/>
      <c r="RG186" s="39"/>
      <c r="RH186" s="39"/>
      <c r="RI186" s="39"/>
      <c r="RJ186" s="39"/>
      <c r="RK186" s="39"/>
      <c r="RL186" s="39"/>
      <c r="RM186" s="39"/>
      <c r="RN186" s="39"/>
      <c r="RO186" s="39"/>
      <c r="RP186" s="39"/>
      <c r="RQ186" s="39"/>
      <c r="RR186" s="39"/>
      <c r="RS186" s="39"/>
      <c r="RT186" s="39"/>
      <c r="RU186" s="39"/>
      <c r="RV186" s="39"/>
      <c r="RW186" s="39"/>
      <c r="RX186" s="39"/>
      <c r="RY186" s="39"/>
      <c r="RZ186" s="39"/>
      <c r="SA186" s="39"/>
      <c r="SB186" s="39"/>
      <c r="SC186" s="39"/>
      <c r="SD186" s="39"/>
      <c r="SE186" s="39"/>
      <c r="SF186" s="39"/>
      <c r="SG186" s="39"/>
      <c r="SH186" s="39"/>
      <c r="SI186" s="39"/>
      <c r="SJ186" s="39"/>
      <c r="SK186" s="39"/>
      <c r="SL186" s="39"/>
      <c r="SM186" s="39"/>
      <c r="SN186" s="39"/>
      <c r="SO186" s="39"/>
      <c r="SP186" s="39"/>
      <c r="SQ186" s="39"/>
      <c r="SR186" s="39"/>
      <c r="SS186" s="39"/>
      <c r="ST186" s="39"/>
      <c r="SU186" s="39"/>
      <c r="SV186" s="39"/>
      <c r="SW186" s="39"/>
      <c r="SX186" s="39"/>
      <c r="SY186" s="39"/>
      <c r="SZ186" s="39"/>
      <c r="TA186" s="39"/>
      <c r="TB186" s="39"/>
      <c r="TC186" s="39"/>
      <c r="TD186" s="39"/>
      <c r="TE186" s="39"/>
      <c r="TF186" s="39"/>
      <c r="TG186" s="39"/>
      <c r="TH186" s="39"/>
      <c r="TI186" s="39"/>
    </row>
    <row r="187" spans="1:529" s="23" customFormat="1" ht="47.25" customHeight="1" x14ac:dyDescent="0.25">
      <c r="A187" s="43" t="s">
        <v>252</v>
      </c>
      <c r="B187" s="44" t="str">
        <f>'дод 3'!A20</f>
        <v>0160</v>
      </c>
      <c r="C187" s="44" t="str">
        <f>'дод 3'!B20</f>
        <v>0111</v>
      </c>
      <c r="D187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7" s="69">
        <f t="shared" ref="E187:E192" si="113">F187+I187</f>
        <v>17983000</v>
      </c>
      <c r="F187" s="69">
        <f>18803900+108500-929400</f>
        <v>17983000</v>
      </c>
      <c r="G187" s="69">
        <f>14693100-761800</f>
        <v>13931300</v>
      </c>
      <c r="H187" s="69">
        <v>314600</v>
      </c>
      <c r="I187" s="69"/>
      <c r="J187" s="69">
        <f>L187+O187</f>
        <v>25000</v>
      </c>
      <c r="K187" s="69">
        <v>25000</v>
      </c>
      <c r="L187" s="69"/>
      <c r="M187" s="69"/>
      <c r="N187" s="69"/>
      <c r="O187" s="69">
        <v>25000</v>
      </c>
      <c r="P187" s="69">
        <f t="shared" ref="P187:P192" si="114">E187+J187</f>
        <v>18008000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28" customFormat="1" ht="29.25" customHeight="1" x14ac:dyDescent="0.25">
      <c r="A188" s="43" t="s">
        <v>253</v>
      </c>
      <c r="B188" s="44" t="str">
        <f>'дод 3'!A100</f>
        <v>7130</v>
      </c>
      <c r="C188" s="44" t="str">
        <f>'дод 3'!B100</f>
        <v>0421</v>
      </c>
      <c r="D188" s="24" t="str">
        <f>'дод 3'!C100</f>
        <v>Здійснення заходів із землеустрою</v>
      </c>
      <c r="E188" s="69">
        <f t="shared" si="113"/>
        <v>700000</v>
      </c>
      <c r="F188" s="69">
        <v>700000</v>
      </c>
      <c r="G188" s="69"/>
      <c r="H188" s="69"/>
      <c r="I188" s="69"/>
      <c r="J188" s="69">
        <f t="shared" ref="J188:J192" si="115">L188+O188</f>
        <v>0</v>
      </c>
      <c r="K188" s="69"/>
      <c r="L188" s="69"/>
      <c r="M188" s="69"/>
      <c r="N188" s="69"/>
      <c r="O188" s="69"/>
      <c r="P188" s="69">
        <f t="shared" si="114"/>
        <v>700000</v>
      </c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/>
      <c r="JQ188" s="37"/>
      <c r="JR188" s="37"/>
      <c r="JS188" s="37"/>
      <c r="JT188" s="37"/>
      <c r="JU188" s="37"/>
      <c r="JV188" s="37"/>
      <c r="JW188" s="37"/>
      <c r="JX188" s="37"/>
      <c r="JY188" s="37"/>
      <c r="JZ188" s="37"/>
      <c r="KA188" s="37"/>
      <c r="KB188" s="37"/>
      <c r="KC188" s="37"/>
      <c r="KD188" s="37"/>
      <c r="KE188" s="37"/>
      <c r="KF188" s="37"/>
      <c r="KG188" s="37"/>
      <c r="KH188" s="37"/>
      <c r="KI188" s="37"/>
      <c r="KJ188" s="37"/>
      <c r="KK188" s="37"/>
      <c r="KL188" s="37"/>
      <c r="KM188" s="37"/>
      <c r="KN188" s="37"/>
      <c r="KO188" s="37"/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/>
      <c r="LE188" s="37"/>
      <c r="LF188" s="37"/>
      <c r="LG188" s="37"/>
      <c r="LH188" s="37"/>
      <c r="LI188" s="37"/>
      <c r="LJ188" s="37"/>
      <c r="LK188" s="37"/>
      <c r="LL188" s="37"/>
      <c r="LM188" s="37"/>
      <c r="LN188" s="37"/>
      <c r="LO188" s="37"/>
      <c r="LP188" s="37"/>
      <c r="LQ188" s="37"/>
      <c r="LR188" s="37"/>
      <c r="LS188" s="37"/>
      <c r="LT188" s="37"/>
      <c r="LU188" s="37"/>
      <c r="LV188" s="37"/>
      <c r="LW188" s="37"/>
      <c r="LX188" s="37"/>
      <c r="LY188" s="37"/>
      <c r="LZ188" s="37"/>
      <c r="MA188" s="37"/>
      <c r="MB188" s="37"/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/>
      <c r="MP188" s="37"/>
      <c r="MQ188" s="37"/>
      <c r="MR188" s="37"/>
      <c r="MS188" s="37"/>
      <c r="MT188" s="37"/>
      <c r="MU188" s="37"/>
      <c r="MV188" s="37"/>
      <c r="MW188" s="37"/>
      <c r="MX188" s="37"/>
      <c r="MY188" s="37"/>
      <c r="MZ188" s="37"/>
      <c r="NA188" s="37"/>
      <c r="NB188" s="37"/>
      <c r="NC188" s="37"/>
      <c r="ND188" s="37"/>
      <c r="NE188" s="37"/>
      <c r="NF188" s="37"/>
      <c r="NG188" s="37"/>
      <c r="NH188" s="37"/>
      <c r="NI188" s="37"/>
      <c r="NJ188" s="37"/>
      <c r="NK188" s="37"/>
      <c r="NL188" s="37"/>
      <c r="NM188" s="37"/>
      <c r="NN188" s="37"/>
      <c r="NO188" s="37"/>
      <c r="NP188" s="37"/>
      <c r="NQ188" s="37"/>
      <c r="NR188" s="37"/>
      <c r="NS188" s="37"/>
      <c r="NT188" s="37"/>
      <c r="NU188" s="37"/>
      <c r="NV188" s="37"/>
      <c r="NW188" s="37"/>
      <c r="NX188" s="37"/>
      <c r="NY188" s="37"/>
      <c r="NZ188" s="37"/>
      <c r="OA188" s="37"/>
      <c r="OB188" s="37"/>
      <c r="OC188" s="37"/>
      <c r="OD188" s="37"/>
      <c r="OE188" s="37"/>
      <c r="OF188" s="37"/>
      <c r="OG188" s="37"/>
      <c r="OH188" s="37"/>
      <c r="OI188" s="37"/>
      <c r="OJ188" s="37"/>
      <c r="OK188" s="37"/>
      <c r="OL188" s="37"/>
      <c r="OM188" s="37"/>
      <c r="ON188" s="37"/>
      <c r="OO188" s="37"/>
      <c r="OP188" s="37"/>
      <c r="OQ188" s="37"/>
      <c r="OR188" s="37"/>
      <c r="OS188" s="37"/>
      <c r="OT188" s="37"/>
      <c r="OU188" s="37"/>
      <c r="OV188" s="37"/>
      <c r="OW188" s="37"/>
      <c r="OX188" s="37"/>
      <c r="OY188" s="37"/>
      <c r="OZ188" s="37"/>
      <c r="PA188" s="37"/>
      <c r="PB188" s="37"/>
      <c r="PC188" s="37"/>
      <c r="PD188" s="37"/>
      <c r="PE188" s="37"/>
      <c r="PF188" s="37"/>
      <c r="PG188" s="37"/>
      <c r="PH188" s="37"/>
      <c r="PI188" s="37"/>
      <c r="PJ188" s="37"/>
      <c r="PK188" s="37"/>
      <c r="PL188" s="37"/>
      <c r="PM188" s="37"/>
      <c r="PN188" s="37"/>
      <c r="PO188" s="37"/>
      <c r="PP188" s="37"/>
      <c r="PQ188" s="37"/>
      <c r="PR188" s="37"/>
      <c r="PS188" s="37"/>
      <c r="PT188" s="37"/>
      <c r="PU188" s="37"/>
      <c r="PV188" s="37"/>
      <c r="PW188" s="37"/>
      <c r="PX188" s="37"/>
      <c r="PY188" s="37"/>
      <c r="PZ188" s="37"/>
      <c r="QA188" s="37"/>
      <c r="QB188" s="37"/>
      <c r="QC188" s="37"/>
      <c r="QD188" s="37"/>
      <c r="QE188" s="37"/>
      <c r="QF188" s="37"/>
      <c r="QG188" s="37"/>
      <c r="QH188" s="37"/>
      <c r="QI188" s="37"/>
      <c r="QJ188" s="37"/>
      <c r="QK188" s="37"/>
      <c r="QL188" s="37"/>
      <c r="QM188" s="37"/>
      <c r="QN188" s="37"/>
      <c r="QO188" s="37"/>
      <c r="QP188" s="37"/>
      <c r="QQ188" s="37"/>
      <c r="QR188" s="37"/>
      <c r="QS188" s="37"/>
      <c r="QT188" s="37"/>
      <c r="QU188" s="37"/>
      <c r="QV188" s="37"/>
      <c r="QW188" s="37"/>
      <c r="QX188" s="37"/>
      <c r="QY188" s="37"/>
      <c r="QZ188" s="37"/>
      <c r="RA188" s="37"/>
      <c r="RB188" s="37"/>
      <c r="RC188" s="37"/>
      <c r="RD188" s="37"/>
      <c r="RE188" s="37"/>
      <c r="RF188" s="37"/>
      <c r="RG188" s="37"/>
      <c r="RH188" s="37"/>
      <c r="RI188" s="37"/>
      <c r="RJ188" s="37"/>
      <c r="RK188" s="37"/>
      <c r="RL188" s="37"/>
      <c r="RM188" s="37"/>
      <c r="RN188" s="37"/>
      <c r="RO188" s="37"/>
      <c r="RP188" s="37"/>
      <c r="RQ188" s="37"/>
      <c r="RR188" s="37"/>
      <c r="RS188" s="37"/>
      <c r="RT188" s="37"/>
      <c r="RU188" s="37"/>
      <c r="RV188" s="37"/>
      <c r="RW188" s="37"/>
      <c r="RX188" s="37"/>
      <c r="RY188" s="37"/>
      <c r="RZ188" s="37"/>
      <c r="SA188" s="37"/>
      <c r="SB188" s="37"/>
      <c r="SC188" s="37"/>
      <c r="SD188" s="37"/>
      <c r="SE188" s="37"/>
      <c r="SF188" s="37"/>
      <c r="SG188" s="37"/>
      <c r="SH188" s="37"/>
      <c r="SI188" s="37"/>
      <c r="SJ188" s="37"/>
      <c r="SK188" s="37"/>
      <c r="SL188" s="37"/>
      <c r="SM188" s="37"/>
      <c r="SN188" s="37"/>
      <c r="SO188" s="37"/>
      <c r="SP188" s="37"/>
      <c r="SQ188" s="37"/>
      <c r="SR188" s="37"/>
      <c r="SS188" s="37"/>
      <c r="ST188" s="37"/>
      <c r="SU188" s="37"/>
      <c r="SV188" s="37"/>
      <c r="SW188" s="37"/>
      <c r="SX188" s="37"/>
      <c r="SY188" s="37"/>
      <c r="SZ188" s="37"/>
      <c r="TA188" s="37"/>
      <c r="TB188" s="37"/>
      <c r="TC188" s="37"/>
      <c r="TD188" s="37"/>
      <c r="TE188" s="37"/>
      <c r="TF188" s="37"/>
      <c r="TG188" s="37"/>
      <c r="TH188" s="37"/>
      <c r="TI188" s="37"/>
    </row>
    <row r="189" spans="1:529" s="23" customFormat="1" ht="27" customHeight="1" x14ac:dyDescent="0.25">
      <c r="A189" s="52" t="s">
        <v>254</v>
      </c>
      <c r="B189" s="45" t="str">
        <f>'дод 3'!A123</f>
        <v>7610</v>
      </c>
      <c r="C189" s="45" t="str">
        <f>'дод 3'!B123</f>
        <v>0411</v>
      </c>
      <c r="D189" s="22" t="str">
        <f>'дод 3'!C123</f>
        <v>Сприяння розвитку малого та середнього підприємництва</v>
      </c>
      <c r="E189" s="69">
        <f t="shared" si="113"/>
        <v>1020000</v>
      </c>
      <c r="F189" s="69">
        <f>220000+182000</f>
        <v>402000</v>
      </c>
      <c r="G189" s="69"/>
      <c r="H189" s="69"/>
      <c r="I189" s="69">
        <f>1000000-200000-182000</f>
        <v>618000</v>
      </c>
      <c r="J189" s="69">
        <f t="shared" si="115"/>
        <v>0</v>
      </c>
      <c r="K189" s="69"/>
      <c r="L189" s="69"/>
      <c r="M189" s="69"/>
      <c r="N189" s="69"/>
      <c r="O189" s="69"/>
      <c r="P189" s="69">
        <f t="shared" si="114"/>
        <v>1020000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</row>
    <row r="190" spans="1:529" s="23" customFormat="1" ht="37.5" customHeight="1" x14ac:dyDescent="0.25">
      <c r="A190" s="52" t="s">
        <v>309</v>
      </c>
      <c r="B190" s="45" t="str">
        <f>'дод 3'!A125</f>
        <v>7650</v>
      </c>
      <c r="C190" s="45" t="str">
        <f>'дод 3'!B125</f>
        <v>0490</v>
      </c>
      <c r="D190" s="22" t="str">
        <f>'дод 3'!C125</f>
        <v>Проведення експертної грошової оцінки земельної ділянки чи права на неї</v>
      </c>
      <c r="E190" s="69">
        <f t="shared" si="113"/>
        <v>0</v>
      </c>
      <c r="F190" s="69"/>
      <c r="G190" s="69"/>
      <c r="H190" s="69"/>
      <c r="I190" s="69"/>
      <c r="J190" s="69">
        <f t="shared" si="115"/>
        <v>30000</v>
      </c>
      <c r="K190" s="69">
        <v>30000</v>
      </c>
      <c r="L190" s="69"/>
      <c r="M190" s="69"/>
      <c r="N190" s="69"/>
      <c r="O190" s="69">
        <v>30000</v>
      </c>
      <c r="P190" s="69">
        <f t="shared" si="114"/>
        <v>30000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</row>
    <row r="191" spans="1:529" s="23" customFormat="1" ht="51.75" customHeight="1" x14ac:dyDescent="0.25">
      <c r="A191" s="52" t="s">
        <v>311</v>
      </c>
      <c r="B191" s="45" t="str">
        <f>'дод 3'!A126</f>
        <v>7660</v>
      </c>
      <c r="C191" s="45" t="str">
        <f>'дод 3'!B126</f>
        <v>0490</v>
      </c>
      <c r="D191" s="22" t="str">
        <f>'дод 3'!C126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1" s="69">
        <f t="shared" si="113"/>
        <v>0</v>
      </c>
      <c r="F191" s="69"/>
      <c r="G191" s="69"/>
      <c r="H191" s="69"/>
      <c r="I191" s="69"/>
      <c r="J191" s="69">
        <f t="shared" si="115"/>
        <v>45000</v>
      </c>
      <c r="K191" s="69">
        <v>45000</v>
      </c>
      <c r="L191" s="69"/>
      <c r="M191" s="69"/>
      <c r="N191" s="69"/>
      <c r="O191" s="69">
        <v>45000</v>
      </c>
      <c r="P191" s="69">
        <f t="shared" si="114"/>
        <v>45000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3" customFormat="1" ht="23.25" customHeight="1" x14ac:dyDescent="0.25">
      <c r="A192" s="52" t="s">
        <v>306</v>
      </c>
      <c r="B192" s="45" t="str">
        <f>'дод 3'!A130</f>
        <v>7693</v>
      </c>
      <c r="C192" s="45" t="str">
        <f>'дод 3'!B130</f>
        <v>0490</v>
      </c>
      <c r="D192" s="22" t="str">
        <f>'дод 3'!C130</f>
        <v>Інші заходи, пов'язані з економічною діяльністю</v>
      </c>
      <c r="E192" s="69">
        <f t="shared" si="113"/>
        <v>690000</v>
      </c>
      <c r="F192" s="69">
        <f>490000+200000</f>
        <v>690000</v>
      </c>
      <c r="G192" s="69"/>
      <c r="H192" s="69"/>
      <c r="I192" s="69"/>
      <c r="J192" s="69">
        <f t="shared" si="115"/>
        <v>0</v>
      </c>
      <c r="K192" s="69"/>
      <c r="L192" s="69"/>
      <c r="M192" s="69"/>
      <c r="N192" s="69"/>
      <c r="O192" s="69"/>
      <c r="P192" s="69">
        <f t="shared" si="114"/>
        <v>690000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31" customFormat="1" ht="36" customHeight="1" x14ac:dyDescent="0.2">
      <c r="A193" s="76" t="s">
        <v>255</v>
      </c>
      <c r="B193" s="74"/>
      <c r="C193" s="74"/>
      <c r="D193" s="30" t="s">
        <v>54</v>
      </c>
      <c r="E193" s="66">
        <f>E194</f>
        <v>134462055</v>
      </c>
      <c r="F193" s="66">
        <f t="shared" ref="F193:J193" si="116">F194</f>
        <v>127319665</v>
      </c>
      <c r="G193" s="66">
        <f t="shared" si="116"/>
        <v>13922900</v>
      </c>
      <c r="H193" s="66">
        <f t="shared" si="116"/>
        <v>244400</v>
      </c>
      <c r="I193" s="66">
        <f t="shared" si="116"/>
        <v>0</v>
      </c>
      <c r="J193" s="66">
        <f t="shared" si="116"/>
        <v>93500</v>
      </c>
      <c r="K193" s="66">
        <f t="shared" ref="K193" si="117">K194</f>
        <v>0</v>
      </c>
      <c r="L193" s="66">
        <f t="shared" ref="L193" si="118">L194</f>
        <v>93500</v>
      </c>
      <c r="M193" s="66">
        <f t="shared" ref="M193" si="119">M194</f>
        <v>0</v>
      </c>
      <c r="N193" s="66">
        <f t="shared" ref="N193" si="120">N194</f>
        <v>0</v>
      </c>
      <c r="O193" s="66">
        <f t="shared" ref="O193:P193" si="121">O194</f>
        <v>0</v>
      </c>
      <c r="P193" s="66">
        <f t="shared" si="121"/>
        <v>134555555</v>
      </c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  <c r="IM193" s="38"/>
      <c r="IN193" s="38"/>
      <c r="IO193" s="38"/>
      <c r="IP193" s="38"/>
      <c r="IQ193" s="38"/>
      <c r="IR193" s="38"/>
      <c r="IS193" s="38"/>
      <c r="IT193" s="38"/>
      <c r="IU193" s="38"/>
      <c r="IV193" s="38"/>
      <c r="IW193" s="38"/>
      <c r="IX193" s="38"/>
      <c r="IY193" s="38"/>
      <c r="IZ193" s="38"/>
      <c r="JA193" s="38"/>
      <c r="JB193" s="38"/>
      <c r="JC193" s="38"/>
      <c r="JD193" s="38"/>
      <c r="JE193" s="38"/>
      <c r="JF193" s="38"/>
      <c r="JG193" s="38"/>
      <c r="JH193" s="38"/>
      <c r="JI193" s="38"/>
      <c r="JJ193" s="38"/>
      <c r="JK193" s="38"/>
      <c r="JL193" s="38"/>
      <c r="JM193" s="38"/>
      <c r="JN193" s="38"/>
      <c r="JO193" s="38"/>
      <c r="JP193" s="38"/>
      <c r="JQ193" s="38"/>
      <c r="JR193" s="38"/>
      <c r="JS193" s="38"/>
      <c r="JT193" s="38"/>
      <c r="JU193" s="38"/>
      <c r="JV193" s="38"/>
      <c r="JW193" s="38"/>
      <c r="JX193" s="38"/>
      <c r="JY193" s="38"/>
      <c r="JZ193" s="38"/>
      <c r="KA193" s="38"/>
      <c r="KB193" s="38"/>
      <c r="KC193" s="38"/>
      <c r="KD193" s="38"/>
      <c r="KE193" s="38"/>
      <c r="KF193" s="38"/>
      <c r="KG193" s="38"/>
      <c r="KH193" s="38"/>
      <c r="KI193" s="38"/>
      <c r="KJ193" s="38"/>
      <c r="KK193" s="38"/>
      <c r="KL193" s="38"/>
      <c r="KM193" s="38"/>
      <c r="KN193" s="38"/>
      <c r="KO193" s="38"/>
      <c r="KP193" s="38"/>
      <c r="KQ193" s="38"/>
      <c r="KR193" s="38"/>
      <c r="KS193" s="38"/>
      <c r="KT193" s="38"/>
      <c r="KU193" s="38"/>
      <c r="KV193" s="38"/>
      <c r="KW193" s="38"/>
      <c r="KX193" s="38"/>
      <c r="KY193" s="38"/>
      <c r="KZ193" s="38"/>
      <c r="LA193" s="38"/>
      <c r="LB193" s="38"/>
      <c r="LC193" s="38"/>
      <c r="LD193" s="38"/>
      <c r="LE193" s="38"/>
      <c r="LF193" s="38"/>
      <c r="LG193" s="38"/>
      <c r="LH193" s="38"/>
      <c r="LI193" s="38"/>
      <c r="LJ193" s="38"/>
      <c r="LK193" s="38"/>
      <c r="LL193" s="38"/>
      <c r="LM193" s="38"/>
      <c r="LN193" s="38"/>
      <c r="LO193" s="38"/>
      <c r="LP193" s="38"/>
      <c r="LQ193" s="38"/>
      <c r="LR193" s="38"/>
      <c r="LS193" s="38"/>
      <c r="LT193" s="38"/>
      <c r="LU193" s="38"/>
      <c r="LV193" s="38"/>
      <c r="LW193" s="38"/>
      <c r="LX193" s="38"/>
      <c r="LY193" s="38"/>
      <c r="LZ193" s="38"/>
      <c r="MA193" s="38"/>
      <c r="MB193" s="38"/>
      <c r="MC193" s="38"/>
      <c r="MD193" s="38"/>
      <c r="ME193" s="38"/>
      <c r="MF193" s="38"/>
      <c r="MG193" s="38"/>
      <c r="MH193" s="38"/>
      <c r="MI193" s="38"/>
      <c r="MJ193" s="38"/>
      <c r="MK193" s="38"/>
      <c r="ML193" s="38"/>
      <c r="MM193" s="38"/>
      <c r="MN193" s="38"/>
      <c r="MO193" s="38"/>
      <c r="MP193" s="38"/>
      <c r="MQ193" s="38"/>
      <c r="MR193" s="38"/>
      <c r="MS193" s="38"/>
      <c r="MT193" s="38"/>
      <c r="MU193" s="38"/>
      <c r="MV193" s="38"/>
      <c r="MW193" s="38"/>
      <c r="MX193" s="38"/>
      <c r="MY193" s="38"/>
      <c r="MZ193" s="38"/>
      <c r="NA193" s="38"/>
      <c r="NB193" s="38"/>
      <c r="NC193" s="38"/>
      <c r="ND193" s="38"/>
      <c r="NE193" s="38"/>
      <c r="NF193" s="38"/>
      <c r="NG193" s="38"/>
      <c r="NH193" s="38"/>
      <c r="NI193" s="38"/>
      <c r="NJ193" s="38"/>
      <c r="NK193" s="38"/>
      <c r="NL193" s="38"/>
      <c r="NM193" s="38"/>
      <c r="NN193" s="38"/>
      <c r="NO193" s="38"/>
      <c r="NP193" s="38"/>
      <c r="NQ193" s="38"/>
      <c r="NR193" s="38"/>
      <c r="NS193" s="38"/>
      <c r="NT193" s="38"/>
      <c r="NU193" s="38"/>
      <c r="NV193" s="38"/>
      <c r="NW193" s="38"/>
      <c r="NX193" s="38"/>
      <c r="NY193" s="38"/>
      <c r="NZ193" s="38"/>
      <c r="OA193" s="38"/>
      <c r="OB193" s="38"/>
      <c r="OC193" s="38"/>
      <c r="OD193" s="38"/>
      <c r="OE193" s="38"/>
      <c r="OF193" s="38"/>
      <c r="OG193" s="38"/>
      <c r="OH193" s="38"/>
      <c r="OI193" s="38"/>
      <c r="OJ193" s="38"/>
      <c r="OK193" s="38"/>
      <c r="OL193" s="38"/>
      <c r="OM193" s="38"/>
      <c r="ON193" s="38"/>
      <c r="OO193" s="38"/>
      <c r="OP193" s="38"/>
      <c r="OQ193" s="38"/>
      <c r="OR193" s="38"/>
      <c r="OS193" s="38"/>
      <c r="OT193" s="38"/>
      <c r="OU193" s="38"/>
      <c r="OV193" s="38"/>
      <c r="OW193" s="38"/>
      <c r="OX193" s="38"/>
      <c r="OY193" s="38"/>
      <c r="OZ193" s="38"/>
      <c r="PA193" s="38"/>
      <c r="PB193" s="38"/>
      <c r="PC193" s="38"/>
      <c r="PD193" s="38"/>
      <c r="PE193" s="38"/>
      <c r="PF193" s="38"/>
      <c r="PG193" s="38"/>
      <c r="PH193" s="38"/>
      <c r="PI193" s="38"/>
      <c r="PJ193" s="38"/>
      <c r="PK193" s="38"/>
      <c r="PL193" s="38"/>
      <c r="PM193" s="38"/>
      <c r="PN193" s="38"/>
      <c r="PO193" s="38"/>
      <c r="PP193" s="38"/>
      <c r="PQ193" s="38"/>
      <c r="PR193" s="38"/>
      <c r="PS193" s="38"/>
      <c r="PT193" s="38"/>
      <c r="PU193" s="38"/>
      <c r="PV193" s="38"/>
      <c r="PW193" s="38"/>
      <c r="PX193" s="38"/>
      <c r="PY193" s="38"/>
      <c r="PZ193" s="38"/>
      <c r="QA193" s="38"/>
      <c r="QB193" s="38"/>
      <c r="QC193" s="38"/>
      <c r="QD193" s="38"/>
      <c r="QE193" s="38"/>
      <c r="QF193" s="38"/>
      <c r="QG193" s="38"/>
      <c r="QH193" s="38"/>
      <c r="QI193" s="38"/>
      <c r="QJ193" s="38"/>
      <c r="QK193" s="38"/>
      <c r="QL193" s="38"/>
      <c r="QM193" s="38"/>
      <c r="QN193" s="38"/>
      <c r="QO193" s="38"/>
      <c r="QP193" s="38"/>
      <c r="QQ193" s="38"/>
      <c r="QR193" s="38"/>
      <c r="QS193" s="38"/>
      <c r="QT193" s="38"/>
      <c r="QU193" s="38"/>
      <c r="QV193" s="38"/>
      <c r="QW193" s="38"/>
      <c r="QX193" s="38"/>
      <c r="QY193" s="38"/>
      <c r="QZ193" s="38"/>
      <c r="RA193" s="38"/>
      <c r="RB193" s="38"/>
      <c r="RC193" s="38"/>
      <c r="RD193" s="38"/>
      <c r="RE193" s="38"/>
      <c r="RF193" s="38"/>
      <c r="RG193" s="38"/>
      <c r="RH193" s="38"/>
      <c r="RI193" s="38"/>
      <c r="RJ193" s="38"/>
      <c r="RK193" s="38"/>
      <c r="RL193" s="38"/>
      <c r="RM193" s="38"/>
      <c r="RN193" s="38"/>
      <c r="RO193" s="38"/>
      <c r="RP193" s="38"/>
      <c r="RQ193" s="38"/>
      <c r="RR193" s="38"/>
      <c r="RS193" s="38"/>
      <c r="RT193" s="38"/>
      <c r="RU193" s="38"/>
      <c r="RV193" s="38"/>
      <c r="RW193" s="38"/>
      <c r="RX193" s="38"/>
      <c r="RY193" s="38"/>
      <c r="RZ193" s="38"/>
      <c r="SA193" s="38"/>
      <c r="SB193" s="38"/>
      <c r="SC193" s="38"/>
      <c r="SD193" s="38"/>
      <c r="SE193" s="38"/>
      <c r="SF193" s="38"/>
      <c r="SG193" s="38"/>
      <c r="SH193" s="38"/>
      <c r="SI193" s="38"/>
      <c r="SJ193" s="38"/>
      <c r="SK193" s="38"/>
      <c r="SL193" s="38"/>
      <c r="SM193" s="38"/>
      <c r="SN193" s="38"/>
      <c r="SO193" s="38"/>
      <c r="SP193" s="38"/>
      <c r="SQ193" s="38"/>
      <c r="SR193" s="38"/>
      <c r="SS193" s="38"/>
      <c r="ST193" s="38"/>
      <c r="SU193" s="38"/>
      <c r="SV193" s="38"/>
      <c r="SW193" s="38"/>
      <c r="SX193" s="38"/>
      <c r="SY193" s="38"/>
      <c r="SZ193" s="38"/>
      <c r="TA193" s="38"/>
      <c r="TB193" s="38"/>
      <c r="TC193" s="38"/>
      <c r="TD193" s="38"/>
      <c r="TE193" s="38"/>
      <c r="TF193" s="38"/>
      <c r="TG193" s="38"/>
      <c r="TH193" s="38"/>
      <c r="TI193" s="38"/>
    </row>
    <row r="194" spans="1:529" s="40" customFormat="1" ht="36" customHeight="1" x14ac:dyDescent="0.25">
      <c r="A194" s="77" t="s">
        <v>256</v>
      </c>
      <c r="B194" s="75"/>
      <c r="C194" s="75"/>
      <c r="D194" s="33" t="s">
        <v>54</v>
      </c>
      <c r="E194" s="68">
        <f>SUM(E195+E196+E197+E199+E200+E201+E202+E198)</f>
        <v>134462055</v>
      </c>
      <c r="F194" s="68">
        <f t="shared" ref="F194:P194" si="122">SUM(F195+F196+F197+F199+F200+F201+F202+F198)</f>
        <v>127319665</v>
      </c>
      <c r="G194" s="68">
        <f t="shared" si="122"/>
        <v>13922900</v>
      </c>
      <c r="H194" s="68">
        <f t="shared" si="122"/>
        <v>244400</v>
      </c>
      <c r="I194" s="68">
        <f t="shared" si="122"/>
        <v>0</v>
      </c>
      <c r="J194" s="68">
        <f t="shared" si="122"/>
        <v>93500</v>
      </c>
      <c r="K194" s="68">
        <f t="shared" si="122"/>
        <v>0</v>
      </c>
      <c r="L194" s="68">
        <f t="shared" si="122"/>
        <v>93500</v>
      </c>
      <c r="M194" s="68">
        <f t="shared" si="122"/>
        <v>0</v>
      </c>
      <c r="N194" s="68">
        <f t="shared" si="122"/>
        <v>0</v>
      </c>
      <c r="O194" s="68">
        <f t="shared" si="122"/>
        <v>0</v>
      </c>
      <c r="P194" s="68">
        <f t="shared" si="122"/>
        <v>134555555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39"/>
      <c r="KR194" s="39"/>
      <c r="KS194" s="39"/>
      <c r="KT194" s="39"/>
      <c r="KU194" s="39"/>
      <c r="KV194" s="39"/>
      <c r="KW194" s="39"/>
      <c r="KX194" s="39"/>
      <c r="KY194" s="39"/>
      <c r="KZ194" s="39"/>
      <c r="LA194" s="39"/>
      <c r="LB194" s="39"/>
      <c r="LC194" s="39"/>
      <c r="LD194" s="39"/>
      <c r="LE194" s="39"/>
      <c r="LF194" s="39"/>
      <c r="LG194" s="39"/>
      <c r="LH194" s="39"/>
      <c r="LI194" s="39"/>
      <c r="LJ194" s="39"/>
      <c r="LK194" s="39"/>
      <c r="LL194" s="39"/>
      <c r="LM194" s="39"/>
      <c r="LN194" s="39"/>
      <c r="LO194" s="39"/>
      <c r="LP194" s="39"/>
      <c r="LQ194" s="39"/>
      <c r="LR194" s="39"/>
      <c r="LS194" s="39"/>
      <c r="LT194" s="39"/>
      <c r="LU194" s="39"/>
      <c r="LV194" s="39"/>
      <c r="LW194" s="39"/>
      <c r="LX194" s="39"/>
      <c r="LY194" s="39"/>
      <c r="LZ194" s="39"/>
      <c r="MA194" s="39"/>
      <c r="MB194" s="39"/>
      <c r="MC194" s="39"/>
      <c r="MD194" s="39"/>
      <c r="ME194" s="39"/>
      <c r="MF194" s="39"/>
      <c r="MG194" s="39"/>
      <c r="MH194" s="39"/>
      <c r="MI194" s="39"/>
      <c r="MJ194" s="39"/>
      <c r="MK194" s="39"/>
      <c r="ML194" s="39"/>
      <c r="MM194" s="39"/>
      <c r="MN194" s="39"/>
      <c r="MO194" s="39"/>
      <c r="MP194" s="39"/>
      <c r="MQ194" s="39"/>
      <c r="MR194" s="39"/>
      <c r="MS194" s="39"/>
      <c r="MT194" s="39"/>
      <c r="MU194" s="39"/>
      <c r="MV194" s="39"/>
      <c r="MW194" s="39"/>
      <c r="MX194" s="39"/>
      <c r="MY194" s="39"/>
      <c r="MZ194" s="39"/>
      <c r="NA194" s="39"/>
      <c r="NB194" s="39"/>
      <c r="NC194" s="39"/>
      <c r="ND194" s="39"/>
      <c r="NE194" s="39"/>
      <c r="NF194" s="39"/>
      <c r="NG194" s="39"/>
      <c r="NH194" s="39"/>
      <c r="NI194" s="39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/>
      <c r="NT194" s="39"/>
      <c r="NU194" s="39"/>
      <c r="NV194" s="39"/>
      <c r="NW194" s="39"/>
      <c r="NX194" s="39"/>
      <c r="NY194" s="39"/>
      <c r="NZ194" s="39"/>
      <c r="OA194" s="39"/>
      <c r="OB194" s="39"/>
      <c r="OC194" s="39"/>
      <c r="OD194" s="39"/>
      <c r="OE194" s="39"/>
      <c r="OF194" s="39"/>
      <c r="OG194" s="39"/>
      <c r="OH194" s="39"/>
      <c r="OI194" s="39"/>
      <c r="OJ194" s="39"/>
      <c r="OK194" s="39"/>
      <c r="OL194" s="39"/>
      <c r="OM194" s="39"/>
      <c r="ON194" s="39"/>
      <c r="OO194" s="39"/>
      <c r="OP194" s="39"/>
      <c r="OQ194" s="39"/>
      <c r="OR194" s="39"/>
      <c r="OS194" s="39"/>
      <c r="OT194" s="39"/>
      <c r="OU194" s="39"/>
      <c r="OV194" s="39"/>
      <c r="OW194" s="39"/>
      <c r="OX194" s="39"/>
      <c r="OY194" s="39"/>
      <c r="OZ194" s="39"/>
      <c r="PA194" s="39"/>
      <c r="PB194" s="39"/>
      <c r="PC194" s="39"/>
      <c r="PD194" s="39"/>
      <c r="PE194" s="39"/>
      <c r="PF194" s="39"/>
      <c r="PG194" s="39"/>
      <c r="PH194" s="39"/>
      <c r="PI194" s="39"/>
      <c r="PJ194" s="39"/>
      <c r="PK194" s="39"/>
      <c r="PL194" s="39"/>
      <c r="PM194" s="39"/>
      <c r="PN194" s="39"/>
      <c r="PO194" s="39"/>
      <c r="PP194" s="39"/>
      <c r="PQ194" s="39"/>
      <c r="PR194" s="39"/>
      <c r="PS194" s="39"/>
      <c r="PT194" s="39"/>
      <c r="PU194" s="39"/>
      <c r="PV194" s="39"/>
      <c r="PW194" s="39"/>
      <c r="PX194" s="39"/>
      <c r="PY194" s="39"/>
      <c r="PZ194" s="39"/>
      <c r="QA194" s="39"/>
      <c r="QB194" s="39"/>
      <c r="QC194" s="39"/>
      <c r="QD194" s="39"/>
      <c r="QE194" s="39"/>
      <c r="QF194" s="39"/>
      <c r="QG194" s="39"/>
      <c r="QH194" s="39"/>
      <c r="QI194" s="39"/>
      <c r="QJ194" s="39"/>
      <c r="QK194" s="39"/>
      <c r="QL194" s="39"/>
      <c r="QM194" s="39"/>
      <c r="QN194" s="39"/>
      <c r="QO194" s="39"/>
      <c r="QP194" s="39"/>
      <c r="QQ194" s="39"/>
      <c r="QR194" s="39"/>
      <c r="QS194" s="39"/>
      <c r="QT194" s="39"/>
      <c r="QU194" s="39"/>
      <c r="QV194" s="39"/>
      <c r="QW194" s="39"/>
      <c r="QX194" s="39"/>
      <c r="QY194" s="39"/>
      <c r="QZ194" s="39"/>
      <c r="RA194" s="39"/>
      <c r="RB194" s="39"/>
      <c r="RC194" s="39"/>
      <c r="RD194" s="39"/>
      <c r="RE194" s="39"/>
      <c r="RF194" s="39"/>
      <c r="RG194" s="39"/>
      <c r="RH194" s="39"/>
      <c r="RI194" s="39"/>
      <c r="RJ194" s="39"/>
      <c r="RK194" s="39"/>
      <c r="RL194" s="39"/>
      <c r="RM194" s="39"/>
      <c r="RN194" s="39"/>
      <c r="RO194" s="39"/>
      <c r="RP194" s="39"/>
      <c r="RQ194" s="39"/>
      <c r="RR194" s="39"/>
      <c r="RS194" s="39"/>
      <c r="RT194" s="39"/>
      <c r="RU194" s="39"/>
      <c r="RV194" s="39"/>
      <c r="RW194" s="39"/>
      <c r="RX194" s="39"/>
      <c r="RY194" s="39"/>
      <c r="RZ194" s="39"/>
      <c r="SA194" s="39"/>
      <c r="SB194" s="39"/>
      <c r="SC194" s="39"/>
      <c r="SD194" s="39"/>
      <c r="SE194" s="39"/>
      <c r="SF194" s="39"/>
      <c r="SG194" s="39"/>
      <c r="SH194" s="39"/>
      <c r="SI194" s="39"/>
      <c r="SJ194" s="39"/>
      <c r="SK194" s="39"/>
      <c r="SL194" s="39"/>
      <c r="SM194" s="39"/>
      <c r="SN194" s="39"/>
      <c r="SO194" s="39"/>
      <c r="SP194" s="39"/>
      <c r="SQ194" s="39"/>
      <c r="SR194" s="39"/>
      <c r="SS194" s="39"/>
      <c r="ST194" s="39"/>
      <c r="SU194" s="39"/>
      <c r="SV194" s="39"/>
      <c r="SW194" s="39"/>
      <c r="SX194" s="39"/>
      <c r="SY194" s="39"/>
      <c r="SZ194" s="39"/>
      <c r="TA194" s="39"/>
      <c r="TB194" s="39"/>
      <c r="TC194" s="39"/>
      <c r="TD194" s="39"/>
      <c r="TE194" s="39"/>
      <c r="TF194" s="39"/>
      <c r="TG194" s="39"/>
      <c r="TH194" s="39"/>
      <c r="TI194" s="39"/>
    </row>
    <row r="195" spans="1:529" s="23" customFormat="1" ht="42" customHeight="1" x14ac:dyDescent="0.25">
      <c r="A195" s="43" t="s">
        <v>257</v>
      </c>
      <c r="B195" s="44" t="str">
        <f>'дод 3'!A20</f>
        <v>0160</v>
      </c>
      <c r="C195" s="44" t="str">
        <f>'дод 3'!B20</f>
        <v>0111</v>
      </c>
      <c r="D19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5" s="69">
        <f t="shared" ref="E195:E200" si="123">F195+I195</f>
        <v>17857800</v>
      </c>
      <c r="F195" s="69">
        <f>18669000+46200-857400</f>
        <v>17857800</v>
      </c>
      <c r="G195" s="69">
        <f>14625700-702800</f>
        <v>13922900</v>
      </c>
      <c r="H195" s="69">
        <v>244400</v>
      </c>
      <c r="I195" s="69"/>
      <c r="J195" s="69">
        <f>L195+O195</f>
        <v>0</v>
      </c>
      <c r="K195" s="69"/>
      <c r="L195" s="69"/>
      <c r="M195" s="69"/>
      <c r="N195" s="69"/>
      <c r="O195" s="69"/>
      <c r="P195" s="69">
        <f t="shared" ref="P195:P202" si="124">E195+J195</f>
        <v>17857800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23" customFormat="1" ht="18.75" customHeight="1" x14ac:dyDescent="0.25">
      <c r="A196" s="43" t="s">
        <v>300</v>
      </c>
      <c r="B196" s="44" t="str">
        <f>'дод 3'!A124</f>
        <v>7640</v>
      </c>
      <c r="C196" s="44" t="str">
        <f>'дод 3'!B124</f>
        <v>0470</v>
      </c>
      <c r="D196" s="24" t="str">
        <f>'дод 3'!C124</f>
        <v>Заходи з енергозбереження</v>
      </c>
      <c r="E196" s="69">
        <f t="shared" si="123"/>
        <v>345000</v>
      </c>
      <c r="F196" s="69">
        <v>345000</v>
      </c>
      <c r="G196" s="69"/>
      <c r="H196" s="69"/>
      <c r="I196" s="69"/>
      <c r="J196" s="69">
        <f t="shared" ref="J196:J202" si="125">L196+O196</f>
        <v>0</v>
      </c>
      <c r="K196" s="69"/>
      <c r="L196" s="69"/>
      <c r="M196" s="69"/>
      <c r="N196" s="69"/>
      <c r="O196" s="69"/>
      <c r="P196" s="69">
        <f t="shared" si="124"/>
        <v>345000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24" customHeight="1" x14ac:dyDescent="0.25">
      <c r="A197" s="43" t="s">
        <v>387</v>
      </c>
      <c r="B197" s="44" t="str">
        <f>'дод 3'!A130</f>
        <v>7693</v>
      </c>
      <c r="C197" s="44" t="str">
        <f>'дод 3'!B130</f>
        <v>0490</v>
      </c>
      <c r="D197" s="24" t="str">
        <f>'дод 3'!C130</f>
        <v>Інші заходи, пов'язані з економічною діяльністю</v>
      </c>
      <c r="E197" s="69">
        <f t="shared" si="123"/>
        <v>213200</v>
      </c>
      <c r="F197" s="69">
        <v>213200</v>
      </c>
      <c r="G197" s="69"/>
      <c r="H197" s="69"/>
      <c r="I197" s="69"/>
      <c r="J197" s="69">
        <f t="shared" si="125"/>
        <v>0</v>
      </c>
      <c r="K197" s="69"/>
      <c r="L197" s="69"/>
      <c r="M197" s="69"/>
      <c r="N197" s="69"/>
      <c r="O197" s="69"/>
      <c r="P197" s="69">
        <f t="shared" si="124"/>
        <v>213200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33.75" customHeight="1" x14ac:dyDescent="0.25">
      <c r="A198" s="43">
        <v>3718330</v>
      </c>
      <c r="B198" s="44">
        <f>'дод 3'!A140</f>
        <v>8330</v>
      </c>
      <c r="C198" s="44">
        <f>'дод 3'!B140</f>
        <v>540</v>
      </c>
      <c r="D198" s="24" t="str">
        <f>'дод 3'!C140</f>
        <v xml:space="preserve">Інша діяльність у сфері екології та охорони природних ресурсів </v>
      </c>
      <c r="E198" s="69">
        <f t="shared" si="123"/>
        <v>75000</v>
      </c>
      <c r="F198" s="69">
        <v>75000</v>
      </c>
      <c r="G198" s="69"/>
      <c r="H198" s="69"/>
      <c r="I198" s="69"/>
      <c r="J198" s="69">
        <f t="shared" si="125"/>
        <v>0</v>
      </c>
      <c r="K198" s="69"/>
      <c r="L198" s="69"/>
      <c r="M198" s="69"/>
      <c r="N198" s="69"/>
      <c r="O198" s="69"/>
      <c r="P198" s="69">
        <f t="shared" si="124"/>
        <v>75000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26.25" customHeight="1" x14ac:dyDescent="0.25">
      <c r="A199" s="43" t="s">
        <v>258</v>
      </c>
      <c r="B199" s="44" t="str">
        <f>'дод 3'!A141</f>
        <v>8340</v>
      </c>
      <c r="C199" s="43" t="str">
        <f>'дод 3'!B141</f>
        <v>0540</v>
      </c>
      <c r="D199" s="24" t="str">
        <f>'дод 3'!C141</f>
        <v>Природоохоронні заходи за рахунок цільових фондів</v>
      </c>
      <c r="E199" s="69">
        <f t="shared" si="123"/>
        <v>0</v>
      </c>
      <c r="F199" s="69"/>
      <c r="G199" s="69"/>
      <c r="H199" s="69"/>
      <c r="I199" s="69"/>
      <c r="J199" s="69">
        <f t="shared" si="125"/>
        <v>93500</v>
      </c>
      <c r="K199" s="69"/>
      <c r="L199" s="69">
        <f>45000+48500</f>
        <v>93500</v>
      </c>
      <c r="M199" s="69"/>
      <c r="N199" s="69"/>
      <c r="O199" s="69"/>
      <c r="P199" s="69">
        <f t="shared" si="124"/>
        <v>93500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7" customHeight="1" x14ac:dyDescent="0.25">
      <c r="A200" s="43" t="s">
        <v>259</v>
      </c>
      <c r="B200" s="44" t="str">
        <f>'дод 3'!A144</f>
        <v>8600</v>
      </c>
      <c r="C200" s="44" t="str">
        <f>'дод 3'!B144</f>
        <v>0170</v>
      </c>
      <c r="D200" s="24" t="str">
        <f>'дод 3'!C144</f>
        <v>Обслуговування місцевого боргу</v>
      </c>
      <c r="E200" s="69">
        <f t="shared" si="123"/>
        <v>712065</v>
      </c>
      <c r="F200" s="69">
        <f>28187+238378+445500</f>
        <v>712065</v>
      </c>
      <c r="G200" s="69"/>
      <c r="H200" s="69"/>
      <c r="I200" s="69"/>
      <c r="J200" s="69">
        <f t="shared" si="125"/>
        <v>0</v>
      </c>
      <c r="K200" s="69"/>
      <c r="L200" s="69"/>
      <c r="M200" s="69"/>
      <c r="N200" s="69"/>
      <c r="O200" s="69"/>
      <c r="P200" s="69">
        <f t="shared" si="124"/>
        <v>712065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21" customHeight="1" x14ac:dyDescent="0.25">
      <c r="A201" s="43" t="s">
        <v>273</v>
      </c>
      <c r="B201" s="44" t="str">
        <f>'дод 3'!A145</f>
        <v>8700</v>
      </c>
      <c r="C201" s="44" t="str">
        <f>'дод 3'!B145</f>
        <v>0133</v>
      </c>
      <c r="D201" s="24" t="str">
        <f>'дод 3'!C145</f>
        <v>Резервний фонд</v>
      </c>
      <c r="E201" s="69">
        <f>20000000+40000+102390-13000000</f>
        <v>7142390</v>
      </c>
      <c r="F201" s="69"/>
      <c r="G201" s="69"/>
      <c r="H201" s="69"/>
      <c r="I201" s="69"/>
      <c r="J201" s="69">
        <f t="shared" si="125"/>
        <v>0</v>
      </c>
      <c r="K201" s="69"/>
      <c r="L201" s="69"/>
      <c r="M201" s="69"/>
      <c r="N201" s="69"/>
      <c r="O201" s="69"/>
      <c r="P201" s="69">
        <f t="shared" si="124"/>
        <v>7142390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2.5" customHeight="1" x14ac:dyDescent="0.25">
      <c r="A202" s="43" t="s">
        <v>274</v>
      </c>
      <c r="B202" s="44" t="str">
        <f>'дод 3'!A148</f>
        <v>9110</v>
      </c>
      <c r="C202" s="44" t="str">
        <f>'дод 3'!B148</f>
        <v>0180</v>
      </c>
      <c r="D202" s="24" t="str">
        <f>'дод 3'!C148</f>
        <v>Реверсна дотація</v>
      </c>
      <c r="E202" s="69">
        <f>F202+I202</f>
        <v>108116600</v>
      </c>
      <c r="F202" s="69">
        <v>108116600</v>
      </c>
      <c r="G202" s="69"/>
      <c r="H202" s="69"/>
      <c r="I202" s="69"/>
      <c r="J202" s="69">
        <f t="shared" si="125"/>
        <v>0</v>
      </c>
      <c r="K202" s="69"/>
      <c r="L202" s="69"/>
      <c r="M202" s="69"/>
      <c r="N202" s="69"/>
      <c r="O202" s="69"/>
      <c r="P202" s="69">
        <f t="shared" si="124"/>
        <v>108116600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31" customFormat="1" ht="24.75" customHeight="1" x14ac:dyDescent="0.2">
      <c r="A203" s="90"/>
      <c r="B203" s="74"/>
      <c r="C203" s="79"/>
      <c r="D203" s="30" t="s">
        <v>27</v>
      </c>
      <c r="E203" s="66">
        <f>E18+E52+E78+E96+E118+E123+E133+E160+E163+E177+E182+E185+E193</f>
        <v>2085839361.5900002</v>
      </c>
      <c r="F203" s="66">
        <f t="shared" ref="F203:P203" si="126">F18+F52+F78+F96+F118+F123+F133+F160+F163+F177+F182+F185+F193</f>
        <v>2031695533.5900002</v>
      </c>
      <c r="G203" s="66">
        <f t="shared" si="126"/>
        <v>908969732</v>
      </c>
      <c r="H203" s="66">
        <f t="shared" si="126"/>
        <v>121583763</v>
      </c>
      <c r="I203" s="66">
        <f t="shared" si="126"/>
        <v>47001438</v>
      </c>
      <c r="J203" s="66">
        <f t="shared" si="126"/>
        <v>593419667.1099999</v>
      </c>
      <c r="K203" s="66">
        <f t="shared" si="126"/>
        <v>432768420.47000003</v>
      </c>
      <c r="L203" s="66">
        <f t="shared" si="126"/>
        <v>144233011.00999999</v>
      </c>
      <c r="M203" s="66">
        <f t="shared" si="126"/>
        <v>9012497</v>
      </c>
      <c r="N203" s="66">
        <f t="shared" si="126"/>
        <v>3810541</v>
      </c>
      <c r="O203" s="66">
        <f t="shared" si="126"/>
        <v>449186656.10000002</v>
      </c>
      <c r="P203" s="66">
        <f t="shared" si="126"/>
        <v>2679259028.6999998</v>
      </c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8"/>
      <c r="GE203" s="38"/>
      <c r="GF203" s="38"/>
      <c r="GG203" s="38"/>
      <c r="GH203" s="38"/>
      <c r="GI203" s="38"/>
      <c r="GJ203" s="38"/>
      <c r="GK203" s="38"/>
      <c r="GL203" s="38"/>
      <c r="GM203" s="38"/>
      <c r="GN203" s="38"/>
      <c r="GO203" s="38"/>
      <c r="GP203" s="38"/>
      <c r="GQ203" s="38"/>
      <c r="GR203" s="38"/>
      <c r="GS203" s="38"/>
      <c r="GT203" s="38"/>
      <c r="GU203" s="38"/>
      <c r="GV203" s="38"/>
      <c r="GW203" s="38"/>
      <c r="GX203" s="38"/>
      <c r="GY203" s="38"/>
      <c r="GZ203" s="38"/>
      <c r="HA203" s="38"/>
      <c r="HB203" s="38"/>
      <c r="HC203" s="38"/>
      <c r="HD203" s="38"/>
      <c r="HE203" s="38"/>
      <c r="HF203" s="38"/>
      <c r="HG203" s="38"/>
      <c r="HH203" s="38"/>
      <c r="HI203" s="38"/>
      <c r="HJ203" s="38"/>
      <c r="HK203" s="38"/>
      <c r="HL203" s="38"/>
      <c r="HM203" s="38"/>
      <c r="HN203" s="38"/>
      <c r="HO203" s="38"/>
      <c r="HP203" s="38"/>
      <c r="HQ203" s="38"/>
      <c r="HR203" s="38"/>
      <c r="HS203" s="38"/>
      <c r="HT203" s="38"/>
      <c r="HU203" s="38"/>
      <c r="HV203" s="38"/>
      <c r="HW203" s="38"/>
      <c r="HX203" s="38"/>
      <c r="HY203" s="38"/>
      <c r="HZ203" s="38"/>
      <c r="IA203" s="38"/>
      <c r="IB203" s="38"/>
      <c r="IC203" s="38"/>
      <c r="ID203" s="38"/>
      <c r="IE203" s="38"/>
      <c r="IF203" s="38"/>
      <c r="IG203" s="38"/>
      <c r="IH203" s="38"/>
      <c r="II203" s="38"/>
      <c r="IJ203" s="38"/>
      <c r="IK203" s="38"/>
      <c r="IL203" s="38"/>
      <c r="IM203" s="38"/>
      <c r="IN203" s="38"/>
      <c r="IO203" s="38"/>
      <c r="IP203" s="38"/>
      <c r="IQ203" s="38"/>
      <c r="IR203" s="38"/>
      <c r="IS203" s="38"/>
      <c r="IT203" s="38"/>
      <c r="IU203" s="38"/>
      <c r="IV203" s="38"/>
      <c r="IW203" s="38"/>
      <c r="IX203" s="38"/>
      <c r="IY203" s="38"/>
      <c r="IZ203" s="38"/>
      <c r="JA203" s="38"/>
      <c r="JB203" s="38"/>
      <c r="JC203" s="38"/>
      <c r="JD203" s="38"/>
      <c r="JE203" s="38"/>
      <c r="JF203" s="38"/>
      <c r="JG203" s="38"/>
      <c r="JH203" s="38"/>
      <c r="JI203" s="38"/>
      <c r="JJ203" s="38"/>
      <c r="JK203" s="38"/>
      <c r="JL203" s="38"/>
      <c r="JM203" s="38"/>
      <c r="JN203" s="38"/>
      <c r="JO203" s="38"/>
      <c r="JP203" s="38"/>
      <c r="JQ203" s="38"/>
      <c r="JR203" s="38"/>
      <c r="JS203" s="38"/>
      <c r="JT203" s="38"/>
      <c r="JU203" s="38"/>
      <c r="JV203" s="38"/>
      <c r="JW203" s="38"/>
      <c r="JX203" s="38"/>
      <c r="JY203" s="38"/>
      <c r="JZ203" s="38"/>
      <c r="KA203" s="38"/>
      <c r="KB203" s="38"/>
      <c r="KC203" s="38"/>
      <c r="KD203" s="38"/>
      <c r="KE203" s="38"/>
      <c r="KF203" s="38"/>
      <c r="KG203" s="38"/>
      <c r="KH203" s="38"/>
      <c r="KI203" s="38"/>
      <c r="KJ203" s="38"/>
      <c r="KK203" s="38"/>
      <c r="KL203" s="38"/>
      <c r="KM203" s="38"/>
      <c r="KN203" s="38"/>
      <c r="KO203" s="38"/>
      <c r="KP203" s="38"/>
      <c r="KQ203" s="38"/>
      <c r="KR203" s="38"/>
      <c r="KS203" s="38"/>
      <c r="KT203" s="38"/>
      <c r="KU203" s="38"/>
      <c r="KV203" s="38"/>
      <c r="KW203" s="38"/>
      <c r="KX203" s="38"/>
      <c r="KY203" s="38"/>
      <c r="KZ203" s="38"/>
      <c r="LA203" s="38"/>
      <c r="LB203" s="38"/>
      <c r="LC203" s="38"/>
      <c r="LD203" s="38"/>
      <c r="LE203" s="38"/>
      <c r="LF203" s="38"/>
      <c r="LG203" s="38"/>
      <c r="LH203" s="38"/>
      <c r="LI203" s="38"/>
      <c r="LJ203" s="38"/>
      <c r="LK203" s="38"/>
      <c r="LL203" s="38"/>
      <c r="LM203" s="38"/>
      <c r="LN203" s="38"/>
      <c r="LO203" s="38"/>
      <c r="LP203" s="38"/>
      <c r="LQ203" s="38"/>
      <c r="LR203" s="38"/>
      <c r="LS203" s="38"/>
      <c r="LT203" s="38"/>
      <c r="LU203" s="38"/>
      <c r="LV203" s="38"/>
      <c r="LW203" s="38"/>
      <c r="LX203" s="38"/>
      <c r="LY203" s="38"/>
      <c r="LZ203" s="38"/>
      <c r="MA203" s="38"/>
      <c r="MB203" s="38"/>
      <c r="MC203" s="38"/>
      <c r="MD203" s="38"/>
      <c r="ME203" s="38"/>
      <c r="MF203" s="38"/>
      <c r="MG203" s="38"/>
      <c r="MH203" s="38"/>
      <c r="MI203" s="38"/>
      <c r="MJ203" s="38"/>
      <c r="MK203" s="38"/>
      <c r="ML203" s="38"/>
      <c r="MM203" s="38"/>
      <c r="MN203" s="38"/>
      <c r="MO203" s="38"/>
      <c r="MP203" s="38"/>
      <c r="MQ203" s="38"/>
      <c r="MR203" s="38"/>
      <c r="MS203" s="38"/>
      <c r="MT203" s="38"/>
      <c r="MU203" s="38"/>
      <c r="MV203" s="38"/>
      <c r="MW203" s="38"/>
      <c r="MX203" s="38"/>
      <c r="MY203" s="38"/>
      <c r="MZ203" s="38"/>
      <c r="NA203" s="38"/>
      <c r="NB203" s="38"/>
      <c r="NC203" s="38"/>
      <c r="ND203" s="38"/>
      <c r="NE203" s="38"/>
      <c r="NF203" s="38"/>
      <c r="NG203" s="38"/>
      <c r="NH203" s="38"/>
      <c r="NI203" s="38"/>
      <c r="NJ203" s="38"/>
      <c r="NK203" s="38"/>
      <c r="NL203" s="38"/>
      <c r="NM203" s="38"/>
      <c r="NN203" s="38"/>
      <c r="NO203" s="38"/>
      <c r="NP203" s="38"/>
      <c r="NQ203" s="38"/>
      <c r="NR203" s="38"/>
      <c r="NS203" s="38"/>
      <c r="NT203" s="38"/>
      <c r="NU203" s="38"/>
      <c r="NV203" s="38"/>
      <c r="NW203" s="38"/>
      <c r="NX203" s="38"/>
      <c r="NY203" s="38"/>
      <c r="NZ203" s="38"/>
      <c r="OA203" s="38"/>
      <c r="OB203" s="38"/>
      <c r="OC203" s="38"/>
      <c r="OD203" s="38"/>
      <c r="OE203" s="38"/>
      <c r="OF203" s="38"/>
      <c r="OG203" s="38"/>
      <c r="OH203" s="38"/>
      <c r="OI203" s="38"/>
      <c r="OJ203" s="38"/>
      <c r="OK203" s="38"/>
      <c r="OL203" s="38"/>
      <c r="OM203" s="38"/>
      <c r="ON203" s="38"/>
      <c r="OO203" s="38"/>
      <c r="OP203" s="38"/>
      <c r="OQ203" s="38"/>
      <c r="OR203" s="38"/>
      <c r="OS203" s="38"/>
      <c r="OT203" s="38"/>
      <c r="OU203" s="38"/>
      <c r="OV203" s="38"/>
      <c r="OW203" s="38"/>
      <c r="OX203" s="38"/>
      <c r="OY203" s="38"/>
      <c r="OZ203" s="38"/>
      <c r="PA203" s="38"/>
      <c r="PB203" s="38"/>
      <c r="PC203" s="38"/>
      <c r="PD203" s="38"/>
      <c r="PE203" s="38"/>
      <c r="PF203" s="38"/>
      <c r="PG203" s="38"/>
      <c r="PH203" s="38"/>
      <c r="PI203" s="38"/>
      <c r="PJ203" s="38"/>
      <c r="PK203" s="38"/>
      <c r="PL203" s="38"/>
      <c r="PM203" s="38"/>
      <c r="PN203" s="38"/>
      <c r="PO203" s="38"/>
      <c r="PP203" s="38"/>
      <c r="PQ203" s="38"/>
      <c r="PR203" s="38"/>
      <c r="PS203" s="38"/>
      <c r="PT203" s="38"/>
      <c r="PU203" s="38"/>
      <c r="PV203" s="38"/>
      <c r="PW203" s="38"/>
      <c r="PX203" s="38"/>
      <c r="PY203" s="38"/>
      <c r="PZ203" s="38"/>
      <c r="QA203" s="38"/>
      <c r="QB203" s="38"/>
      <c r="QC203" s="38"/>
      <c r="QD203" s="38"/>
      <c r="QE203" s="38"/>
      <c r="QF203" s="38"/>
      <c r="QG203" s="38"/>
      <c r="QH203" s="38"/>
      <c r="QI203" s="38"/>
      <c r="QJ203" s="38"/>
      <c r="QK203" s="38"/>
      <c r="QL203" s="38"/>
      <c r="QM203" s="38"/>
      <c r="QN203" s="38"/>
      <c r="QO203" s="38"/>
      <c r="QP203" s="38"/>
      <c r="QQ203" s="38"/>
      <c r="QR203" s="38"/>
      <c r="QS203" s="38"/>
      <c r="QT203" s="38"/>
      <c r="QU203" s="38"/>
      <c r="QV203" s="38"/>
      <c r="QW203" s="38"/>
      <c r="QX203" s="38"/>
      <c r="QY203" s="38"/>
      <c r="QZ203" s="38"/>
      <c r="RA203" s="38"/>
      <c r="RB203" s="38"/>
      <c r="RC203" s="38"/>
      <c r="RD203" s="38"/>
      <c r="RE203" s="38"/>
      <c r="RF203" s="38"/>
      <c r="RG203" s="38"/>
      <c r="RH203" s="38"/>
      <c r="RI203" s="38"/>
      <c r="RJ203" s="38"/>
      <c r="RK203" s="38"/>
      <c r="RL203" s="38"/>
      <c r="RM203" s="38"/>
      <c r="RN203" s="38"/>
      <c r="RO203" s="38"/>
      <c r="RP203" s="38"/>
      <c r="RQ203" s="38"/>
      <c r="RR203" s="38"/>
      <c r="RS203" s="38"/>
      <c r="RT203" s="38"/>
      <c r="RU203" s="38"/>
      <c r="RV203" s="38"/>
      <c r="RW203" s="38"/>
      <c r="RX203" s="38"/>
      <c r="RY203" s="38"/>
      <c r="RZ203" s="38"/>
      <c r="SA203" s="38"/>
      <c r="SB203" s="38"/>
      <c r="SC203" s="38"/>
      <c r="SD203" s="38"/>
      <c r="SE203" s="38"/>
      <c r="SF203" s="38"/>
      <c r="SG203" s="38"/>
      <c r="SH203" s="38"/>
      <c r="SI203" s="38"/>
      <c r="SJ203" s="38"/>
      <c r="SK203" s="38"/>
      <c r="SL203" s="38"/>
      <c r="SM203" s="38"/>
      <c r="SN203" s="38"/>
      <c r="SO203" s="38"/>
      <c r="SP203" s="38"/>
      <c r="SQ203" s="38"/>
      <c r="SR203" s="38"/>
      <c r="SS203" s="38"/>
      <c r="ST203" s="38"/>
      <c r="SU203" s="38"/>
      <c r="SV203" s="38"/>
      <c r="SW203" s="38"/>
      <c r="SX203" s="38"/>
      <c r="SY203" s="38"/>
      <c r="SZ203" s="38"/>
      <c r="TA203" s="38"/>
      <c r="TB203" s="38"/>
      <c r="TC203" s="38"/>
      <c r="TD203" s="38"/>
      <c r="TE203" s="38"/>
      <c r="TF203" s="38"/>
      <c r="TG203" s="38"/>
      <c r="TH203" s="38"/>
      <c r="TI203" s="38"/>
    </row>
    <row r="204" spans="1:529" s="31" customFormat="1" ht="20.25" customHeight="1" x14ac:dyDescent="0.2">
      <c r="A204" s="90"/>
      <c r="B204" s="74"/>
      <c r="C204" s="79"/>
      <c r="D204" s="30" t="s">
        <v>308</v>
      </c>
      <c r="E204" s="66">
        <f>E54+E80+E135</f>
        <v>439414289</v>
      </c>
      <c r="F204" s="66">
        <f t="shared" ref="F204:P204" si="127">F54+F80+F135</f>
        <v>439414289</v>
      </c>
      <c r="G204" s="66">
        <f t="shared" si="127"/>
        <v>307191100</v>
      </c>
      <c r="H204" s="66">
        <f t="shared" si="127"/>
        <v>0</v>
      </c>
      <c r="I204" s="66">
        <f t="shared" si="127"/>
        <v>0</v>
      </c>
      <c r="J204" s="66">
        <f t="shared" si="127"/>
        <v>82674037.929999992</v>
      </c>
      <c r="K204" s="66">
        <f t="shared" si="127"/>
        <v>2674037.9300000002</v>
      </c>
      <c r="L204" s="66">
        <f t="shared" si="127"/>
        <v>80000000</v>
      </c>
      <c r="M204" s="66">
        <f t="shared" si="127"/>
        <v>0</v>
      </c>
      <c r="N204" s="66">
        <f t="shared" si="127"/>
        <v>0</v>
      </c>
      <c r="O204" s="66">
        <f t="shared" si="127"/>
        <v>2674037.9300000002</v>
      </c>
      <c r="P204" s="66">
        <f t="shared" si="127"/>
        <v>522088326.93000001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  <c r="IH204" s="38"/>
      <c r="II204" s="38"/>
      <c r="IJ204" s="38"/>
      <c r="IK204" s="38"/>
      <c r="IL204" s="38"/>
      <c r="IM204" s="38"/>
      <c r="IN204" s="38"/>
      <c r="IO204" s="38"/>
      <c r="IP204" s="38"/>
      <c r="IQ204" s="38"/>
      <c r="IR204" s="38"/>
      <c r="IS204" s="38"/>
      <c r="IT204" s="38"/>
      <c r="IU204" s="38"/>
      <c r="IV204" s="38"/>
      <c r="IW204" s="38"/>
      <c r="IX204" s="38"/>
      <c r="IY204" s="38"/>
      <c r="IZ204" s="38"/>
      <c r="JA204" s="38"/>
      <c r="JB204" s="38"/>
      <c r="JC204" s="38"/>
      <c r="JD204" s="38"/>
      <c r="JE204" s="38"/>
      <c r="JF204" s="38"/>
      <c r="JG204" s="38"/>
      <c r="JH204" s="38"/>
      <c r="JI204" s="38"/>
      <c r="JJ204" s="38"/>
      <c r="JK204" s="38"/>
      <c r="JL204" s="38"/>
      <c r="JM204" s="38"/>
      <c r="JN204" s="38"/>
      <c r="JO204" s="38"/>
      <c r="JP204" s="38"/>
      <c r="JQ204" s="38"/>
      <c r="JR204" s="38"/>
      <c r="JS204" s="38"/>
      <c r="JT204" s="38"/>
      <c r="JU204" s="38"/>
      <c r="JV204" s="38"/>
      <c r="JW204" s="38"/>
      <c r="JX204" s="38"/>
      <c r="JY204" s="38"/>
      <c r="JZ204" s="38"/>
      <c r="KA204" s="38"/>
      <c r="KB204" s="38"/>
      <c r="KC204" s="38"/>
      <c r="KD204" s="38"/>
      <c r="KE204" s="38"/>
      <c r="KF204" s="38"/>
      <c r="KG204" s="38"/>
      <c r="KH204" s="38"/>
      <c r="KI204" s="38"/>
      <c r="KJ204" s="38"/>
      <c r="KK204" s="38"/>
      <c r="KL204" s="38"/>
      <c r="KM204" s="38"/>
      <c r="KN204" s="38"/>
      <c r="KO204" s="38"/>
      <c r="KP204" s="38"/>
      <c r="KQ204" s="38"/>
      <c r="KR204" s="38"/>
      <c r="KS204" s="38"/>
      <c r="KT204" s="38"/>
      <c r="KU204" s="38"/>
      <c r="KV204" s="38"/>
      <c r="KW204" s="38"/>
      <c r="KX204" s="38"/>
      <c r="KY204" s="38"/>
      <c r="KZ204" s="38"/>
      <c r="LA204" s="38"/>
      <c r="LB204" s="38"/>
      <c r="LC204" s="38"/>
      <c r="LD204" s="38"/>
      <c r="LE204" s="38"/>
      <c r="LF204" s="38"/>
      <c r="LG204" s="38"/>
      <c r="LH204" s="38"/>
      <c r="LI204" s="38"/>
      <c r="LJ204" s="38"/>
      <c r="LK204" s="38"/>
      <c r="LL204" s="38"/>
      <c r="LM204" s="38"/>
      <c r="LN204" s="38"/>
      <c r="LO204" s="38"/>
      <c r="LP204" s="38"/>
      <c r="LQ204" s="38"/>
      <c r="LR204" s="38"/>
      <c r="LS204" s="38"/>
      <c r="LT204" s="38"/>
      <c r="LU204" s="38"/>
      <c r="LV204" s="38"/>
      <c r="LW204" s="38"/>
      <c r="LX204" s="38"/>
      <c r="LY204" s="38"/>
      <c r="LZ204" s="38"/>
      <c r="MA204" s="38"/>
      <c r="MB204" s="38"/>
      <c r="MC204" s="38"/>
      <c r="MD204" s="38"/>
      <c r="ME204" s="38"/>
      <c r="MF204" s="38"/>
      <c r="MG204" s="38"/>
      <c r="MH204" s="38"/>
      <c r="MI204" s="38"/>
      <c r="MJ204" s="38"/>
      <c r="MK204" s="38"/>
      <c r="ML204" s="38"/>
      <c r="MM204" s="38"/>
      <c r="MN204" s="38"/>
      <c r="MO204" s="38"/>
      <c r="MP204" s="38"/>
      <c r="MQ204" s="38"/>
      <c r="MR204" s="38"/>
      <c r="MS204" s="38"/>
      <c r="MT204" s="38"/>
      <c r="MU204" s="38"/>
      <c r="MV204" s="38"/>
      <c r="MW204" s="38"/>
      <c r="MX204" s="38"/>
      <c r="MY204" s="38"/>
      <c r="MZ204" s="38"/>
      <c r="NA204" s="38"/>
      <c r="NB204" s="38"/>
      <c r="NC204" s="38"/>
      <c r="ND204" s="38"/>
      <c r="NE204" s="38"/>
      <c r="NF204" s="38"/>
      <c r="NG204" s="38"/>
      <c r="NH204" s="3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38"/>
      <c r="OC204" s="38"/>
      <c r="OD204" s="38"/>
      <c r="OE204" s="38"/>
      <c r="OF204" s="38"/>
      <c r="OG204" s="38"/>
      <c r="OH204" s="38"/>
      <c r="OI204" s="38"/>
      <c r="OJ204" s="38"/>
      <c r="OK204" s="38"/>
      <c r="OL204" s="38"/>
      <c r="OM204" s="38"/>
      <c r="ON204" s="38"/>
      <c r="OO204" s="38"/>
      <c r="OP204" s="38"/>
      <c r="OQ204" s="38"/>
      <c r="OR204" s="38"/>
      <c r="OS204" s="38"/>
      <c r="OT204" s="38"/>
      <c r="OU204" s="38"/>
      <c r="OV204" s="38"/>
      <c r="OW204" s="38"/>
      <c r="OX204" s="38"/>
      <c r="OY204" s="38"/>
      <c r="OZ204" s="38"/>
      <c r="PA204" s="38"/>
      <c r="PB204" s="38"/>
      <c r="PC204" s="38"/>
      <c r="PD204" s="38"/>
      <c r="PE204" s="38"/>
      <c r="PF204" s="38"/>
      <c r="PG204" s="38"/>
      <c r="PH204" s="38"/>
      <c r="PI204" s="38"/>
      <c r="PJ204" s="38"/>
      <c r="PK204" s="38"/>
      <c r="PL204" s="38"/>
      <c r="PM204" s="38"/>
      <c r="PN204" s="38"/>
      <c r="PO204" s="38"/>
      <c r="PP204" s="38"/>
      <c r="PQ204" s="38"/>
      <c r="PR204" s="38"/>
      <c r="PS204" s="38"/>
      <c r="PT204" s="38"/>
      <c r="PU204" s="38"/>
      <c r="PV204" s="38"/>
      <c r="PW204" s="38"/>
      <c r="PX204" s="38"/>
      <c r="PY204" s="38"/>
      <c r="PZ204" s="38"/>
      <c r="QA204" s="38"/>
      <c r="QB204" s="38"/>
      <c r="QC204" s="38"/>
      <c r="QD204" s="38"/>
      <c r="QE204" s="38"/>
      <c r="QF204" s="38"/>
      <c r="QG204" s="38"/>
      <c r="QH204" s="38"/>
      <c r="QI204" s="38"/>
      <c r="QJ204" s="38"/>
      <c r="QK204" s="38"/>
      <c r="QL204" s="38"/>
      <c r="QM204" s="38"/>
      <c r="QN204" s="38"/>
      <c r="QO204" s="38"/>
      <c r="QP204" s="38"/>
      <c r="QQ204" s="38"/>
      <c r="QR204" s="38"/>
      <c r="QS204" s="38"/>
      <c r="QT204" s="38"/>
      <c r="QU204" s="38"/>
      <c r="QV204" s="38"/>
      <c r="QW204" s="38"/>
      <c r="QX204" s="38"/>
      <c r="QY204" s="38"/>
      <c r="QZ204" s="38"/>
      <c r="RA204" s="38"/>
      <c r="RB204" s="38"/>
      <c r="RC204" s="38"/>
      <c r="RD204" s="38"/>
      <c r="RE204" s="38"/>
      <c r="RF204" s="38"/>
      <c r="RG204" s="38"/>
      <c r="RH204" s="38"/>
      <c r="RI204" s="38"/>
      <c r="RJ204" s="38"/>
      <c r="RK204" s="38"/>
      <c r="RL204" s="38"/>
      <c r="RM204" s="38"/>
      <c r="RN204" s="38"/>
      <c r="RO204" s="38"/>
      <c r="RP204" s="38"/>
      <c r="RQ204" s="38"/>
      <c r="RR204" s="38"/>
      <c r="RS204" s="38"/>
      <c r="RT204" s="38"/>
      <c r="RU204" s="38"/>
      <c r="RV204" s="38"/>
      <c r="RW204" s="38"/>
      <c r="RX204" s="38"/>
      <c r="RY204" s="38"/>
      <c r="RZ204" s="38"/>
      <c r="SA204" s="38"/>
      <c r="SB204" s="38"/>
      <c r="SC204" s="38"/>
      <c r="SD204" s="38"/>
      <c r="SE204" s="38"/>
      <c r="SF204" s="38"/>
      <c r="SG204" s="38"/>
      <c r="SH204" s="38"/>
      <c r="SI204" s="38"/>
      <c r="SJ204" s="38"/>
      <c r="SK204" s="38"/>
      <c r="SL204" s="38"/>
      <c r="SM204" s="38"/>
      <c r="SN204" s="38"/>
      <c r="SO204" s="38"/>
      <c r="SP204" s="38"/>
      <c r="SQ204" s="38"/>
      <c r="SR204" s="38"/>
      <c r="SS204" s="38"/>
      <c r="ST204" s="38"/>
      <c r="SU204" s="38"/>
      <c r="SV204" s="38"/>
      <c r="SW204" s="38"/>
      <c r="SX204" s="38"/>
      <c r="SY204" s="38"/>
      <c r="SZ204" s="38"/>
      <c r="TA204" s="38"/>
      <c r="TB204" s="38"/>
      <c r="TC204" s="38"/>
      <c r="TD204" s="38"/>
      <c r="TE204" s="38"/>
      <c r="TF204" s="38"/>
      <c r="TG204" s="38"/>
      <c r="TH204" s="38"/>
      <c r="TI204" s="38"/>
    </row>
    <row r="205" spans="1:529" s="34" customFormat="1" x14ac:dyDescent="0.25">
      <c r="A205" s="91"/>
      <c r="B205" s="80"/>
      <c r="C205" s="80"/>
      <c r="D205" s="41"/>
      <c r="E205" s="59">
        <f>E203-'дод 3'!D152</f>
        <v>0</v>
      </c>
      <c r="F205" s="59">
        <f>F203-'дод 3'!E152</f>
        <v>0</v>
      </c>
      <c r="G205" s="59">
        <f>G203-'дод 3'!F152</f>
        <v>0</v>
      </c>
      <c r="H205" s="59">
        <f>H203-'дод 3'!G152</f>
        <v>0</v>
      </c>
      <c r="I205" s="59">
        <f>I203-'дод 3'!H152</f>
        <v>0</v>
      </c>
      <c r="J205" s="59">
        <f>J203-'дод 3'!I152</f>
        <v>0</v>
      </c>
      <c r="K205" s="59">
        <f>K203-'дод 3'!J152</f>
        <v>0</v>
      </c>
      <c r="L205" s="59">
        <f>L203-'дод 3'!K152</f>
        <v>0</v>
      </c>
      <c r="M205" s="59">
        <f>M203-'дод 3'!L152</f>
        <v>0</v>
      </c>
      <c r="N205" s="59">
        <f>N203-'дод 3'!M152</f>
        <v>0</v>
      </c>
      <c r="O205" s="59">
        <f>O203-'дод 3'!N152</f>
        <v>0</v>
      </c>
      <c r="P205" s="59">
        <f>P203-'дод 3'!O152</f>
        <v>0</v>
      </c>
    </row>
    <row r="206" spans="1:529" s="34" customFormat="1" ht="35.25" customHeight="1" x14ac:dyDescent="0.25">
      <c r="A206" s="91"/>
      <c r="B206" s="80"/>
      <c r="C206" s="80"/>
      <c r="D206" s="41"/>
      <c r="E206" s="59">
        <f>E204-'дод 3'!D153</f>
        <v>0</v>
      </c>
      <c r="F206" s="59">
        <f>F204-'дод 3'!E153</f>
        <v>0</v>
      </c>
      <c r="G206" s="59">
        <f>G204-'дод 3'!F153</f>
        <v>0</v>
      </c>
      <c r="H206" s="59">
        <f>H204-'дод 3'!G153</f>
        <v>0</v>
      </c>
      <c r="I206" s="59">
        <f>I204-'дод 3'!H153</f>
        <v>0</v>
      </c>
      <c r="J206" s="59">
        <f>J204-'дод 3'!I153</f>
        <v>0</v>
      </c>
      <c r="K206" s="59">
        <f>K204-'дод 3'!J153</f>
        <v>0</v>
      </c>
      <c r="L206" s="59">
        <f>L204-'дод 3'!K153</f>
        <v>0</v>
      </c>
      <c r="M206" s="59">
        <f>M204-'дод 3'!L153</f>
        <v>0</v>
      </c>
      <c r="N206" s="59">
        <f>N204-'дод 3'!M153</f>
        <v>0</v>
      </c>
      <c r="O206" s="59">
        <f>O204-'дод 3'!N153</f>
        <v>0</v>
      </c>
      <c r="P206" s="59">
        <f>P204-'дод 3'!O153</f>
        <v>0</v>
      </c>
    </row>
    <row r="207" spans="1:529" s="34" customFormat="1" x14ac:dyDescent="0.25">
      <c r="A207" s="91"/>
      <c r="B207" s="80"/>
      <c r="C207" s="80"/>
      <c r="D207" s="41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1:529" s="34" customFormat="1" x14ac:dyDescent="0.25">
      <c r="A208" s="91"/>
      <c r="B208" s="80"/>
      <c r="C208" s="80"/>
      <c r="D208" s="41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1:24" s="34" customFormat="1" ht="31.5" x14ac:dyDescent="0.45">
      <c r="A209" s="138" t="s">
        <v>460</v>
      </c>
      <c r="B209" s="138"/>
      <c r="C209" s="138"/>
      <c r="D209" s="138"/>
      <c r="E209" s="138"/>
      <c r="F209" s="138"/>
      <c r="G209" s="138"/>
      <c r="H209" s="138"/>
      <c r="I209" s="139"/>
      <c r="J209" s="139"/>
      <c r="K209" s="139"/>
      <c r="L209" s="140"/>
      <c r="M209" s="140"/>
      <c r="N209" s="155" t="s">
        <v>461</v>
      </c>
      <c r="O209" s="155"/>
      <c r="P209" s="155"/>
    </row>
    <row r="210" spans="1:24" s="34" customFormat="1" ht="35.25" customHeight="1" x14ac:dyDescent="0.5">
      <c r="A210" s="141"/>
      <c r="B210" s="141"/>
      <c r="C210" s="141"/>
      <c r="D210" s="142"/>
      <c r="E210" s="143"/>
      <c r="F210" s="143"/>
      <c r="G210" s="143"/>
      <c r="H210" s="143"/>
      <c r="I210" s="143"/>
      <c r="J210" s="143"/>
      <c r="K210" s="144"/>
      <c r="L210" s="143"/>
      <c r="M210" s="143"/>
      <c r="Q210" s="93"/>
      <c r="R210" s="93"/>
      <c r="S210" s="93"/>
      <c r="T210" s="93"/>
      <c r="U210" s="93"/>
    </row>
    <row r="211" spans="1:24" s="111" customFormat="1" ht="26.25" x14ac:dyDescent="0.4">
      <c r="A211" s="145" t="s">
        <v>462</v>
      </c>
      <c r="B211" s="112"/>
      <c r="C211" s="112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1:24" s="128" customFormat="1" ht="35.25" x14ac:dyDescent="0.5">
      <c r="A212" s="145" t="s">
        <v>463</v>
      </c>
      <c r="B212" s="112"/>
      <c r="C212" s="112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29"/>
      <c r="R212" s="129"/>
      <c r="S212" s="129"/>
      <c r="T212" s="129"/>
      <c r="U212" s="129"/>
      <c r="V212" s="129"/>
      <c r="W212" s="130"/>
      <c r="X212" s="131"/>
    </row>
    <row r="213" spans="1:24" s="104" customFormat="1" ht="14.25" x14ac:dyDescent="0.2">
      <c r="A213" s="100"/>
      <c r="B213" s="101"/>
      <c r="C213" s="101"/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1:24" s="104" customFormat="1" ht="14.25" x14ac:dyDescent="0.2">
      <c r="A214" s="100"/>
      <c r="B214" s="101"/>
      <c r="C214" s="101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24" s="34" customFormat="1" x14ac:dyDescent="0.25">
      <c r="A215" s="91"/>
      <c r="B215" s="108"/>
      <c r="C215" s="108"/>
      <c r="D215" s="4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</row>
    <row r="216" spans="1:24" s="34" customFormat="1" x14ac:dyDescent="0.25">
      <c r="A216" s="91"/>
      <c r="B216" s="108"/>
      <c r="C216" s="108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</row>
    <row r="217" spans="1:24" s="34" customFormat="1" x14ac:dyDescent="0.25">
      <c r="A217" s="91"/>
      <c r="B217" s="108"/>
      <c r="C217" s="108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</row>
    <row r="218" spans="1:24" s="34" customFormat="1" x14ac:dyDescent="0.25">
      <c r="A218" s="91"/>
      <c r="B218" s="108"/>
      <c r="C218" s="108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</row>
    <row r="219" spans="1:24" s="34" customFormat="1" x14ac:dyDescent="0.25">
      <c r="A219" s="91"/>
      <c r="B219" s="108"/>
      <c r="C219" s="108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</row>
    <row r="220" spans="1:24" s="34" customFormat="1" x14ac:dyDescent="0.25">
      <c r="A220" s="91"/>
      <c r="B220" s="80"/>
      <c r="C220" s="80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</row>
    <row r="221" spans="1:24" s="34" customFormat="1" x14ac:dyDescent="0.25">
      <c r="A221" s="91"/>
      <c r="B221" s="80"/>
      <c r="C221" s="80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</row>
    <row r="222" spans="1:24" s="34" customFormat="1" x14ac:dyDescent="0.25">
      <c r="A222" s="91"/>
      <c r="B222" s="80"/>
      <c r="C222" s="80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</row>
    <row r="223" spans="1:24" s="34" customFormat="1" x14ac:dyDescent="0.25">
      <c r="A223" s="91"/>
      <c r="B223" s="80"/>
      <c r="C223" s="80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</row>
    <row r="224" spans="1:24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</row>
    <row r="225" spans="1:16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</row>
    <row r="226" spans="1:16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</row>
    <row r="227" spans="1:16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</row>
    <row r="228" spans="1:16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</row>
    <row r="229" spans="1:16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</row>
    <row r="230" spans="1:16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</row>
    <row r="231" spans="1:16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</row>
    <row r="232" spans="1:16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</row>
    <row r="233" spans="1:16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</row>
    <row r="234" spans="1:16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</row>
    <row r="235" spans="1:16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</row>
    <row r="236" spans="1:16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</row>
    <row r="237" spans="1:16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</row>
    <row r="238" spans="1:16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</row>
    <row r="239" spans="1:16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</row>
    <row r="240" spans="1:16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</row>
    <row r="241" spans="1:16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</row>
    <row r="242" spans="1:16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</row>
    <row r="243" spans="1:16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</row>
    <row r="244" spans="1:16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</row>
    <row r="245" spans="1:16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</row>
    <row r="246" spans="1:16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</row>
    <row r="247" spans="1:16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</row>
    <row r="248" spans="1:16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</row>
    <row r="249" spans="1:16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</row>
    <row r="250" spans="1:16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</row>
    <row r="251" spans="1:16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</row>
    <row r="252" spans="1:16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</row>
    <row r="253" spans="1:16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</row>
    <row r="254" spans="1:16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</row>
    <row r="255" spans="1:16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</row>
    <row r="256" spans="1:16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</row>
    <row r="257" spans="1:16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</row>
    <row r="258" spans="1:16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</row>
    <row r="259" spans="1:16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</row>
    <row r="260" spans="1:16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</row>
    <row r="261" spans="1:16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</row>
    <row r="262" spans="1:16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</row>
    <row r="263" spans="1:16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</row>
    <row r="264" spans="1:16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16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16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16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16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16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16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16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16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91"/>
      <c r="B694" s="80"/>
      <c r="C694" s="80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91"/>
      <c r="B695" s="80"/>
      <c r="C695" s="80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91"/>
      <c r="B696" s="80"/>
      <c r="C696" s="80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91"/>
      <c r="B697" s="80"/>
      <c r="C697" s="80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91"/>
      <c r="B698" s="80"/>
      <c r="C698" s="80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91"/>
      <c r="B699" s="80"/>
      <c r="C699" s="80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  <row r="700" spans="1:16" s="34" customFormat="1" x14ac:dyDescent="0.25">
      <c r="A700" s="91"/>
      <c r="B700" s="80"/>
      <c r="C700" s="80"/>
      <c r="D700" s="4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60"/>
    </row>
    <row r="701" spans="1:16" s="34" customFormat="1" x14ac:dyDescent="0.25">
      <c r="A701" s="91"/>
      <c r="B701" s="80"/>
      <c r="C701" s="80"/>
      <c r="D701" s="4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60"/>
    </row>
    <row r="702" spans="1:16" s="34" customFormat="1" x14ac:dyDescent="0.25">
      <c r="A702" s="91"/>
      <c r="B702" s="80"/>
      <c r="C702" s="80"/>
      <c r="D702" s="4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</row>
    <row r="703" spans="1:16" s="34" customFormat="1" x14ac:dyDescent="0.25">
      <c r="A703" s="91"/>
      <c r="B703" s="80"/>
      <c r="C703" s="80"/>
      <c r="D703" s="4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</row>
  </sheetData>
  <mergeCells count="21">
    <mergeCell ref="L1:O1"/>
    <mergeCell ref="L4:P4"/>
    <mergeCell ref="L3:P3"/>
    <mergeCell ref="N209:P209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F16:F17"/>
    <mergeCell ref="E15:I15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showZeros="0" tabSelected="1" view="pageBreakPreview" topLeftCell="A4" zoomScale="65" zoomScaleNormal="65" zoomScaleSheetLayoutView="65" workbookViewId="0">
      <selection activeCell="K10" sqref="K10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32"/>
      <c r="K1" s="152" t="s">
        <v>454</v>
      </c>
      <c r="L1" s="152"/>
      <c r="M1" s="152"/>
      <c r="N1" s="152"/>
      <c r="O1" s="123"/>
    </row>
    <row r="2" spans="1:16" ht="31.5" x14ac:dyDescent="0.25">
      <c r="J2" s="132"/>
      <c r="K2" s="123" t="s">
        <v>455</v>
      </c>
      <c r="L2" s="123"/>
      <c r="M2" s="123"/>
      <c r="N2" s="123"/>
      <c r="O2" s="94"/>
      <c r="P2" s="34"/>
    </row>
    <row r="3" spans="1:16" ht="31.5" x14ac:dyDescent="0.25">
      <c r="J3" s="132"/>
      <c r="K3" s="154" t="s">
        <v>456</v>
      </c>
      <c r="L3" s="154"/>
      <c r="M3" s="154"/>
      <c r="N3" s="154"/>
      <c r="O3" s="154"/>
      <c r="P3" s="34"/>
    </row>
    <row r="4" spans="1:16" ht="31.5" x14ac:dyDescent="0.25">
      <c r="J4" s="132"/>
      <c r="K4" s="153" t="s">
        <v>457</v>
      </c>
      <c r="L4" s="153"/>
      <c r="M4" s="153"/>
      <c r="N4" s="153"/>
      <c r="O4" s="153"/>
      <c r="P4" s="34"/>
    </row>
    <row r="5" spans="1:16" ht="31.5" x14ac:dyDescent="0.25">
      <c r="J5" s="132"/>
      <c r="K5" s="123" t="s">
        <v>458</v>
      </c>
      <c r="L5" s="123"/>
      <c r="M5" s="123"/>
      <c r="N5" s="123"/>
      <c r="O5" s="123"/>
      <c r="P5" s="34"/>
    </row>
    <row r="6" spans="1:16" ht="31.5" x14ac:dyDescent="0.25">
      <c r="J6" s="132"/>
      <c r="K6" s="123" t="s">
        <v>467</v>
      </c>
      <c r="L6" s="123"/>
      <c r="M6" s="123"/>
      <c r="N6" s="123"/>
      <c r="O6" s="123"/>
      <c r="P6" s="34"/>
    </row>
    <row r="7" spans="1:16" ht="31.5" x14ac:dyDescent="0.25">
      <c r="J7" s="132"/>
      <c r="K7" s="123" t="s">
        <v>459</v>
      </c>
      <c r="L7" s="123"/>
      <c r="M7" s="123"/>
      <c r="N7" s="123"/>
      <c r="O7" s="123"/>
      <c r="P7" s="34"/>
    </row>
    <row r="8" spans="1:16" ht="31.5" x14ac:dyDescent="0.25">
      <c r="J8" s="132"/>
      <c r="K8" s="149" t="s">
        <v>465</v>
      </c>
      <c r="L8" s="149"/>
      <c r="M8" s="149"/>
      <c r="N8" s="149"/>
      <c r="O8" s="149"/>
      <c r="P8" s="34"/>
    </row>
    <row r="9" spans="1:16" ht="26.25" customHeight="1" x14ac:dyDescent="0.4">
      <c r="J9" s="135"/>
      <c r="K9" s="113" t="s">
        <v>473</v>
      </c>
      <c r="L9" s="113"/>
      <c r="M9" s="113"/>
      <c r="N9" s="113"/>
      <c r="O9" s="113"/>
      <c r="P9" s="116"/>
    </row>
    <row r="10" spans="1:16" ht="26.25" customHeight="1" x14ac:dyDescent="0.25">
      <c r="J10" s="124"/>
      <c r="K10" s="124"/>
      <c r="L10" s="124"/>
      <c r="M10" s="124"/>
      <c r="N10" s="124"/>
      <c r="O10" s="124"/>
      <c r="P10" s="124"/>
    </row>
    <row r="11" spans="1:16" ht="29.25" customHeight="1" x14ac:dyDescent="0.4">
      <c r="J11" s="123"/>
      <c r="K11" s="113"/>
      <c r="L11" s="113"/>
      <c r="M11" s="113"/>
      <c r="N11" s="113"/>
      <c r="O11" s="114"/>
      <c r="P11" s="34"/>
    </row>
    <row r="12" spans="1:16" ht="65.25" customHeight="1" x14ac:dyDescent="0.25">
      <c r="A12" s="159" t="s">
        <v>436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6" ht="31.5" customHeight="1" x14ac:dyDescent="0.25">
      <c r="A13" s="161" t="s">
        <v>424</v>
      </c>
      <c r="B13" s="161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ht="21" customHeight="1" x14ac:dyDescent="0.25">
      <c r="A14" s="162" t="s">
        <v>445</v>
      </c>
      <c r="B14" s="16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6" s="17" customFormat="1" ht="24" customHeight="1" x14ac:dyDescent="0.3">
      <c r="A15" s="14"/>
      <c r="B15" s="15"/>
      <c r="C15" s="16"/>
      <c r="O15" s="122" t="s">
        <v>420</v>
      </c>
    </row>
    <row r="16" spans="1:16" s="82" customFormat="1" ht="21.75" customHeight="1" x14ac:dyDescent="0.25">
      <c r="A16" s="160" t="s">
        <v>398</v>
      </c>
      <c r="B16" s="160" t="s">
        <v>384</v>
      </c>
      <c r="C16" s="160" t="s">
        <v>400</v>
      </c>
      <c r="D16" s="151" t="s">
        <v>265</v>
      </c>
      <c r="E16" s="151"/>
      <c r="F16" s="151"/>
      <c r="G16" s="151"/>
      <c r="H16" s="151"/>
      <c r="I16" s="151" t="s">
        <v>266</v>
      </c>
      <c r="J16" s="151"/>
      <c r="K16" s="151"/>
      <c r="L16" s="151"/>
      <c r="M16" s="151"/>
      <c r="N16" s="151"/>
      <c r="O16" s="151" t="s">
        <v>267</v>
      </c>
    </row>
    <row r="17" spans="1:15" s="82" customFormat="1" ht="29.25" customHeight="1" x14ac:dyDescent="0.25">
      <c r="A17" s="160"/>
      <c r="B17" s="160"/>
      <c r="C17" s="160"/>
      <c r="D17" s="151" t="s">
        <v>385</v>
      </c>
      <c r="E17" s="151" t="s">
        <v>268</v>
      </c>
      <c r="F17" s="151"/>
      <c r="G17" s="151"/>
      <c r="H17" s="151" t="s">
        <v>270</v>
      </c>
      <c r="I17" s="151" t="s">
        <v>385</v>
      </c>
      <c r="J17" s="151" t="s">
        <v>386</v>
      </c>
      <c r="K17" s="151" t="s">
        <v>268</v>
      </c>
      <c r="L17" s="151" t="s">
        <v>269</v>
      </c>
      <c r="M17" s="151"/>
      <c r="N17" s="151" t="s">
        <v>270</v>
      </c>
      <c r="O17" s="151"/>
    </row>
    <row r="18" spans="1:15" s="82" customFormat="1" ht="75.75" customHeight="1" x14ac:dyDescent="0.25">
      <c r="A18" s="160"/>
      <c r="B18" s="160"/>
      <c r="C18" s="160"/>
      <c r="D18" s="151"/>
      <c r="E18" s="151"/>
      <c r="F18" s="79" t="s">
        <v>271</v>
      </c>
      <c r="G18" s="79" t="s">
        <v>272</v>
      </c>
      <c r="H18" s="151"/>
      <c r="I18" s="151"/>
      <c r="J18" s="151"/>
      <c r="K18" s="151"/>
      <c r="L18" s="79" t="s">
        <v>271</v>
      </c>
      <c r="M18" s="79" t="s">
        <v>272</v>
      </c>
      <c r="N18" s="151"/>
      <c r="O18" s="151"/>
    </row>
    <row r="19" spans="1:15" s="82" customFormat="1" ht="27.75" customHeight="1" x14ac:dyDescent="0.25">
      <c r="A19" s="7" t="s">
        <v>57</v>
      </c>
      <c r="B19" s="8"/>
      <c r="C19" s="9" t="s">
        <v>58</v>
      </c>
      <c r="D19" s="61">
        <f t="shared" ref="D19:O19" si="0">D20+D21</f>
        <v>237679000</v>
      </c>
      <c r="E19" s="61">
        <f t="shared" si="0"/>
        <v>237679000</v>
      </c>
      <c r="F19" s="61">
        <f t="shared" si="0"/>
        <v>179821400</v>
      </c>
      <c r="G19" s="61">
        <f t="shared" si="0"/>
        <v>4717900</v>
      </c>
      <c r="H19" s="61">
        <f t="shared" si="0"/>
        <v>0</v>
      </c>
      <c r="I19" s="61">
        <f t="shared" si="0"/>
        <v>4615200</v>
      </c>
      <c r="J19" s="61">
        <f t="shared" si="0"/>
        <v>1415200</v>
      </c>
      <c r="K19" s="61">
        <f t="shared" si="0"/>
        <v>3200000</v>
      </c>
      <c r="L19" s="61">
        <f t="shared" si="0"/>
        <v>2348000</v>
      </c>
      <c r="M19" s="61">
        <f t="shared" si="0"/>
        <v>90600</v>
      </c>
      <c r="N19" s="61">
        <f t="shared" si="0"/>
        <v>1415200</v>
      </c>
      <c r="O19" s="61">
        <f t="shared" si="0"/>
        <v>242294200</v>
      </c>
    </row>
    <row r="20" spans="1:15" ht="57.75" customHeight="1" x14ac:dyDescent="0.25">
      <c r="A20" s="46" t="s">
        <v>140</v>
      </c>
      <c r="B20" s="46" t="s">
        <v>60</v>
      </c>
      <c r="C20" s="6" t="s">
        <v>141</v>
      </c>
      <c r="D20" s="62">
        <f>'дод 2'!E20+'дод 2'!E55+'дод 2'!E81+'дод 2'!E98+'дод 2'!E120+'дод 2'!E125+'дод 2'!E136+'дод 2'!E162+'дод 2'!E165+'дод 2'!E179+'дод 2'!E184+'дод 2'!E187+'дод 2'!E195</f>
        <v>237369000</v>
      </c>
      <c r="E20" s="62">
        <f>'дод 2'!F20+'дод 2'!F55+'дод 2'!F81+'дод 2'!F98+'дод 2'!F120+'дод 2'!F125+'дод 2'!F136+'дод 2'!F162+'дод 2'!F165+'дод 2'!F179+'дод 2'!F184+'дод 2'!F187+'дод 2'!F195</f>
        <v>237369000</v>
      </c>
      <c r="F20" s="62">
        <f>'дод 2'!G20+'дод 2'!G55+'дод 2'!G81+'дод 2'!G98+'дод 2'!G120+'дод 2'!G125+'дод 2'!G136+'дод 2'!G162+'дод 2'!G165+'дод 2'!G179+'дод 2'!G184+'дод 2'!G187+'дод 2'!G195</f>
        <v>179821400</v>
      </c>
      <c r="G20" s="62">
        <f>'дод 2'!H20+'дод 2'!H55+'дод 2'!H81+'дод 2'!H98+'дод 2'!H120+'дод 2'!H125+'дод 2'!H136+'дод 2'!H162+'дод 2'!H165+'дод 2'!H179+'дод 2'!H184+'дод 2'!H187+'дод 2'!H195</f>
        <v>4717900</v>
      </c>
      <c r="H20" s="62">
        <f>'дод 2'!I20+'дод 2'!I55+'дод 2'!I81+'дод 2'!I98+'дод 2'!I120+'дод 2'!I125+'дод 2'!I136+'дод 2'!I162+'дод 2'!I165+'дод 2'!I179+'дод 2'!I184+'дод 2'!I187+'дод 2'!I195</f>
        <v>0</v>
      </c>
      <c r="I20" s="62">
        <f>'дод 2'!J20+'дод 2'!J55+'дод 2'!J81+'дод 2'!J98+'дод 2'!J120+'дод 2'!J125+'дод 2'!J136+'дод 2'!J162+'дод 2'!J165+'дод 2'!J179+'дод 2'!J184+'дод 2'!J187+'дод 2'!J195</f>
        <v>4615200</v>
      </c>
      <c r="J20" s="62">
        <f>'дод 2'!K20+'дод 2'!K55+'дод 2'!K81+'дод 2'!K98+'дод 2'!K120+'дод 2'!K125+'дод 2'!K136+'дод 2'!K162+'дод 2'!K165+'дод 2'!K179+'дод 2'!K184+'дод 2'!K187+'дод 2'!K195</f>
        <v>1415200</v>
      </c>
      <c r="K20" s="62">
        <f>'дод 2'!L20+'дод 2'!L55+'дод 2'!L81+'дод 2'!L98+'дод 2'!L120+'дод 2'!L125+'дод 2'!L136+'дод 2'!L162+'дод 2'!L165+'дод 2'!L179+'дод 2'!L184+'дод 2'!L187+'дод 2'!L195</f>
        <v>3200000</v>
      </c>
      <c r="L20" s="62">
        <f>'дод 2'!M20+'дод 2'!M55+'дод 2'!M81+'дод 2'!M98+'дод 2'!M120+'дод 2'!M125+'дод 2'!M136+'дод 2'!M162+'дод 2'!M165+'дод 2'!M179+'дод 2'!M184+'дод 2'!M187+'дод 2'!M195</f>
        <v>2348000</v>
      </c>
      <c r="M20" s="62">
        <f>'дод 2'!N20+'дод 2'!N55+'дод 2'!N81+'дод 2'!N98+'дод 2'!N120+'дод 2'!N125+'дод 2'!N136+'дод 2'!N162+'дод 2'!N165+'дод 2'!N179+'дод 2'!N184+'дод 2'!N187+'дод 2'!N195</f>
        <v>90600</v>
      </c>
      <c r="N20" s="62">
        <f>'дод 2'!O20+'дод 2'!O55+'дод 2'!O81+'дод 2'!O98+'дод 2'!O120+'дод 2'!O125+'дод 2'!O136+'дод 2'!O162+'дод 2'!O165+'дод 2'!O179+'дод 2'!O184+'дод 2'!O187+'дод 2'!O195</f>
        <v>1415200</v>
      </c>
      <c r="O20" s="62">
        <f>'дод 2'!P20+'дод 2'!P55+'дод 2'!P81+'дод 2'!P98+'дод 2'!P120+'дод 2'!P125+'дод 2'!P136+'дод 2'!P162+'дод 2'!P165+'дод 2'!P179+'дод 2'!P184+'дод 2'!P187+'дод 2'!P195</f>
        <v>241984200</v>
      </c>
    </row>
    <row r="21" spans="1:15" ht="27" customHeight="1" x14ac:dyDescent="0.25">
      <c r="A21" s="46" t="s">
        <v>59</v>
      </c>
      <c r="B21" s="46" t="s">
        <v>113</v>
      </c>
      <c r="C21" s="6" t="s">
        <v>284</v>
      </c>
      <c r="D21" s="62">
        <f>'дод 2'!E21</f>
        <v>310000</v>
      </c>
      <c r="E21" s="62">
        <f>'дод 2'!F21</f>
        <v>310000</v>
      </c>
      <c r="F21" s="62">
        <f>'дод 2'!G21</f>
        <v>0</v>
      </c>
      <c r="G21" s="62">
        <f>'дод 2'!H21</f>
        <v>0</v>
      </c>
      <c r="H21" s="62">
        <f>'дод 2'!I21</f>
        <v>0</v>
      </c>
      <c r="I21" s="62">
        <f>'дод 2'!J21</f>
        <v>0</v>
      </c>
      <c r="J21" s="62">
        <f>'дод 2'!K21</f>
        <v>0</v>
      </c>
      <c r="K21" s="62">
        <f>'дод 2'!L21</f>
        <v>0</v>
      </c>
      <c r="L21" s="62">
        <f>'дод 2'!M21</f>
        <v>0</v>
      </c>
      <c r="M21" s="62">
        <f>'дод 2'!N21</f>
        <v>0</v>
      </c>
      <c r="N21" s="62">
        <f>'дод 2'!O21</f>
        <v>0</v>
      </c>
      <c r="O21" s="62">
        <f>'дод 2'!P21</f>
        <v>310000</v>
      </c>
    </row>
    <row r="22" spans="1:15" s="82" customFormat="1" ht="24" customHeight="1" x14ac:dyDescent="0.25">
      <c r="A22" s="47" t="s">
        <v>61</v>
      </c>
      <c r="B22" s="48"/>
      <c r="C22" s="9" t="s">
        <v>62</v>
      </c>
      <c r="D22" s="61">
        <f>D24+D26+D28+D30+D31+D32+D34+D35+D36+D37</f>
        <v>992232889</v>
      </c>
      <c r="E22" s="61">
        <f t="shared" ref="E22:O22" si="1">E24+E26+E28+E30+E31+E32+E34+E35+E36+E37</f>
        <v>992232889</v>
      </c>
      <c r="F22" s="61">
        <f t="shared" si="1"/>
        <v>674606927</v>
      </c>
      <c r="G22" s="61">
        <f t="shared" si="1"/>
        <v>84066007</v>
      </c>
      <c r="H22" s="61">
        <f t="shared" si="1"/>
        <v>0</v>
      </c>
      <c r="I22" s="61">
        <f t="shared" si="1"/>
        <v>86094152.640000001</v>
      </c>
      <c r="J22" s="61">
        <f t="shared" si="1"/>
        <v>29998004.640000001</v>
      </c>
      <c r="K22" s="61">
        <f t="shared" si="1"/>
        <v>55986428</v>
      </c>
      <c r="L22" s="61">
        <f t="shared" si="1"/>
        <v>6476192</v>
      </c>
      <c r="M22" s="61">
        <f t="shared" si="1"/>
        <v>3124191</v>
      </c>
      <c r="N22" s="61">
        <f t="shared" si="1"/>
        <v>30107724.640000001</v>
      </c>
      <c r="O22" s="61">
        <f t="shared" si="1"/>
        <v>1078327041.6399999</v>
      </c>
    </row>
    <row r="23" spans="1:15" s="83" customFormat="1" ht="24" customHeight="1" x14ac:dyDescent="0.25">
      <c r="A23" s="47"/>
      <c r="B23" s="48"/>
      <c r="C23" s="2" t="s">
        <v>308</v>
      </c>
      <c r="D23" s="61">
        <f>+D27+D29+D33+D25+D38</f>
        <v>382256478</v>
      </c>
      <c r="E23" s="61">
        <f t="shared" ref="E23:O23" si="2">+E27+E29+E33+E25+E38</f>
        <v>382256478</v>
      </c>
      <c r="F23" s="61">
        <f t="shared" si="2"/>
        <v>307191100</v>
      </c>
      <c r="G23" s="61">
        <f t="shared" si="2"/>
        <v>0</v>
      </c>
      <c r="H23" s="61">
        <f t="shared" si="2"/>
        <v>0</v>
      </c>
      <c r="I23" s="61">
        <f t="shared" si="2"/>
        <v>1486539</v>
      </c>
      <c r="J23" s="61">
        <f t="shared" si="2"/>
        <v>1486539</v>
      </c>
      <c r="K23" s="61">
        <f t="shared" si="2"/>
        <v>0</v>
      </c>
      <c r="L23" s="61">
        <f t="shared" si="2"/>
        <v>0</v>
      </c>
      <c r="M23" s="61">
        <f t="shared" si="2"/>
        <v>0</v>
      </c>
      <c r="N23" s="61">
        <f t="shared" si="2"/>
        <v>1486539</v>
      </c>
      <c r="O23" s="61">
        <f t="shared" si="2"/>
        <v>383743017</v>
      </c>
    </row>
    <row r="24" spans="1:15" ht="27" customHeight="1" x14ac:dyDescent="0.25">
      <c r="A24" s="46" t="s">
        <v>63</v>
      </c>
      <c r="B24" s="46" t="s">
        <v>64</v>
      </c>
      <c r="C24" s="6" t="s">
        <v>171</v>
      </c>
      <c r="D24" s="62">
        <f>'дод 2'!E56</f>
        <v>242937226</v>
      </c>
      <c r="E24" s="62">
        <f>'дод 2'!F56</f>
        <v>242937226</v>
      </c>
      <c r="F24" s="62">
        <f>'дод 2'!G56</f>
        <v>159483510</v>
      </c>
      <c r="G24" s="62">
        <f>'дод 2'!H56</f>
        <v>26923940</v>
      </c>
      <c r="H24" s="62">
        <f>'дод 2'!I56</f>
        <v>0</v>
      </c>
      <c r="I24" s="62">
        <f>'дод 2'!J56</f>
        <v>22916603</v>
      </c>
      <c r="J24" s="62">
        <f>'дод 2'!K56</f>
        <v>6590947</v>
      </c>
      <c r="K24" s="62">
        <f>'дод 2'!L56</f>
        <v>16325656</v>
      </c>
      <c r="L24" s="62">
        <f>'дод 2'!M56</f>
        <v>0</v>
      </c>
      <c r="M24" s="62">
        <f>'дод 2'!N56</f>
        <v>0</v>
      </c>
      <c r="N24" s="62">
        <f>'дод 2'!O56</f>
        <v>6590947</v>
      </c>
      <c r="O24" s="62">
        <f>'дод 2'!P56</f>
        <v>265853829</v>
      </c>
    </row>
    <row r="25" spans="1:15" ht="27" customHeight="1" x14ac:dyDescent="0.25">
      <c r="A25" s="46"/>
      <c r="B25" s="46"/>
      <c r="C25" s="3" t="s">
        <v>308</v>
      </c>
      <c r="D25" s="62">
        <f>'дод 2'!E57</f>
        <v>162879</v>
      </c>
      <c r="E25" s="62">
        <f>'дод 2'!F57</f>
        <v>162879</v>
      </c>
      <c r="F25" s="62">
        <f>'дод 2'!G57</f>
        <v>133510</v>
      </c>
      <c r="G25" s="62">
        <f>'дод 2'!H57</f>
        <v>0</v>
      </c>
      <c r="H25" s="62">
        <f>'дод 2'!I57</f>
        <v>0</v>
      </c>
      <c r="I25" s="62">
        <f>'дод 2'!J57</f>
        <v>80600</v>
      </c>
      <c r="J25" s="62">
        <f>'дод 2'!K57</f>
        <v>80600</v>
      </c>
      <c r="K25" s="62">
        <f>'дод 2'!L57</f>
        <v>0</v>
      </c>
      <c r="L25" s="62">
        <f>'дод 2'!M57</f>
        <v>0</v>
      </c>
      <c r="M25" s="62">
        <f>'дод 2'!N57</f>
        <v>0</v>
      </c>
      <c r="N25" s="62">
        <f>'дод 2'!O57</f>
        <v>80600</v>
      </c>
      <c r="O25" s="62">
        <f>'дод 2'!P57</f>
        <v>243479</v>
      </c>
    </row>
    <row r="26" spans="1:15" ht="55.5" customHeight="1" x14ac:dyDescent="0.25">
      <c r="A26" s="46" t="s">
        <v>65</v>
      </c>
      <c r="B26" s="46" t="s">
        <v>66</v>
      </c>
      <c r="C26" s="6" t="s">
        <v>429</v>
      </c>
      <c r="D26" s="62">
        <f>'дод 2'!E58</f>
        <v>541969603</v>
      </c>
      <c r="E26" s="62">
        <f>'дод 2'!F58</f>
        <v>541969603</v>
      </c>
      <c r="F26" s="62">
        <f>'дод 2'!G58</f>
        <v>378056547</v>
      </c>
      <c r="G26" s="62">
        <f>'дод 2'!H58</f>
        <v>40458440</v>
      </c>
      <c r="H26" s="62">
        <f>'дод 2'!I58</f>
        <v>0</v>
      </c>
      <c r="I26" s="62">
        <f>'дод 2'!J58</f>
        <v>50872804.640000001</v>
      </c>
      <c r="J26" s="62">
        <f>'дод 2'!K58</f>
        <v>21961057.640000001</v>
      </c>
      <c r="K26" s="62">
        <f>'дод 2'!L58</f>
        <v>28911747</v>
      </c>
      <c r="L26" s="62">
        <f>'дод 2'!M58</f>
        <v>1713303</v>
      </c>
      <c r="M26" s="62">
        <f>'дод 2'!N58</f>
        <v>147329</v>
      </c>
      <c r="N26" s="62">
        <f>'дод 2'!O58</f>
        <v>21961057.640000001</v>
      </c>
      <c r="O26" s="62">
        <f>'дод 2'!P58</f>
        <v>592842407.63999999</v>
      </c>
    </row>
    <row r="27" spans="1:15" ht="28.5" customHeight="1" x14ac:dyDescent="0.25">
      <c r="A27" s="46"/>
      <c r="B27" s="46"/>
      <c r="C27" s="3" t="s">
        <v>308</v>
      </c>
      <c r="D27" s="62">
        <f>'дод 2'!E59</f>
        <v>356817929</v>
      </c>
      <c r="E27" s="62">
        <f>'дод 2'!F59</f>
        <v>356817929</v>
      </c>
      <c r="F27" s="62">
        <f>'дод 2'!G59</f>
        <v>286331520</v>
      </c>
      <c r="G27" s="62">
        <f>'дод 2'!H59</f>
        <v>0</v>
      </c>
      <c r="H27" s="62">
        <f>'дод 2'!I59</f>
        <v>0</v>
      </c>
      <c r="I27" s="62">
        <f>'дод 2'!J59</f>
        <v>1405939</v>
      </c>
      <c r="J27" s="62">
        <f>'дод 2'!K59</f>
        <v>1405939</v>
      </c>
      <c r="K27" s="62">
        <f>'дод 2'!L59</f>
        <v>0</v>
      </c>
      <c r="L27" s="62">
        <f>'дод 2'!M59</f>
        <v>0</v>
      </c>
      <c r="M27" s="62">
        <f>'дод 2'!N59</f>
        <v>0</v>
      </c>
      <c r="N27" s="62">
        <f>'дод 2'!O59</f>
        <v>1405939</v>
      </c>
      <c r="O27" s="62">
        <f>'дод 2'!P59</f>
        <v>358223868</v>
      </c>
    </row>
    <row r="28" spans="1:15" ht="75" customHeight="1" x14ac:dyDescent="0.25">
      <c r="A28" s="46">
        <v>1030</v>
      </c>
      <c r="B28" s="46" t="s">
        <v>70</v>
      </c>
      <c r="C28" s="6" t="s">
        <v>430</v>
      </c>
      <c r="D28" s="62">
        <f>'дод 2'!E60</f>
        <v>9418880</v>
      </c>
      <c r="E28" s="62">
        <f>'дод 2'!F60</f>
        <v>9418880</v>
      </c>
      <c r="F28" s="62">
        <f>'дод 2'!G60</f>
        <v>6532300</v>
      </c>
      <c r="G28" s="62">
        <f>'дод 2'!H60</f>
        <v>709270</v>
      </c>
      <c r="H28" s="62">
        <f>'дод 2'!I60</f>
        <v>0</v>
      </c>
      <c r="I28" s="62">
        <f>'дод 2'!J60</f>
        <v>172000</v>
      </c>
      <c r="J28" s="62">
        <f>'дод 2'!K60</f>
        <v>172000</v>
      </c>
      <c r="K28" s="62">
        <f>'дод 2'!L60</f>
        <v>0</v>
      </c>
      <c r="L28" s="62">
        <f>'дод 2'!M60</f>
        <v>0</v>
      </c>
      <c r="M28" s="62">
        <f>'дод 2'!N60</f>
        <v>0</v>
      </c>
      <c r="N28" s="62">
        <f>'дод 2'!O60</f>
        <v>172000</v>
      </c>
      <c r="O28" s="62">
        <f>'дод 2'!P60</f>
        <v>9590880</v>
      </c>
    </row>
    <row r="29" spans="1:15" ht="21.75" customHeight="1" x14ac:dyDescent="0.25">
      <c r="A29" s="46"/>
      <c r="B29" s="46"/>
      <c r="C29" s="3" t="s">
        <v>308</v>
      </c>
      <c r="D29" s="62">
        <f>'дод 2'!E61</f>
        <v>6214300</v>
      </c>
      <c r="E29" s="62">
        <f>'дод 2'!F61</f>
        <v>6214300</v>
      </c>
      <c r="F29" s="62">
        <f>'дод 2'!G61</f>
        <v>5102000</v>
      </c>
      <c r="G29" s="62">
        <f>'дод 2'!H61</f>
        <v>0</v>
      </c>
      <c r="H29" s="62">
        <f>'дод 2'!I61</f>
        <v>0</v>
      </c>
      <c r="I29" s="62">
        <f>'дод 2'!J61</f>
        <v>0</v>
      </c>
      <c r="J29" s="62">
        <f>'дод 2'!K61</f>
        <v>0</v>
      </c>
      <c r="K29" s="62">
        <f>'дод 2'!L61</f>
        <v>0</v>
      </c>
      <c r="L29" s="62">
        <f>'дод 2'!M61</f>
        <v>0</v>
      </c>
      <c r="M29" s="62">
        <f>'дод 2'!N61</f>
        <v>0</v>
      </c>
      <c r="N29" s="62">
        <f>'дод 2'!O61</f>
        <v>0</v>
      </c>
      <c r="O29" s="62">
        <f>'дод 2'!P61</f>
        <v>6214300</v>
      </c>
    </row>
    <row r="30" spans="1:15" ht="40.5" customHeight="1" x14ac:dyDescent="0.25">
      <c r="A30" s="46" t="s">
        <v>71</v>
      </c>
      <c r="B30" s="46" t="s">
        <v>72</v>
      </c>
      <c r="C30" s="6" t="s">
        <v>432</v>
      </c>
      <c r="D30" s="62">
        <f>'дод 2'!E62</f>
        <v>28023440</v>
      </c>
      <c r="E30" s="62">
        <f>'дод 2'!F62</f>
        <v>28023440</v>
      </c>
      <c r="F30" s="62">
        <f>'дод 2'!G62</f>
        <v>19715700</v>
      </c>
      <c r="G30" s="62">
        <f>'дод 2'!H62</f>
        <v>3358190</v>
      </c>
      <c r="H30" s="62">
        <f>'дод 2'!I62</f>
        <v>0</v>
      </c>
      <c r="I30" s="62">
        <f>'дод 2'!J62</f>
        <v>300000</v>
      </c>
      <c r="J30" s="62">
        <f>'дод 2'!K62</f>
        <v>300000</v>
      </c>
      <c r="K30" s="62">
        <f>'дод 2'!L62</f>
        <v>0</v>
      </c>
      <c r="L30" s="62">
        <f>'дод 2'!M62</f>
        <v>0</v>
      </c>
      <c r="M30" s="62">
        <f>'дод 2'!N62</f>
        <v>0</v>
      </c>
      <c r="N30" s="62">
        <f>'дод 2'!O62</f>
        <v>300000</v>
      </c>
      <c r="O30" s="62">
        <f>'дод 2'!P62</f>
        <v>28323440</v>
      </c>
    </row>
    <row r="31" spans="1:15" ht="30.75" customHeight="1" x14ac:dyDescent="0.25">
      <c r="A31" s="46" t="s">
        <v>73</v>
      </c>
      <c r="B31" s="46" t="s">
        <v>72</v>
      </c>
      <c r="C31" s="6" t="s">
        <v>433</v>
      </c>
      <c r="D31" s="62">
        <f>'дод 2'!E126</f>
        <v>39101600</v>
      </c>
      <c r="E31" s="62">
        <f>'дод 2'!F126</f>
        <v>39101600</v>
      </c>
      <c r="F31" s="62">
        <f>'дод 2'!G126</f>
        <v>30830000</v>
      </c>
      <c r="G31" s="62">
        <f>'дод 2'!H126</f>
        <v>793600</v>
      </c>
      <c r="H31" s="62">
        <f>'дод 2'!I126</f>
        <v>0</v>
      </c>
      <c r="I31" s="62">
        <f>'дод 2'!J126</f>
        <v>3321640</v>
      </c>
      <c r="J31" s="62">
        <f>'дод 2'!K126</f>
        <v>542000</v>
      </c>
      <c r="K31" s="62">
        <f>'дод 2'!L126</f>
        <v>2774920</v>
      </c>
      <c r="L31" s="62">
        <f>'дод 2'!M126</f>
        <v>2267316</v>
      </c>
      <c r="M31" s="62">
        <f>'дод 2'!N126</f>
        <v>0</v>
      </c>
      <c r="N31" s="62">
        <f>'дод 2'!O126</f>
        <v>546720</v>
      </c>
      <c r="O31" s="62">
        <f>'дод 2'!P126</f>
        <v>42423240</v>
      </c>
    </row>
    <row r="32" spans="1:15" ht="39.75" customHeight="1" x14ac:dyDescent="0.25">
      <c r="A32" s="46" t="s">
        <v>261</v>
      </c>
      <c r="B32" s="46" t="s">
        <v>74</v>
      </c>
      <c r="C32" s="6" t="s">
        <v>434</v>
      </c>
      <c r="D32" s="62">
        <f>'дод 2'!E63</f>
        <v>116807900</v>
      </c>
      <c r="E32" s="62">
        <f>'дод 2'!F63</f>
        <v>116807900</v>
      </c>
      <c r="F32" s="62">
        <f>'дод 2'!G63</f>
        <v>69744500</v>
      </c>
      <c r="G32" s="62">
        <f>'дод 2'!H63</f>
        <v>11007217</v>
      </c>
      <c r="H32" s="62">
        <f>'дод 2'!I63</f>
        <v>0</v>
      </c>
      <c r="I32" s="62">
        <f>'дод 2'!J63</f>
        <v>8079105</v>
      </c>
      <c r="J32" s="62">
        <f>'дод 2'!K63</f>
        <v>0</v>
      </c>
      <c r="K32" s="62">
        <f>'дод 2'!L63</f>
        <v>7974105</v>
      </c>
      <c r="L32" s="62">
        <f>'дод 2'!M63</f>
        <v>2495573</v>
      </c>
      <c r="M32" s="62">
        <f>'дод 2'!N63</f>
        <v>2976862</v>
      </c>
      <c r="N32" s="62">
        <f>'дод 2'!O63</f>
        <v>105000</v>
      </c>
      <c r="O32" s="62">
        <f>'дод 2'!P63</f>
        <v>124887005</v>
      </c>
    </row>
    <row r="33" spans="1:15" ht="21" customHeight="1" x14ac:dyDescent="0.25">
      <c r="A33" s="46"/>
      <c r="B33" s="46"/>
      <c r="C33" s="3" t="s">
        <v>308</v>
      </c>
      <c r="D33" s="62">
        <f>'дод 2'!E64</f>
        <v>17825000</v>
      </c>
      <c r="E33" s="62">
        <f>'дод 2'!F64</f>
        <v>17825000</v>
      </c>
      <c r="F33" s="62">
        <f>'дод 2'!G64</f>
        <v>14610650</v>
      </c>
      <c r="G33" s="62">
        <f>'дод 2'!H64</f>
        <v>0</v>
      </c>
      <c r="H33" s="62">
        <f>'дод 2'!I64</f>
        <v>0</v>
      </c>
      <c r="I33" s="62">
        <f>'дод 2'!J64</f>
        <v>0</v>
      </c>
      <c r="J33" s="62">
        <f>'дод 2'!K64</f>
        <v>0</v>
      </c>
      <c r="K33" s="62">
        <f>'дод 2'!L64</f>
        <v>0</v>
      </c>
      <c r="L33" s="62">
        <f>'дод 2'!M64</f>
        <v>0</v>
      </c>
      <c r="M33" s="62">
        <f>'дод 2'!N64</f>
        <v>0</v>
      </c>
      <c r="N33" s="62">
        <f>'дод 2'!O64</f>
        <v>0</v>
      </c>
      <c r="O33" s="62">
        <f>'дод 2'!P64</f>
        <v>17825000</v>
      </c>
    </row>
    <row r="34" spans="1:15" ht="33" customHeight="1" x14ac:dyDescent="0.25">
      <c r="A34" s="46" t="s">
        <v>142</v>
      </c>
      <c r="B34" s="46" t="s">
        <v>75</v>
      </c>
      <c r="C34" s="6" t="s">
        <v>435</v>
      </c>
      <c r="D34" s="62">
        <f>'дод 2'!E65</f>
        <v>2893730</v>
      </c>
      <c r="E34" s="62">
        <f>'дод 2'!F65</f>
        <v>2893730</v>
      </c>
      <c r="F34" s="62">
        <f>'дод 2'!G65</f>
        <v>2237500</v>
      </c>
      <c r="G34" s="62">
        <f>'дод 2'!H65</f>
        <v>120380</v>
      </c>
      <c r="H34" s="62">
        <f>'дод 2'!I65</f>
        <v>0</v>
      </c>
      <c r="I34" s="62">
        <f>'дод 2'!J65</f>
        <v>0</v>
      </c>
      <c r="J34" s="62">
        <f>'дод 2'!K65</f>
        <v>0</v>
      </c>
      <c r="K34" s="62">
        <f>'дод 2'!L65</f>
        <v>0</v>
      </c>
      <c r="L34" s="62">
        <f>'дод 2'!M65</f>
        <v>0</v>
      </c>
      <c r="M34" s="62">
        <f>'дод 2'!N65</f>
        <v>0</v>
      </c>
      <c r="N34" s="62">
        <f>'дод 2'!O65</f>
        <v>0</v>
      </c>
      <c r="O34" s="62">
        <f>'дод 2'!P65</f>
        <v>2893730</v>
      </c>
    </row>
    <row r="35" spans="1:15" ht="36" customHeight="1" x14ac:dyDescent="0.25">
      <c r="A35" s="46" t="s">
        <v>327</v>
      </c>
      <c r="B35" s="46" t="s">
        <v>75</v>
      </c>
      <c r="C35" s="6" t="s">
        <v>329</v>
      </c>
      <c r="D35" s="62">
        <f>'дод 2'!E66</f>
        <v>9345170</v>
      </c>
      <c r="E35" s="62">
        <f>'дод 2'!F66</f>
        <v>9345170</v>
      </c>
      <c r="F35" s="62">
        <f>'дод 2'!G66</f>
        <v>6782550</v>
      </c>
      <c r="G35" s="62">
        <f>'дод 2'!H66</f>
        <v>613500</v>
      </c>
      <c r="H35" s="62">
        <f>'дод 2'!I66</f>
        <v>0</v>
      </c>
      <c r="I35" s="62">
        <f>'дод 2'!J66</f>
        <v>432000</v>
      </c>
      <c r="J35" s="62">
        <f>'дод 2'!K66</f>
        <v>432000</v>
      </c>
      <c r="K35" s="62">
        <f>'дод 2'!L66</f>
        <v>0</v>
      </c>
      <c r="L35" s="62">
        <f>'дод 2'!M66</f>
        <v>0</v>
      </c>
      <c r="M35" s="62">
        <f>'дод 2'!N66</f>
        <v>0</v>
      </c>
      <c r="N35" s="62">
        <f>'дод 2'!O66</f>
        <v>432000</v>
      </c>
      <c r="O35" s="62">
        <f>'дод 2'!P66</f>
        <v>9777170</v>
      </c>
    </row>
    <row r="36" spans="1:15" ht="25.5" customHeight="1" x14ac:dyDescent="0.25">
      <c r="A36" s="46" t="s">
        <v>328</v>
      </c>
      <c r="B36" s="46" t="s">
        <v>75</v>
      </c>
      <c r="C36" s="6" t="s">
        <v>330</v>
      </c>
      <c r="D36" s="62">
        <f>'дод 2'!E67</f>
        <v>107400</v>
      </c>
      <c r="E36" s="62">
        <f>'дод 2'!F67</f>
        <v>107400</v>
      </c>
      <c r="F36" s="62">
        <f>'дод 2'!G67</f>
        <v>0</v>
      </c>
      <c r="G36" s="62">
        <f>'дод 2'!H67</f>
        <v>0</v>
      </c>
      <c r="H36" s="62">
        <f>'дод 2'!I67</f>
        <v>0</v>
      </c>
      <c r="I36" s="62">
        <f>'дод 2'!J67</f>
        <v>0</v>
      </c>
      <c r="J36" s="62">
        <f>'дод 2'!K67</f>
        <v>0</v>
      </c>
      <c r="K36" s="62">
        <f>'дод 2'!L67</f>
        <v>0</v>
      </c>
      <c r="L36" s="62">
        <f>'дод 2'!M67</f>
        <v>0</v>
      </c>
      <c r="M36" s="62">
        <f>'дод 2'!N67</f>
        <v>0</v>
      </c>
      <c r="N36" s="62">
        <f>'дод 2'!O67</f>
        <v>0</v>
      </c>
      <c r="O36" s="62">
        <f>'дод 2'!P67</f>
        <v>107400</v>
      </c>
    </row>
    <row r="37" spans="1:15" ht="25.5" customHeight="1" x14ac:dyDescent="0.25">
      <c r="A37" s="46" t="s">
        <v>391</v>
      </c>
      <c r="B37" s="46" t="s">
        <v>75</v>
      </c>
      <c r="C37" s="42" t="s">
        <v>390</v>
      </c>
      <c r="D37" s="62">
        <f>SUM('дод 2'!E68)</f>
        <v>1627940</v>
      </c>
      <c r="E37" s="62">
        <f>SUM('дод 2'!F68)</f>
        <v>1627940</v>
      </c>
      <c r="F37" s="62">
        <f>SUM('дод 2'!G68)</f>
        <v>1224320</v>
      </c>
      <c r="G37" s="62">
        <f>SUM('дод 2'!H68)</f>
        <v>81470</v>
      </c>
      <c r="H37" s="62">
        <f>SUM('дод 2'!I68)</f>
        <v>0</v>
      </c>
      <c r="I37" s="62">
        <f>SUM('дод 2'!J68)</f>
        <v>0</v>
      </c>
      <c r="J37" s="62">
        <f>SUM('дод 2'!K68)</f>
        <v>0</v>
      </c>
      <c r="K37" s="62">
        <f>SUM('дод 2'!L68)</f>
        <v>0</v>
      </c>
      <c r="L37" s="62">
        <f>SUM('дод 2'!M68)</f>
        <v>0</v>
      </c>
      <c r="M37" s="62">
        <f>SUM('дод 2'!N68)</f>
        <v>0</v>
      </c>
      <c r="N37" s="62">
        <f>SUM('дод 2'!O68)</f>
        <v>0</v>
      </c>
      <c r="O37" s="62">
        <f>SUM('дод 2'!P68)</f>
        <v>1627940</v>
      </c>
    </row>
    <row r="38" spans="1:15" ht="15.75" customHeight="1" x14ac:dyDescent="0.25">
      <c r="A38" s="46"/>
      <c r="B38" s="46"/>
      <c r="C38" s="3" t="s">
        <v>308</v>
      </c>
      <c r="D38" s="62">
        <f>'дод 2'!E69</f>
        <v>1236370</v>
      </c>
      <c r="E38" s="62">
        <f>'дод 2'!F69</f>
        <v>1236370</v>
      </c>
      <c r="F38" s="62">
        <f>'дод 2'!G69</f>
        <v>1013420</v>
      </c>
      <c r="G38" s="62">
        <f>'дод 2'!H69</f>
        <v>0</v>
      </c>
      <c r="H38" s="62">
        <f>'дод 2'!I69</f>
        <v>0</v>
      </c>
      <c r="I38" s="62">
        <f>'дод 2'!J69</f>
        <v>0</v>
      </c>
      <c r="J38" s="62">
        <f>'дод 2'!K69</f>
        <v>0</v>
      </c>
      <c r="K38" s="62">
        <f>'дод 2'!L69</f>
        <v>0</v>
      </c>
      <c r="L38" s="62">
        <f>'дод 2'!M69</f>
        <v>0</v>
      </c>
      <c r="M38" s="62">
        <f>'дод 2'!N69</f>
        <v>0</v>
      </c>
      <c r="N38" s="62">
        <f>'дод 2'!O69</f>
        <v>0</v>
      </c>
      <c r="O38" s="62">
        <f>'дод 2'!P69</f>
        <v>1236370</v>
      </c>
    </row>
    <row r="39" spans="1:15" s="82" customFormat="1" ht="19.5" customHeight="1" x14ac:dyDescent="0.25">
      <c r="A39" s="47" t="s">
        <v>76</v>
      </c>
      <c r="B39" s="48"/>
      <c r="C39" s="9" t="s">
        <v>77</v>
      </c>
      <c r="D39" s="61">
        <f>D41+D43+D45+D47+D48+D50+D51</f>
        <v>233360211</v>
      </c>
      <c r="E39" s="61">
        <f t="shared" ref="E39:O39" si="3">E41+E43+E45+E47+E48+E50+E51</f>
        <v>233360211</v>
      </c>
      <c r="F39" s="61">
        <f t="shared" si="3"/>
        <v>0</v>
      </c>
      <c r="G39" s="61">
        <f t="shared" si="3"/>
        <v>0</v>
      </c>
      <c r="H39" s="61">
        <f t="shared" si="3"/>
        <v>0</v>
      </c>
      <c r="I39" s="61">
        <f t="shared" si="3"/>
        <v>71436100</v>
      </c>
      <c r="J39" s="61">
        <f t="shared" si="3"/>
        <v>71436100</v>
      </c>
      <c r="K39" s="61">
        <f t="shared" si="3"/>
        <v>0</v>
      </c>
      <c r="L39" s="61">
        <f t="shared" si="3"/>
        <v>0</v>
      </c>
      <c r="M39" s="61">
        <f t="shared" si="3"/>
        <v>0</v>
      </c>
      <c r="N39" s="61">
        <f t="shared" si="3"/>
        <v>71436100</v>
      </c>
      <c r="O39" s="61">
        <f t="shared" si="3"/>
        <v>304796311</v>
      </c>
    </row>
    <row r="40" spans="1:15" s="82" customFormat="1" ht="23.25" customHeight="1" x14ac:dyDescent="0.25">
      <c r="A40" s="47"/>
      <c r="B40" s="48"/>
      <c r="C40" s="2" t="s">
        <v>308</v>
      </c>
      <c r="D40" s="61">
        <f>D42+D44+D46+D49</f>
        <v>57157811</v>
      </c>
      <c r="E40" s="61">
        <f t="shared" ref="E40:O40" si="4">E42+E44+E46+E49</f>
        <v>57157811</v>
      </c>
      <c r="F40" s="61">
        <f t="shared" si="4"/>
        <v>0</v>
      </c>
      <c r="G40" s="61">
        <f t="shared" si="4"/>
        <v>0</v>
      </c>
      <c r="H40" s="61">
        <f t="shared" si="4"/>
        <v>0</v>
      </c>
      <c r="I40" s="61">
        <f t="shared" si="4"/>
        <v>0</v>
      </c>
      <c r="J40" s="61">
        <f t="shared" si="4"/>
        <v>0</v>
      </c>
      <c r="K40" s="61">
        <f t="shared" si="4"/>
        <v>0</v>
      </c>
      <c r="L40" s="61">
        <f t="shared" si="4"/>
        <v>0</v>
      </c>
      <c r="M40" s="61">
        <f t="shared" si="4"/>
        <v>0</v>
      </c>
      <c r="N40" s="61">
        <f t="shared" si="4"/>
        <v>0</v>
      </c>
      <c r="O40" s="61">
        <f t="shared" si="4"/>
        <v>57157811</v>
      </c>
    </row>
    <row r="41" spans="1:15" ht="31.5" x14ac:dyDescent="0.25">
      <c r="A41" s="46" t="s">
        <v>78</v>
      </c>
      <c r="B41" s="46" t="s">
        <v>79</v>
      </c>
      <c r="C41" s="6" t="s">
        <v>38</v>
      </c>
      <c r="D41" s="62">
        <f>'дод 2'!E82</f>
        <v>119979491</v>
      </c>
      <c r="E41" s="62">
        <f>'дод 2'!F82</f>
        <v>119979491</v>
      </c>
      <c r="F41" s="62">
        <f>'дод 2'!G82</f>
        <v>0</v>
      </c>
      <c r="G41" s="62">
        <f>'дод 2'!H82</f>
        <v>0</v>
      </c>
      <c r="H41" s="62">
        <f>'дод 2'!I82</f>
        <v>0</v>
      </c>
      <c r="I41" s="62">
        <f>'дод 2'!J82</f>
        <v>39265500</v>
      </c>
      <c r="J41" s="62">
        <f>'дод 2'!K82</f>
        <v>39265500</v>
      </c>
      <c r="K41" s="62">
        <f>'дод 2'!L82</f>
        <v>0</v>
      </c>
      <c r="L41" s="62">
        <f>'дод 2'!M82</f>
        <v>0</v>
      </c>
      <c r="M41" s="62">
        <f>'дод 2'!N82</f>
        <v>0</v>
      </c>
      <c r="N41" s="62">
        <f>'дод 2'!O82</f>
        <v>39265500</v>
      </c>
      <c r="O41" s="62">
        <f>'дод 2'!P82</f>
        <v>159244991</v>
      </c>
    </row>
    <row r="42" spans="1:15" ht="15.75" customHeight="1" x14ac:dyDescent="0.25">
      <c r="A42" s="46"/>
      <c r="B42" s="46"/>
      <c r="C42" s="3" t="s">
        <v>308</v>
      </c>
      <c r="D42" s="62">
        <f>'дод 2'!E83</f>
        <v>48187871</v>
      </c>
      <c r="E42" s="62">
        <f>'дод 2'!F83</f>
        <v>48187871</v>
      </c>
      <c r="F42" s="62">
        <f>'дод 2'!G83</f>
        <v>0</v>
      </c>
      <c r="G42" s="62">
        <f>'дод 2'!H83</f>
        <v>0</v>
      </c>
      <c r="H42" s="62">
        <f>'дод 2'!I83</f>
        <v>0</v>
      </c>
      <c r="I42" s="62">
        <f>'дод 2'!J83</f>
        <v>0</v>
      </c>
      <c r="J42" s="62">
        <f>'дод 2'!K83</f>
        <v>0</v>
      </c>
      <c r="K42" s="62">
        <f>'дод 2'!L83</f>
        <v>0</v>
      </c>
      <c r="L42" s="62">
        <f>'дод 2'!M83</f>
        <v>0</v>
      </c>
      <c r="M42" s="62">
        <f>'дод 2'!N83</f>
        <v>0</v>
      </c>
      <c r="N42" s="62">
        <f>'дод 2'!O83</f>
        <v>0</v>
      </c>
      <c r="O42" s="62">
        <f>'дод 2'!P83</f>
        <v>48187871</v>
      </c>
    </row>
    <row r="43" spans="1:15" ht="42.75" customHeight="1" x14ac:dyDescent="0.25">
      <c r="A43" s="46" t="s">
        <v>143</v>
      </c>
      <c r="B43" s="46" t="s">
        <v>80</v>
      </c>
      <c r="C43" s="6" t="s">
        <v>144</v>
      </c>
      <c r="D43" s="62">
        <f>'дод 2'!E84</f>
        <v>15420473</v>
      </c>
      <c r="E43" s="62">
        <f>'дод 2'!F84</f>
        <v>15420473</v>
      </c>
      <c r="F43" s="62">
        <f>'дод 2'!G84</f>
        <v>0</v>
      </c>
      <c r="G43" s="62">
        <f>'дод 2'!H84</f>
        <v>0</v>
      </c>
      <c r="H43" s="62">
        <f>'дод 2'!I84</f>
        <v>0</v>
      </c>
      <c r="I43" s="62">
        <f>'дод 2'!J84</f>
        <v>15040600</v>
      </c>
      <c r="J43" s="62">
        <f>'дод 2'!K84</f>
        <v>15040600</v>
      </c>
      <c r="K43" s="62">
        <f>'дод 2'!L84</f>
        <v>0</v>
      </c>
      <c r="L43" s="62">
        <f>'дод 2'!M84</f>
        <v>0</v>
      </c>
      <c r="M43" s="62">
        <f>'дод 2'!N84</f>
        <v>0</v>
      </c>
      <c r="N43" s="62">
        <f>'дод 2'!O84</f>
        <v>15040600</v>
      </c>
      <c r="O43" s="62">
        <f>'дод 2'!P84</f>
        <v>30461073</v>
      </c>
    </row>
    <row r="44" spans="1:15" ht="24" customHeight="1" x14ac:dyDescent="0.25">
      <c r="A44" s="46"/>
      <c r="B44" s="46"/>
      <c r="C44" s="3" t="s">
        <v>308</v>
      </c>
      <c r="D44" s="62">
        <f>'дод 2'!E85</f>
        <v>6347600</v>
      </c>
      <c r="E44" s="62">
        <f>'дод 2'!F85</f>
        <v>6347600</v>
      </c>
      <c r="F44" s="62">
        <f>'дод 2'!G85</f>
        <v>0</v>
      </c>
      <c r="G44" s="62">
        <f>'дод 2'!H85</f>
        <v>0</v>
      </c>
      <c r="H44" s="62">
        <f>'дод 2'!I85</f>
        <v>0</v>
      </c>
      <c r="I44" s="62">
        <f>'дод 2'!J85</f>
        <v>0</v>
      </c>
      <c r="J44" s="62">
        <f>'дод 2'!K85</f>
        <v>0</v>
      </c>
      <c r="K44" s="62">
        <f>'дод 2'!L85</f>
        <v>0</v>
      </c>
      <c r="L44" s="62">
        <f>'дод 2'!M85</f>
        <v>0</v>
      </c>
      <c r="M44" s="62">
        <f>'дод 2'!N85</f>
        <v>0</v>
      </c>
      <c r="N44" s="62">
        <f>'дод 2'!O85</f>
        <v>0</v>
      </c>
      <c r="O44" s="62">
        <f>'дод 2'!P85</f>
        <v>6347600</v>
      </c>
    </row>
    <row r="45" spans="1:15" ht="25.5" customHeight="1" x14ac:dyDescent="0.25">
      <c r="A45" s="46" t="s">
        <v>145</v>
      </c>
      <c r="B45" s="46" t="s">
        <v>81</v>
      </c>
      <c r="C45" s="6" t="s">
        <v>146</v>
      </c>
      <c r="D45" s="62">
        <f>'дод 2'!E86</f>
        <v>6663426</v>
      </c>
      <c r="E45" s="62">
        <f>'дод 2'!F86</f>
        <v>6663426</v>
      </c>
      <c r="F45" s="62">
        <f>'дод 2'!G86</f>
        <v>0</v>
      </c>
      <c r="G45" s="62">
        <f>'дод 2'!H86</f>
        <v>0</v>
      </c>
      <c r="H45" s="62">
        <f>'дод 2'!I86</f>
        <v>0</v>
      </c>
      <c r="I45" s="62">
        <f>'дод 2'!J86</f>
        <v>1130000</v>
      </c>
      <c r="J45" s="62">
        <f>'дод 2'!K86</f>
        <v>1130000</v>
      </c>
      <c r="K45" s="62">
        <f>'дод 2'!L86</f>
        <v>0</v>
      </c>
      <c r="L45" s="62">
        <f>'дод 2'!M86</f>
        <v>0</v>
      </c>
      <c r="M45" s="62">
        <f>'дод 2'!N86</f>
        <v>0</v>
      </c>
      <c r="N45" s="62">
        <f>'дод 2'!O86</f>
        <v>1130000</v>
      </c>
      <c r="O45" s="62">
        <f>'дод 2'!P86</f>
        <v>7793426</v>
      </c>
    </row>
    <row r="46" spans="1:15" ht="25.5" customHeight="1" x14ac:dyDescent="0.25">
      <c r="A46" s="46"/>
      <c r="B46" s="46"/>
      <c r="C46" s="3" t="s">
        <v>308</v>
      </c>
      <c r="D46" s="62">
        <f>'дод 2'!E87</f>
        <v>1132200</v>
      </c>
      <c r="E46" s="62">
        <f>'дод 2'!F87</f>
        <v>1132200</v>
      </c>
      <c r="F46" s="62">
        <f>'дод 2'!G87</f>
        <v>0</v>
      </c>
      <c r="G46" s="62">
        <f>'дод 2'!H87</f>
        <v>0</v>
      </c>
      <c r="H46" s="62">
        <f>'дод 2'!I87</f>
        <v>0</v>
      </c>
      <c r="I46" s="62">
        <f>'дод 2'!J87</f>
        <v>0</v>
      </c>
      <c r="J46" s="62">
        <f>'дод 2'!K87</f>
        <v>0</v>
      </c>
      <c r="K46" s="62">
        <f>'дод 2'!L87</f>
        <v>0</v>
      </c>
      <c r="L46" s="62">
        <f>'дод 2'!M87</f>
        <v>0</v>
      </c>
      <c r="M46" s="62">
        <f>'дод 2'!N87</f>
        <v>0</v>
      </c>
      <c r="N46" s="62">
        <f>'дод 2'!O87</f>
        <v>0</v>
      </c>
      <c r="O46" s="62">
        <f>'дод 2'!P87</f>
        <v>1132200</v>
      </c>
    </row>
    <row r="47" spans="1:15" ht="54" customHeight="1" x14ac:dyDescent="0.25">
      <c r="A47" s="46" t="s">
        <v>147</v>
      </c>
      <c r="B47" s="46" t="s">
        <v>365</v>
      </c>
      <c r="C47" s="6" t="s">
        <v>148</v>
      </c>
      <c r="D47" s="62">
        <f>'дод 2'!E88</f>
        <v>1882468</v>
      </c>
      <c r="E47" s="62">
        <f>'дод 2'!F88</f>
        <v>1882468</v>
      </c>
      <c r="F47" s="62">
        <f>'дод 2'!G88</f>
        <v>0</v>
      </c>
      <c r="G47" s="62">
        <f>'дод 2'!H88</f>
        <v>0</v>
      </c>
      <c r="H47" s="62">
        <f>'дод 2'!I88</f>
        <v>0</v>
      </c>
      <c r="I47" s="62">
        <f>'дод 2'!J88</f>
        <v>0</v>
      </c>
      <c r="J47" s="62">
        <f>'дод 2'!K88</f>
        <v>0</v>
      </c>
      <c r="K47" s="62">
        <f>'дод 2'!L88</f>
        <v>0</v>
      </c>
      <c r="L47" s="62">
        <f>'дод 2'!M88</f>
        <v>0</v>
      </c>
      <c r="M47" s="62">
        <f>'дод 2'!N88</f>
        <v>0</v>
      </c>
      <c r="N47" s="62">
        <f>'дод 2'!O88</f>
        <v>0</v>
      </c>
      <c r="O47" s="62">
        <f>'дод 2'!P88</f>
        <v>1882468</v>
      </c>
    </row>
    <row r="48" spans="1:15" ht="36.75" customHeight="1" x14ac:dyDescent="0.25">
      <c r="A48" s="49">
        <v>2144</v>
      </c>
      <c r="B48" s="46" t="s">
        <v>82</v>
      </c>
      <c r="C48" s="6" t="s">
        <v>149</v>
      </c>
      <c r="D48" s="62">
        <f>'дод 2'!E89</f>
        <v>3090140</v>
      </c>
      <c r="E48" s="62">
        <f>'дод 2'!F89</f>
        <v>3090140</v>
      </c>
      <c r="F48" s="62">
        <f>'дод 2'!G89</f>
        <v>0</v>
      </c>
      <c r="G48" s="62">
        <f>'дод 2'!H89</f>
        <v>0</v>
      </c>
      <c r="H48" s="62">
        <f>'дод 2'!I89</f>
        <v>0</v>
      </c>
      <c r="I48" s="62">
        <f>'дод 2'!J89</f>
        <v>0</v>
      </c>
      <c r="J48" s="62">
        <f>'дод 2'!K89</f>
        <v>0</v>
      </c>
      <c r="K48" s="62">
        <f>'дод 2'!L89</f>
        <v>0</v>
      </c>
      <c r="L48" s="62">
        <f>'дод 2'!M89</f>
        <v>0</v>
      </c>
      <c r="M48" s="62">
        <f>'дод 2'!N89</f>
        <v>0</v>
      </c>
      <c r="N48" s="62">
        <f>'дод 2'!O89</f>
        <v>0</v>
      </c>
      <c r="O48" s="62">
        <f>'дод 2'!P89</f>
        <v>3090140</v>
      </c>
    </row>
    <row r="49" spans="1:15" ht="24.75" customHeight="1" x14ac:dyDescent="0.25">
      <c r="A49" s="49"/>
      <c r="B49" s="46"/>
      <c r="C49" s="3" t="s">
        <v>308</v>
      </c>
      <c r="D49" s="62">
        <f>'дод 2'!E90</f>
        <v>1490140</v>
      </c>
      <c r="E49" s="62">
        <f>'дод 2'!F90</f>
        <v>1490140</v>
      </c>
      <c r="F49" s="62">
        <f>'дод 2'!G90</f>
        <v>0</v>
      </c>
      <c r="G49" s="62">
        <f>'дод 2'!H90</f>
        <v>0</v>
      </c>
      <c r="H49" s="62">
        <f>'дод 2'!I90</f>
        <v>0</v>
      </c>
      <c r="I49" s="62">
        <f>'дод 2'!J90</f>
        <v>0</v>
      </c>
      <c r="J49" s="62">
        <f>'дод 2'!K90</f>
        <v>0</v>
      </c>
      <c r="K49" s="62">
        <f>'дод 2'!L90</f>
        <v>0</v>
      </c>
      <c r="L49" s="62">
        <f>'дод 2'!M90</f>
        <v>0</v>
      </c>
      <c r="M49" s="62">
        <f>'дод 2'!N90</f>
        <v>0</v>
      </c>
      <c r="N49" s="62">
        <f>'дод 2'!O90</f>
        <v>0</v>
      </c>
      <c r="O49" s="62">
        <f>'дод 2'!P90</f>
        <v>1490140</v>
      </c>
    </row>
    <row r="50" spans="1:15" ht="37.5" customHeight="1" x14ac:dyDescent="0.25">
      <c r="A50" s="46" t="s">
        <v>331</v>
      </c>
      <c r="B50" s="46" t="s">
        <v>82</v>
      </c>
      <c r="C50" s="3" t="s">
        <v>333</v>
      </c>
      <c r="D50" s="62">
        <f>'дод 2'!E91</f>
        <v>2894213</v>
      </c>
      <c r="E50" s="62">
        <f>'дод 2'!F91</f>
        <v>2894213</v>
      </c>
      <c r="F50" s="62">
        <f>'дод 2'!G91</f>
        <v>0</v>
      </c>
      <c r="G50" s="62">
        <f>'дод 2'!H91</f>
        <v>0</v>
      </c>
      <c r="H50" s="62">
        <f>'дод 2'!I91</f>
        <v>0</v>
      </c>
      <c r="I50" s="62">
        <f>'дод 2'!J91</f>
        <v>0</v>
      </c>
      <c r="J50" s="62">
        <f>'дод 2'!K91</f>
        <v>0</v>
      </c>
      <c r="K50" s="62">
        <f>'дод 2'!L91</f>
        <v>0</v>
      </c>
      <c r="L50" s="62">
        <f>'дод 2'!M91</f>
        <v>0</v>
      </c>
      <c r="M50" s="62">
        <f>'дод 2'!N91</f>
        <v>0</v>
      </c>
      <c r="N50" s="62">
        <f>'дод 2'!O91</f>
        <v>0</v>
      </c>
      <c r="O50" s="62">
        <f>'дод 2'!P91</f>
        <v>2894213</v>
      </c>
    </row>
    <row r="51" spans="1:15" ht="21.75" customHeight="1" x14ac:dyDescent="0.25">
      <c r="A51" s="46" t="s">
        <v>332</v>
      </c>
      <c r="B51" s="46" t="s">
        <v>82</v>
      </c>
      <c r="C51" s="3" t="s">
        <v>334</v>
      </c>
      <c r="D51" s="62">
        <f>'дод 2'!E92</f>
        <v>83430000</v>
      </c>
      <c r="E51" s="62">
        <f>'дод 2'!F92</f>
        <v>83430000</v>
      </c>
      <c r="F51" s="62">
        <f>'дод 2'!G92</f>
        <v>0</v>
      </c>
      <c r="G51" s="62">
        <f>'дод 2'!H92</f>
        <v>0</v>
      </c>
      <c r="H51" s="62">
        <f>'дод 2'!I92</f>
        <v>0</v>
      </c>
      <c r="I51" s="62">
        <f>'дод 2'!J92</f>
        <v>16000000</v>
      </c>
      <c r="J51" s="62">
        <f>'дод 2'!K92</f>
        <v>16000000</v>
      </c>
      <c r="K51" s="62">
        <f>'дод 2'!L92</f>
        <v>0</v>
      </c>
      <c r="L51" s="62">
        <f>'дод 2'!M92</f>
        <v>0</v>
      </c>
      <c r="M51" s="62">
        <f>'дод 2'!N92</f>
        <v>0</v>
      </c>
      <c r="N51" s="62">
        <f>'дод 2'!O92</f>
        <v>16000000</v>
      </c>
      <c r="O51" s="62">
        <f>'дод 2'!P92</f>
        <v>99430000</v>
      </c>
    </row>
    <row r="52" spans="1:15" s="82" customFormat="1" ht="34.5" customHeight="1" x14ac:dyDescent="0.25">
      <c r="A52" s="47" t="s">
        <v>83</v>
      </c>
      <c r="B52" s="50"/>
      <c r="C52" s="2" t="s">
        <v>84</v>
      </c>
      <c r="D52" s="61">
        <f>SUM(D53+D54+D55+D56+D57+D58+D59+D60+D61+D62+D63+D64+D65+D66+D67+D68+D69+D70+D71+D72+D73+D74+D75)</f>
        <v>146708581.63</v>
      </c>
      <c r="E52" s="61">
        <f t="shared" ref="E52:O52" si="5">SUM(E53+E54+E55+E56+E57+E58+E59+E60+E61+E62+E63+E64+E65+E66+E67+E68+E69+E70+E71+E72+E73+E74+E75)</f>
        <v>146708581.63</v>
      </c>
      <c r="F52" s="61">
        <f t="shared" si="5"/>
        <v>16632985</v>
      </c>
      <c r="G52" s="61">
        <f t="shared" si="5"/>
        <v>897160</v>
      </c>
      <c r="H52" s="61">
        <f t="shared" si="5"/>
        <v>0</v>
      </c>
      <c r="I52" s="61">
        <f t="shared" si="5"/>
        <v>1287640</v>
      </c>
      <c r="J52" s="61">
        <f t="shared" si="5"/>
        <v>1179540</v>
      </c>
      <c r="K52" s="61">
        <f t="shared" si="5"/>
        <v>108100</v>
      </c>
      <c r="L52" s="61">
        <f t="shared" si="5"/>
        <v>85100</v>
      </c>
      <c r="M52" s="61">
        <f t="shared" si="5"/>
        <v>0</v>
      </c>
      <c r="N52" s="61">
        <f t="shared" si="5"/>
        <v>1179540</v>
      </c>
      <c r="O52" s="61">
        <f t="shared" si="5"/>
        <v>147996221.63</v>
      </c>
    </row>
    <row r="53" spans="1:15" ht="45" customHeight="1" x14ac:dyDescent="0.25">
      <c r="A53" s="46" t="s">
        <v>118</v>
      </c>
      <c r="B53" s="46" t="s">
        <v>67</v>
      </c>
      <c r="C53" s="3" t="s">
        <v>150</v>
      </c>
      <c r="D53" s="62">
        <f>'дод 2'!E99</f>
        <v>582400</v>
      </c>
      <c r="E53" s="62">
        <f>'дод 2'!F99</f>
        <v>582400</v>
      </c>
      <c r="F53" s="62">
        <f>'дод 2'!G99</f>
        <v>0</v>
      </c>
      <c r="G53" s="62">
        <f>'дод 2'!H99</f>
        <v>0</v>
      </c>
      <c r="H53" s="62">
        <f>'дод 2'!I99</f>
        <v>0</v>
      </c>
      <c r="I53" s="62">
        <f>'дод 2'!J99</f>
        <v>0</v>
      </c>
      <c r="J53" s="62">
        <f>'дод 2'!K99</f>
        <v>0</v>
      </c>
      <c r="K53" s="62">
        <f>'дод 2'!L99</f>
        <v>0</v>
      </c>
      <c r="L53" s="62">
        <f>'дод 2'!M99</f>
        <v>0</v>
      </c>
      <c r="M53" s="62">
        <f>'дод 2'!N99</f>
        <v>0</v>
      </c>
      <c r="N53" s="62">
        <f>'дод 2'!O99</f>
        <v>0</v>
      </c>
      <c r="O53" s="62">
        <f>'дод 2'!P99</f>
        <v>582400</v>
      </c>
    </row>
    <row r="54" spans="1:15" ht="41.25" customHeight="1" x14ac:dyDescent="0.25">
      <c r="A54" s="46" t="s">
        <v>151</v>
      </c>
      <c r="B54" s="46" t="s">
        <v>69</v>
      </c>
      <c r="C54" s="3" t="s">
        <v>423</v>
      </c>
      <c r="D54" s="62">
        <f>'дод 2'!E100</f>
        <v>1295124</v>
      </c>
      <c r="E54" s="62">
        <f>'дод 2'!F100</f>
        <v>1295124</v>
      </c>
      <c r="F54" s="62">
        <f>'дод 2'!G100</f>
        <v>0</v>
      </c>
      <c r="G54" s="62">
        <f>'дод 2'!H100</f>
        <v>0</v>
      </c>
      <c r="H54" s="62">
        <f>'дод 2'!I100</f>
        <v>0</v>
      </c>
      <c r="I54" s="62">
        <f>'дод 2'!J100</f>
        <v>0</v>
      </c>
      <c r="J54" s="62">
        <f>'дод 2'!K100</f>
        <v>0</v>
      </c>
      <c r="K54" s="62">
        <f>'дод 2'!L100</f>
        <v>0</v>
      </c>
      <c r="L54" s="62">
        <f>'дод 2'!M100</f>
        <v>0</v>
      </c>
      <c r="M54" s="62">
        <f>'дод 2'!N100</f>
        <v>0</v>
      </c>
      <c r="N54" s="62">
        <f>'дод 2'!O100</f>
        <v>0</v>
      </c>
      <c r="O54" s="62">
        <f>'дод 2'!P100</f>
        <v>1295124</v>
      </c>
    </row>
    <row r="55" spans="1:15" ht="54.75" customHeight="1" x14ac:dyDescent="0.25">
      <c r="A55" s="46" t="s">
        <v>119</v>
      </c>
      <c r="B55" s="46" t="s">
        <v>69</v>
      </c>
      <c r="C55" s="3" t="s">
        <v>55</v>
      </c>
      <c r="D55" s="62">
        <f>'дод 2'!E101+'дод 2'!E22</f>
        <v>26945963.129999999</v>
      </c>
      <c r="E55" s="62">
        <f>'дод 2'!F101+'дод 2'!F22</f>
        <v>26945963.129999999</v>
      </c>
      <c r="F55" s="62">
        <f>'дод 2'!G101+'дод 2'!G22</f>
        <v>0</v>
      </c>
      <c r="G55" s="62">
        <f>'дод 2'!H101+'дод 2'!H22</f>
        <v>0</v>
      </c>
      <c r="H55" s="62">
        <f>'дод 2'!I101+'дод 2'!I22</f>
        <v>0</v>
      </c>
      <c r="I55" s="62">
        <f>'дод 2'!J101+'дод 2'!J22</f>
        <v>0</v>
      </c>
      <c r="J55" s="62">
        <f>'дод 2'!K101+'дод 2'!K22</f>
        <v>0</v>
      </c>
      <c r="K55" s="62">
        <f>'дод 2'!L101+'дод 2'!L22</f>
        <v>0</v>
      </c>
      <c r="L55" s="62">
        <f>'дод 2'!M101+'дод 2'!M22</f>
        <v>0</v>
      </c>
      <c r="M55" s="62">
        <f>'дод 2'!N101+'дод 2'!N22</f>
        <v>0</v>
      </c>
      <c r="N55" s="62">
        <f>'дод 2'!O101+'дод 2'!O22</f>
        <v>0</v>
      </c>
      <c r="O55" s="62">
        <f>'дод 2'!P101+'дод 2'!P22</f>
        <v>26945963.129999999</v>
      </c>
    </row>
    <row r="56" spans="1:15" ht="46.5" customHeight="1" x14ac:dyDescent="0.25">
      <c r="A56" s="46" t="s">
        <v>380</v>
      </c>
      <c r="B56" s="46" t="s">
        <v>69</v>
      </c>
      <c r="C56" s="3" t="s">
        <v>379</v>
      </c>
      <c r="D56" s="62">
        <f>'дод 2'!E102</f>
        <v>1000000</v>
      </c>
      <c r="E56" s="62">
        <f>'дод 2'!F102</f>
        <v>1000000</v>
      </c>
      <c r="F56" s="62">
        <f>'дод 2'!G102</f>
        <v>0</v>
      </c>
      <c r="G56" s="62">
        <f>'дод 2'!H102</f>
        <v>0</v>
      </c>
      <c r="H56" s="62">
        <f>'дод 2'!I102</f>
        <v>0</v>
      </c>
      <c r="I56" s="62">
        <f>'дод 2'!J102</f>
        <v>0</v>
      </c>
      <c r="J56" s="62">
        <f>'дод 2'!K102</f>
        <v>0</v>
      </c>
      <c r="K56" s="62">
        <f>'дод 2'!L102</f>
        <v>0</v>
      </c>
      <c r="L56" s="62">
        <f>'дод 2'!M102</f>
        <v>0</v>
      </c>
      <c r="M56" s="62">
        <f>'дод 2'!N102</f>
        <v>0</v>
      </c>
      <c r="N56" s="62">
        <f>'дод 2'!O102</f>
        <v>0</v>
      </c>
      <c r="O56" s="62">
        <f>'дод 2'!P102</f>
        <v>1000000</v>
      </c>
    </row>
    <row r="57" spans="1:15" ht="45" customHeight="1" x14ac:dyDescent="0.25">
      <c r="A57" s="46" t="s">
        <v>152</v>
      </c>
      <c r="B57" s="46" t="s">
        <v>69</v>
      </c>
      <c r="C57" s="3" t="s">
        <v>25</v>
      </c>
      <c r="D57" s="62">
        <f>'дод 2'!E103+'дод 2'!E23</f>
        <v>41548280.5</v>
      </c>
      <c r="E57" s="62">
        <f>'дод 2'!F103+'дод 2'!F23</f>
        <v>41548280.5</v>
      </c>
      <c r="F57" s="62">
        <f>'дод 2'!G103+'дод 2'!G23</f>
        <v>0</v>
      </c>
      <c r="G57" s="62">
        <f>'дод 2'!H103+'дод 2'!H23</f>
        <v>0</v>
      </c>
      <c r="H57" s="62">
        <f>'дод 2'!I103+'дод 2'!I23</f>
        <v>0</v>
      </c>
      <c r="I57" s="62">
        <f>'дод 2'!J103+'дод 2'!J23</f>
        <v>0</v>
      </c>
      <c r="J57" s="62">
        <f>'дод 2'!K103+'дод 2'!K23</f>
        <v>0</v>
      </c>
      <c r="K57" s="62">
        <f>'дод 2'!L103+'дод 2'!L23</f>
        <v>0</v>
      </c>
      <c r="L57" s="62">
        <f>'дод 2'!M103+'дод 2'!M23</f>
        <v>0</v>
      </c>
      <c r="M57" s="62">
        <f>'дод 2'!N103+'дод 2'!N23</f>
        <v>0</v>
      </c>
      <c r="N57" s="62">
        <f>'дод 2'!O103+'дод 2'!O23</f>
        <v>0</v>
      </c>
      <c r="O57" s="62">
        <f>'дод 2'!P103+'дод 2'!P23</f>
        <v>41548280.5</v>
      </c>
    </row>
    <row r="58" spans="1:15" ht="40.5" customHeight="1" x14ac:dyDescent="0.25">
      <c r="A58" s="46" t="s">
        <v>121</v>
      </c>
      <c r="B58" s="46" t="s">
        <v>69</v>
      </c>
      <c r="C58" s="3" t="s">
        <v>41</v>
      </c>
      <c r="D58" s="62">
        <f>'дод 2'!E104</f>
        <v>853000</v>
      </c>
      <c r="E58" s="62">
        <f>'дод 2'!F104</f>
        <v>853000</v>
      </c>
      <c r="F58" s="62">
        <f>'дод 2'!G104</f>
        <v>0</v>
      </c>
      <c r="G58" s="62">
        <f>'дод 2'!H104</f>
        <v>0</v>
      </c>
      <c r="H58" s="62">
        <f>'дод 2'!I104</f>
        <v>0</v>
      </c>
      <c r="I58" s="62">
        <f>'дод 2'!J104</f>
        <v>0</v>
      </c>
      <c r="J58" s="62">
        <f>'дод 2'!K104</f>
        <v>0</v>
      </c>
      <c r="K58" s="62">
        <f>'дод 2'!L104</f>
        <v>0</v>
      </c>
      <c r="L58" s="62">
        <f>'дод 2'!M104</f>
        <v>0</v>
      </c>
      <c r="M58" s="62">
        <f>'дод 2'!N104</f>
        <v>0</v>
      </c>
      <c r="N58" s="62">
        <f>'дод 2'!O104</f>
        <v>0</v>
      </c>
      <c r="O58" s="62">
        <f>'дод 2'!P104</f>
        <v>853000</v>
      </c>
    </row>
    <row r="59" spans="1:15" ht="40.5" customHeight="1" x14ac:dyDescent="0.25">
      <c r="A59" s="46" t="s">
        <v>368</v>
      </c>
      <c r="B59" s="46" t="s">
        <v>67</v>
      </c>
      <c r="C59" s="3" t="s">
        <v>369</v>
      </c>
      <c r="D59" s="62">
        <f>'дод 2'!E105</f>
        <v>228400</v>
      </c>
      <c r="E59" s="62">
        <f>'дод 2'!F105</f>
        <v>228400</v>
      </c>
      <c r="F59" s="62">
        <f>'дод 2'!G105</f>
        <v>0</v>
      </c>
      <c r="G59" s="62">
        <f>'дод 2'!H105</f>
        <v>0</v>
      </c>
      <c r="H59" s="62">
        <f>'дод 2'!I105</f>
        <v>0</v>
      </c>
      <c r="I59" s="62">
        <f>'дод 2'!J105</f>
        <v>0</v>
      </c>
      <c r="J59" s="62">
        <f>'дод 2'!K105</f>
        <v>0</v>
      </c>
      <c r="K59" s="62">
        <f>'дод 2'!L105</f>
        <v>0</v>
      </c>
      <c r="L59" s="62">
        <f>'дод 2'!M105</f>
        <v>0</v>
      </c>
      <c r="M59" s="62">
        <f>'дод 2'!N105</f>
        <v>0</v>
      </c>
      <c r="N59" s="62">
        <f>'дод 2'!O105</f>
        <v>0</v>
      </c>
      <c r="O59" s="62">
        <f>'дод 2'!P105</f>
        <v>228400</v>
      </c>
    </row>
    <row r="60" spans="1:15" ht="74.25" customHeight="1" x14ac:dyDescent="0.25">
      <c r="A60" s="46" t="s">
        <v>122</v>
      </c>
      <c r="B60" s="46" t="s">
        <v>65</v>
      </c>
      <c r="C60" s="3" t="s">
        <v>42</v>
      </c>
      <c r="D60" s="62">
        <f>'дод 2'!E106</f>
        <v>13559330</v>
      </c>
      <c r="E60" s="62">
        <f>'дод 2'!F106</f>
        <v>13559330</v>
      </c>
      <c r="F60" s="62">
        <f>'дод 2'!G106</f>
        <v>10389550</v>
      </c>
      <c r="G60" s="62">
        <f>'дод 2'!H106</f>
        <v>230060</v>
      </c>
      <c r="H60" s="62">
        <f>'дод 2'!I106</f>
        <v>0</v>
      </c>
      <c r="I60" s="62">
        <f>'дод 2'!J106</f>
        <v>471000</v>
      </c>
      <c r="J60" s="62">
        <f>'дод 2'!K106</f>
        <v>362900</v>
      </c>
      <c r="K60" s="62">
        <f>'дод 2'!L106</f>
        <v>108100</v>
      </c>
      <c r="L60" s="62">
        <f>'дод 2'!M106</f>
        <v>85100</v>
      </c>
      <c r="M60" s="62">
        <f>'дод 2'!N106</f>
        <v>0</v>
      </c>
      <c r="N60" s="62">
        <f>'дод 2'!O106</f>
        <v>362900</v>
      </c>
      <c r="O60" s="62">
        <f>'дод 2'!P106</f>
        <v>14030330</v>
      </c>
    </row>
    <row r="61" spans="1:15" ht="69.75" customHeight="1" x14ac:dyDescent="0.25">
      <c r="A61" s="46" t="s">
        <v>392</v>
      </c>
      <c r="B61" s="46" t="s">
        <v>120</v>
      </c>
      <c r="C61" s="42" t="s">
        <v>393</v>
      </c>
      <c r="D61" s="62">
        <f>SUM('дод 2'!E121)</f>
        <v>0</v>
      </c>
      <c r="E61" s="62">
        <f>SUM('дод 2'!F121)</f>
        <v>0</v>
      </c>
      <c r="F61" s="62">
        <f>SUM('дод 2'!G121)</f>
        <v>0</v>
      </c>
      <c r="G61" s="62">
        <f>SUM('дод 2'!H121)</f>
        <v>0</v>
      </c>
      <c r="H61" s="62">
        <f>SUM('дод 2'!I121)</f>
        <v>0</v>
      </c>
      <c r="I61" s="62">
        <f>SUM('дод 2'!J121)</f>
        <v>20000</v>
      </c>
      <c r="J61" s="62">
        <f>SUM('дод 2'!K121)</f>
        <v>20000</v>
      </c>
      <c r="K61" s="62">
        <f>SUM('дод 2'!L121)</f>
        <v>0</v>
      </c>
      <c r="L61" s="62">
        <f>SUM('дод 2'!M121)</f>
        <v>0</v>
      </c>
      <c r="M61" s="62">
        <f>SUM('дод 2'!N121)</f>
        <v>0</v>
      </c>
      <c r="N61" s="62">
        <f>SUM('дод 2'!O121)</f>
        <v>20000</v>
      </c>
      <c r="O61" s="62">
        <f>SUM('дод 2'!P121)</f>
        <v>20000</v>
      </c>
    </row>
    <row r="62" spans="1:15" s="84" customFormat="1" ht="43.5" customHeight="1" x14ac:dyDescent="0.25">
      <c r="A62" s="46" t="s">
        <v>123</v>
      </c>
      <c r="B62" s="46" t="s">
        <v>120</v>
      </c>
      <c r="C62" s="3" t="s">
        <v>43</v>
      </c>
      <c r="D62" s="62">
        <f>'дод 2'!E122</f>
        <v>90500</v>
      </c>
      <c r="E62" s="62">
        <f>'дод 2'!F122</f>
        <v>90500</v>
      </c>
      <c r="F62" s="62">
        <f>'дод 2'!G122</f>
        <v>0</v>
      </c>
      <c r="G62" s="62">
        <f>'дод 2'!H122</f>
        <v>0</v>
      </c>
      <c r="H62" s="62">
        <f>'дод 2'!I122</f>
        <v>0</v>
      </c>
      <c r="I62" s="62">
        <f>'дод 2'!J122</f>
        <v>0</v>
      </c>
      <c r="J62" s="62">
        <f>'дод 2'!K122</f>
        <v>0</v>
      </c>
      <c r="K62" s="62">
        <f>'дод 2'!L122</f>
        <v>0</v>
      </c>
      <c r="L62" s="62">
        <f>'дод 2'!M122</f>
        <v>0</v>
      </c>
      <c r="M62" s="62">
        <f>'дод 2'!N122</f>
        <v>0</v>
      </c>
      <c r="N62" s="62">
        <f>'дод 2'!O122</f>
        <v>0</v>
      </c>
      <c r="O62" s="62">
        <f>'дод 2'!P122</f>
        <v>90500</v>
      </c>
    </row>
    <row r="63" spans="1:15" s="84" customFormat="1" ht="42.75" customHeight="1" x14ac:dyDescent="0.25">
      <c r="A63" s="46" t="s">
        <v>153</v>
      </c>
      <c r="B63" s="46" t="s">
        <v>120</v>
      </c>
      <c r="C63" s="3" t="s">
        <v>154</v>
      </c>
      <c r="D63" s="62">
        <f>'дод 2'!E24</f>
        <v>2529735</v>
      </c>
      <c r="E63" s="62">
        <f>'дод 2'!F24</f>
        <v>2529735</v>
      </c>
      <c r="F63" s="62">
        <f>'дод 2'!G24</f>
        <v>1883250</v>
      </c>
      <c r="G63" s="62">
        <f>'дод 2'!H24</f>
        <v>50170</v>
      </c>
      <c r="H63" s="62">
        <f>'дод 2'!I24</f>
        <v>0</v>
      </c>
      <c r="I63" s="62">
        <f>'дод 2'!J24</f>
        <v>0</v>
      </c>
      <c r="J63" s="62">
        <f>'дод 2'!K24</f>
        <v>0</v>
      </c>
      <c r="K63" s="62">
        <f>'дод 2'!L24</f>
        <v>0</v>
      </c>
      <c r="L63" s="62">
        <f>'дод 2'!M24</f>
        <v>0</v>
      </c>
      <c r="M63" s="62">
        <f>'дод 2'!N24</f>
        <v>0</v>
      </c>
      <c r="N63" s="62">
        <f>'дод 2'!O24</f>
        <v>0</v>
      </c>
      <c r="O63" s="62">
        <f>'дод 2'!P24</f>
        <v>2529735</v>
      </c>
    </row>
    <row r="64" spans="1:15" s="84" customFormat="1" ht="57" customHeight="1" x14ac:dyDescent="0.25">
      <c r="A64" s="49" t="s">
        <v>127</v>
      </c>
      <c r="B64" s="49" t="s">
        <v>120</v>
      </c>
      <c r="C64" s="3" t="s">
        <v>401</v>
      </c>
      <c r="D64" s="62">
        <f>'дод 2'!E25</f>
        <v>850000</v>
      </c>
      <c r="E64" s="62">
        <f>'дод 2'!F25</f>
        <v>850000</v>
      </c>
      <c r="F64" s="62">
        <f>'дод 2'!G25</f>
        <v>0</v>
      </c>
      <c r="G64" s="62">
        <f>'дод 2'!H25</f>
        <v>0</v>
      </c>
      <c r="H64" s="62">
        <f>'дод 2'!I25</f>
        <v>0</v>
      </c>
      <c r="I64" s="62">
        <f>'дод 2'!J25</f>
        <v>0</v>
      </c>
      <c r="J64" s="62">
        <f>'дод 2'!K25</f>
        <v>0</v>
      </c>
      <c r="K64" s="62">
        <f>'дод 2'!L25</f>
        <v>0</v>
      </c>
      <c r="L64" s="62">
        <f>'дод 2'!M25</f>
        <v>0</v>
      </c>
      <c r="M64" s="62">
        <f>'дод 2'!N25</f>
        <v>0</v>
      </c>
      <c r="N64" s="62">
        <f>'дод 2'!O25</f>
        <v>0</v>
      </c>
      <c r="O64" s="62">
        <f>'дод 2'!P25</f>
        <v>850000</v>
      </c>
    </row>
    <row r="65" spans="1:15" ht="75" customHeight="1" x14ac:dyDescent="0.25">
      <c r="A65" s="46" t="s">
        <v>128</v>
      </c>
      <c r="B65" s="46" t="s">
        <v>120</v>
      </c>
      <c r="C65" s="6" t="s">
        <v>28</v>
      </c>
      <c r="D65" s="62">
        <f>'дод 2'!E70+'дод 2'!E26</f>
        <v>7560000</v>
      </c>
      <c r="E65" s="62">
        <f>'дод 2'!F70+'дод 2'!F26</f>
        <v>7560000</v>
      </c>
      <c r="F65" s="62">
        <f>'дод 2'!G70+'дод 2'!G26</f>
        <v>0</v>
      </c>
      <c r="G65" s="62">
        <f>'дод 2'!H70+'дод 2'!H26</f>
        <v>0</v>
      </c>
      <c r="H65" s="62">
        <f>'дод 2'!I70+'дод 2'!I26</f>
        <v>0</v>
      </c>
      <c r="I65" s="62">
        <f>'дод 2'!J70+'дод 2'!J26</f>
        <v>0</v>
      </c>
      <c r="J65" s="62">
        <f>'дод 2'!K70+'дод 2'!K26</f>
        <v>0</v>
      </c>
      <c r="K65" s="62">
        <f>'дод 2'!L70+'дод 2'!L26</f>
        <v>0</v>
      </c>
      <c r="L65" s="62">
        <f>'дод 2'!M70+'дод 2'!M26</f>
        <v>0</v>
      </c>
      <c r="M65" s="62">
        <f>'дод 2'!N70+'дод 2'!N26</f>
        <v>0</v>
      </c>
      <c r="N65" s="62">
        <f>'дод 2'!O70+'дод 2'!O26</f>
        <v>0</v>
      </c>
      <c r="O65" s="62">
        <f>'дод 2'!P70+'дод 2'!P26</f>
        <v>7560000</v>
      </c>
    </row>
    <row r="66" spans="1:15" ht="92.25" customHeight="1" x14ac:dyDescent="0.25">
      <c r="A66" s="46" t="s">
        <v>129</v>
      </c>
      <c r="B66" s="46">
        <v>1010</v>
      </c>
      <c r="C66" s="3" t="s">
        <v>335</v>
      </c>
      <c r="D66" s="62">
        <f>'дод 2'!E107</f>
        <v>1895000</v>
      </c>
      <c r="E66" s="62">
        <f>'дод 2'!F107</f>
        <v>1895000</v>
      </c>
      <c r="F66" s="62">
        <f>'дод 2'!G107</f>
        <v>0</v>
      </c>
      <c r="G66" s="62">
        <f>'дод 2'!H107</f>
        <v>0</v>
      </c>
      <c r="H66" s="62">
        <f>'дод 2'!I107</f>
        <v>0</v>
      </c>
      <c r="I66" s="62">
        <f>'дод 2'!J107</f>
        <v>0</v>
      </c>
      <c r="J66" s="62">
        <f>'дод 2'!K107</f>
        <v>0</v>
      </c>
      <c r="K66" s="62">
        <f>'дод 2'!L107</f>
        <v>0</v>
      </c>
      <c r="L66" s="62">
        <f>'дод 2'!M107</f>
        <v>0</v>
      </c>
      <c r="M66" s="62">
        <f>'дод 2'!N107</f>
        <v>0</v>
      </c>
      <c r="N66" s="62">
        <f>'дод 2'!O107</f>
        <v>0</v>
      </c>
      <c r="O66" s="62">
        <f>'дод 2'!P107</f>
        <v>1895000</v>
      </c>
    </row>
    <row r="67" spans="1:15" s="84" customFormat="1" ht="53.25" customHeight="1" x14ac:dyDescent="0.25">
      <c r="A67" s="46" t="s">
        <v>370</v>
      </c>
      <c r="B67" s="46">
        <v>1010</v>
      </c>
      <c r="C67" s="3" t="s">
        <v>372</v>
      </c>
      <c r="D67" s="62">
        <f>'дод 2'!E108</f>
        <v>228095</v>
      </c>
      <c r="E67" s="62">
        <f>'дод 2'!F108</f>
        <v>228095</v>
      </c>
      <c r="F67" s="62">
        <f>'дод 2'!G108</f>
        <v>0</v>
      </c>
      <c r="G67" s="62">
        <f>'дод 2'!H108</f>
        <v>0</v>
      </c>
      <c r="H67" s="62">
        <f>'дод 2'!I108</f>
        <v>0</v>
      </c>
      <c r="I67" s="62">
        <f>'дод 2'!J108</f>
        <v>0</v>
      </c>
      <c r="J67" s="62">
        <f>'дод 2'!K108</f>
        <v>0</v>
      </c>
      <c r="K67" s="62">
        <f>'дод 2'!L108</f>
        <v>0</v>
      </c>
      <c r="L67" s="62">
        <f>'дод 2'!M108</f>
        <v>0</v>
      </c>
      <c r="M67" s="62">
        <f>'дод 2'!N108</f>
        <v>0</v>
      </c>
      <c r="N67" s="62">
        <f>'дод 2'!O108</f>
        <v>0</v>
      </c>
      <c r="O67" s="62">
        <f>'дод 2'!P108</f>
        <v>228095</v>
      </c>
    </row>
    <row r="68" spans="1:15" s="84" customFormat="1" ht="38.25" customHeight="1" x14ac:dyDescent="0.25">
      <c r="A68" s="46" t="s">
        <v>371</v>
      </c>
      <c r="B68" s="46">
        <v>1010</v>
      </c>
      <c r="C68" s="3" t="s">
        <v>373</v>
      </c>
      <c r="D68" s="62">
        <f>'дод 2'!E109</f>
        <v>90</v>
      </c>
      <c r="E68" s="62">
        <f>'дод 2'!F109</f>
        <v>90</v>
      </c>
      <c r="F68" s="62">
        <f>'дод 2'!G109</f>
        <v>0</v>
      </c>
      <c r="G68" s="62">
        <f>'дод 2'!H109</f>
        <v>0</v>
      </c>
      <c r="H68" s="62">
        <f>'дод 2'!I109</f>
        <v>0</v>
      </c>
      <c r="I68" s="62">
        <f>'дод 2'!J109</f>
        <v>0</v>
      </c>
      <c r="J68" s="62">
        <f>'дод 2'!K109</f>
        <v>0</v>
      </c>
      <c r="K68" s="62">
        <f>'дод 2'!L109</f>
        <v>0</v>
      </c>
      <c r="L68" s="62">
        <f>'дод 2'!M109</f>
        <v>0</v>
      </c>
      <c r="M68" s="62">
        <f>'дод 2'!N109</f>
        <v>0</v>
      </c>
      <c r="N68" s="62">
        <f>'дод 2'!O109</f>
        <v>0</v>
      </c>
      <c r="O68" s="62">
        <f>'дод 2'!P109</f>
        <v>90</v>
      </c>
    </row>
    <row r="69" spans="1:15" ht="77.25" customHeight="1" x14ac:dyDescent="0.25">
      <c r="A69" s="46" t="s">
        <v>124</v>
      </c>
      <c r="B69" s="46" t="s">
        <v>68</v>
      </c>
      <c r="C69" s="3" t="s">
        <v>402</v>
      </c>
      <c r="D69" s="62">
        <f>'дод 2'!E110</f>
        <v>2075000</v>
      </c>
      <c r="E69" s="62">
        <f>'дод 2'!F110</f>
        <v>2075000</v>
      </c>
      <c r="F69" s="62">
        <f>'дод 2'!G110</f>
        <v>0</v>
      </c>
      <c r="G69" s="62">
        <f>'дод 2'!H110</f>
        <v>0</v>
      </c>
      <c r="H69" s="62">
        <f>'дод 2'!I110</f>
        <v>0</v>
      </c>
      <c r="I69" s="62">
        <f>'дод 2'!J110</f>
        <v>0</v>
      </c>
      <c r="J69" s="62">
        <f>'дод 2'!K110</f>
        <v>0</v>
      </c>
      <c r="K69" s="62">
        <f>'дод 2'!L110</f>
        <v>0</v>
      </c>
      <c r="L69" s="62">
        <f>'дод 2'!M110</f>
        <v>0</v>
      </c>
      <c r="M69" s="62">
        <f>'дод 2'!N110</f>
        <v>0</v>
      </c>
      <c r="N69" s="62">
        <f>'дод 2'!O110</f>
        <v>0</v>
      </c>
      <c r="O69" s="62">
        <f>'дод 2'!P110</f>
        <v>2075000</v>
      </c>
    </row>
    <row r="70" spans="1:15" s="84" customFormat="1" ht="36.75" customHeight="1" x14ac:dyDescent="0.25">
      <c r="A70" s="46" t="s">
        <v>336</v>
      </c>
      <c r="B70" s="46" t="s">
        <v>67</v>
      </c>
      <c r="C70" s="3" t="s">
        <v>24</v>
      </c>
      <c r="D70" s="62">
        <f>'дод 2'!E111</f>
        <v>2178000</v>
      </c>
      <c r="E70" s="62">
        <f>'дод 2'!F111</f>
        <v>2178000</v>
      </c>
      <c r="F70" s="62">
        <f>'дод 2'!G111</f>
        <v>0</v>
      </c>
      <c r="G70" s="62">
        <f>'дод 2'!H111</f>
        <v>0</v>
      </c>
      <c r="H70" s="62">
        <f>'дод 2'!I111</f>
        <v>0</v>
      </c>
      <c r="I70" s="62">
        <f>'дод 2'!J111</f>
        <v>0</v>
      </c>
      <c r="J70" s="62">
        <f>'дод 2'!K111</f>
        <v>0</v>
      </c>
      <c r="K70" s="62">
        <f>'дод 2'!L111</f>
        <v>0</v>
      </c>
      <c r="L70" s="62">
        <f>'дод 2'!M111</f>
        <v>0</v>
      </c>
      <c r="M70" s="62">
        <f>'дод 2'!N111</f>
        <v>0</v>
      </c>
      <c r="N70" s="62">
        <f>'дод 2'!O111</f>
        <v>0</v>
      </c>
      <c r="O70" s="62">
        <f>'дод 2'!P111</f>
        <v>2178000</v>
      </c>
    </row>
    <row r="71" spans="1:15" s="84" customFormat="1" ht="55.5" customHeight="1" x14ac:dyDescent="0.25">
      <c r="A71" s="46" t="s">
        <v>337</v>
      </c>
      <c r="B71" s="46" t="s">
        <v>67</v>
      </c>
      <c r="C71" s="3" t="s">
        <v>366</v>
      </c>
      <c r="D71" s="62">
        <f>'дод 2'!E112</f>
        <v>1892237</v>
      </c>
      <c r="E71" s="62">
        <f>'дод 2'!F112</f>
        <v>1892237</v>
      </c>
      <c r="F71" s="62">
        <f>'дод 2'!G112</f>
        <v>0</v>
      </c>
      <c r="G71" s="62">
        <f>'дод 2'!H112</f>
        <v>0</v>
      </c>
      <c r="H71" s="62">
        <f>'дод 2'!I112</f>
        <v>0</v>
      </c>
      <c r="I71" s="62">
        <f>'дод 2'!J112</f>
        <v>0</v>
      </c>
      <c r="J71" s="62">
        <f>'дод 2'!K112</f>
        <v>0</v>
      </c>
      <c r="K71" s="62">
        <f>'дод 2'!L112</f>
        <v>0</v>
      </c>
      <c r="L71" s="62">
        <f>'дод 2'!M112</f>
        <v>0</v>
      </c>
      <c r="M71" s="62">
        <f>'дод 2'!N112</f>
        <v>0</v>
      </c>
      <c r="N71" s="62">
        <f>'дод 2'!O112</f>
        <v>0</v>
      </c>
      <c r="O71" s="62">
        <f>'дод 2'!P112</f>
        <v>1892237</v>
      </c>
    </row>
    <row r="72" spans="1:15" ht="43.5" customHeight="1" x14ac:dyDescent="0.25">
      <c r="A72" s="46" t="s">
        <v>125</v>
      </c>
      <c r="B72" s="46" t="s">
        <v>71</v>
      </c>
      <c r="C72" s="3" t="s">
        <v>403</v>
      </c>
      <c r="D72" s="62">
        <f>'дод 2'!E113</f>
        <v>86500</v>
      </c>
      <c r="E72" s="62">
        <f>'дод 2'!F113</f>
        <v>86500</v>
      </c>
      <c r="F72" s="62">
        <f>'дод 2'!G113</f>
        <v>0</v>
      </c>
      <c r="G72" s="62">
        <f>'дод 2'!H113</f>
        <v>0</v>
      </c>
      <c r="H72" s="62">
        <f>'дод 2'!I113</f>
        <v>0</v>
      </c>
      <c r="I72" s="62">
        <f>'дод 2'!J113</f>
        <v>0</v>
      </c>
      <c r="J72" s="62">
        <f>'дод 2'!K113</f>
        <v>0</v>
      </c>
      <c r="K72" s="62">
        <f>'дод 2'!L113</f>
        <v>0</v>
      </c>
      <c r="L72" s="62">
        <f>'дод 2'!M113</f>
        <v>0</v>
      </c>
      <c r="M72" s="62">
        <f>'дод 2'!N113</f>
        <v>0</v>
      </c>
      <c r="N72" s="62">
        <f>'дод 2'!O113</f>
        <v>0</v>
      </c>
      <c r="O72" s="62">
        <f>'дод 2'!P113</f>
        <v>86500</v>
      </c>
    </row>
    <row r="73" spans="1:15" ht="27.75" customHeight="1" x14ac:dyDescent="0.25">
      <c r="A73" s="46" t="s">
        <v>338</v>
      </c>
      <c r="B73" s="46" t="s">
        <v>126</v>
      </c>
      <c r="C73" s="3" t="s">
        <v>50</v>
      </c>
      <c r="D73" s="62">
        <f>'дод 2'!E114+'дод 2'!E137</f>
        <v>600000</v>
      </c>
      <c r="E73" s="62">
        <f>'дод 2'!F114+'дод 2'!F137</f>
        <v>600000</v>
      </c>
      <c r="F73" s="62">
        <f>'дод 2'!G114+'дод 2'!G137</f>
        <v>163935</v>
      </c>
      <c r="G73" s="62">
        <f>'дод 2'!H114+'дод 2'!H137</f>
        <v>0</v>
      </c>
      <c r="H73" s="62">
        <f>'дод 2'!I114+'дод 2'!I137</f>
        <v>0</v>
      </c>
      <c r="I73" s="62">
        <f>'дод 2'!J114+'дод 2'!J137</f>
        <v>0</v>
      </c>
      <c r="J73" s="62">
        <f>'дод 2'!K114+'дод 2'!K137</f>
        <v>0</v>
      </c>
      <c r="K73" s="62">
        <f>'дод 2'!L114+'дод 2'!L137</f>
        <v>0</v>
      </c>
      <c r="L73" s="62">
        <f>'дод 2'!M114+'дод 2'!M137</f>
        <v>0</v>
      </c>
      <c r="M73" s="62">
        <f>'дод 2'!N114+'дод 2'!N137</f>
        <v>0</v>
      </c>
      <c r="N73" s="62">
        <f>'дод 2'!O114+'дод 2'!O137</f>
        <v>0</v>
      </c>
      <c r="O73" s="62">
        <f>'дод 2'!P114+'дод 2'!P137</f>
        <v>600000</v>
      </c>
    </row>
    <row r="74" spans="1:15" s="84" customFormat="1" ht="32.25" customHeight="1" x14ac:dyDescent="0.25">
      <c r="A74" s="46" t="s">
        <v>339</v>
      </c>
      <c r="B74" s="46" t="s">
        <v>71</v>
      </c>
      <c r="C74" s="3" t="s">
        <v>341</v>
      </c>
      <c r="D74" s="62">
        <f>'дод 2'!E115+'дод 2'!E27</f>
        <v>6696301</v>
      </c>
      <c r="E74" s="62">
        <f>'дод 2'!F115+'дод 2'!F27</f>
        <v>6696301</v>
      </c>
      <c r="F74" s="62">
        <f>'дод 2'!G115+'дод 2'!G27</f>
        <v>4196250</v>
      </c>
      <c r="G74" s="62">
        <f>'дод 2'!H115+'дод 2'!H27</f>
        <v>616930</v>
      </c>
      <c r="H74" s="62">
        <f>'дод 2'!I115+'дод 2'!I27</f>
        <v>0</v>
      </c>
      <c r="I74" s="62">
        <f>'дод 2'!J115+'дод 2'!J27</f>
        <v>761000</v>
      </c>
      <c r="J74" s="62">
        <f>'дод 2'!K115+'дод 2'!K27</f>
        <v>761000</v>
      </c>
      <c r="K74" s="62">
        <f>'дод 2'!L115+'дод 2'!L27</f>
        <v>0</v>
      </c>
      <c r="L74" s="62">
        <f>'дод 2'!M115+'дод 2'!M27</f>
        <v>0</v>
      </c>
      <c r="M74" s="62">
        <f>'дод 2'!N115+'дод 2'!N27</f>
        <v>0</v>
      </c>
      <c r="N74" s="62">
        <f>'дод 2'!O115+'дод 2'!O27</f>
        <v>761000</v>
      </c>
      <c r="O74" s="62">
        <f>'дод 2'!P115+'дод 2'!P27</f>
        <v>7457301</v>
      </c>
    </row>
    <row r="75" spans="1:15" s="84" customFormat="1" ht="31.5" customHeight="1" x14ac:dyDescent="0.25">
      <c r="A75" s="46" t="s">
        <v>340</v>
      </c>
      <c r="B75" s="46" t="s">
        <v>71</v>
      </c>
      <c r="C75" s="3" t="s">
        <v>342</v>
      </c>
      <c r="D75" s="62">
        <f>'дод 2'!E71+'дод 2'!E116+'дод 2'!E28</f>
        <v>34014626</v>
      </c>
      <c r="E75" s="62">
        <f>'дод 2'!F71+'дод 2'!F116+'дод 2'!F28</f>
        <v>34014626</v>
      </c>
      <c r="F75" s="62">
        <f>'дод 2'!G71+'дод 2'!G116+'дод 2'!G28</f>
        <v>0</v>
      </c>
      <c r="G75" s="62">
        <f>'дод 2'!H71+'дод 2'!H116+'дод 2'!H28</f>
        <v>0</v>
      </c>
      <c r="H75" s="62">
        <f>'дод 2'!I71+'дод 2'!I116+'дод 2'!I28</f>
        <v>0</v>
      </c>
      <c r="I75" s="62">
        <f>'дод 2'!J71+'дод 2'!J116+'дод 2'!J28</f>
        <v>35640</v>
      </c>
      <c r="J75" s="62">
        <f>'дод 2'!K71+'дод 2'!K116+'дод 2'!K28</f>
        <v>35640</v>
      </c>
      <c r="K75" s="62">
        <f>'дод 2'!L71+'дод 2'!L116+'дод 2'!L28</f>
        <v>0</v>
      </c>
      <c r="L75" s="62">
        <f>'дод 2'!M71+'дод 2'!M116+'дод 2'!M28</f>
        <v>0</v>
      </c>
      <c r="M75" s="62">
        <f>'дод 2'!N71+'дод 2'!N116+'дод 2'!N28</f>
        <v>0</v>
      </c>
      <c r="N75" s="62">
        <f>'дод 2'!O71+'дод 2'!O116+'дод 2'!O28</f>
        <v>35640</v>
      </c>
      <c r="O75" s="62">
        <f>'дод 2'!P71+'дод 2'!P116+'дод 2'!P28</f>
        <v>34050266</v>
      </c>
    </row>
    <row r="76" spans="1:15" s="82" customFormat="1" ht="19.5" customHeight="1" x14ac:dyDescent="0.25">
      <c r="A76" s="47" t="s">
        <v>90</v>
      </c>
      <c r="B76" s="50"/>
      <c r="C76" s="2" t="s">
        <v>91</v>
      </c>
      <c r="D76" s="61">
        <f t="shared" ref="D76:O76" si="6">D77+D78+D79+D80</f>
        <v>32704815</v>
      </c>
      <c r="E76" s="61">
        <f t="shared" si="6"/>
        <v>32704815</v>
      </c>
      <c r="F76" s="61">
        <f t="shared" si="6"/>
        <v>19079400</v>
      </c>
      <c r="G76" s="61">
        <f t="shared" si="6"/>
        <v>2209260</v>
      </c>
      <c r="H76" s="61">
        <f t="shared" si="6"/>
        <v>0</v>
      </c>
      <c r="I76" s="61">
        <f t="shared" si="6"/>
        <v>623495</v>
      </c>
      <c r="J76" s="61">
        <f t="shared" si="6"/>
        <v>587495</v>
      </c>
      <c r="K76" s="61">
        <f t="shared" si="6"/>
        <v>36000</v>
      </c>
      <c r="L76" s="61">
        <f t="shared" si="6"/>
        <v>12100</v>
      </c>
      <c r="M76" s="61">
        <f t="shared" si="6"/>
        <v>3300</v>
      </c>
      <c r="N76" s="61">
        <f t="shared" si="6"/>
        <v>587495</v>
      </c>
      <c r="O76" s="61">
        <f t="shared" si="6"/>
        <v>33328310</v>
      </c>
    </row>
    <row r="77" spans="1:15" ht="22.5" customHeight="1" x14ac:dyDescent="0.25">
      <c r="A77" s="46" t="s">
        <v>92</v>
      </c>
      <c r="B77" s="46" t="s">
        <v>93</v>
      </c>
      <c r="C77" s="3" t="s">
        <v>21</v>
      </c>
      <c r="D77" s="62">
        <f>'дод 2'!E127</f>
        <v>19294735</v>
      </c>
      <c r="E77" s="62">
        <f>'дод 2'!F127</f>
        <v>19294735</v>
      </c>
      <c r="F77" s="62">
        <f>'дод 2'!G127</f>
        <v>13804000</v>
      </c>
      <c r="G77" s="62">
        <f>'дод 2'!H127</f>
        <v>1346200</v>
      </c>
      <c r="H77" s="62">
        <f>'дод 2'!I127</f>
        <v>0</v>
      </c>
      <c r="I77" s="62">
        <f>'дод 2'!J127</f>
        <v>346795</v>
      </c>
      <c r="J77" s="62">
        <f>'дод 2'!K127</f>
        <v>316795</v>
      </c>
      <c r="K77" s="62">
        <f>'дод 2'!L127</f>
        <v>30000</v>
      </c>
      <c r="L77" s="62">
        <f>'дод 2'!M127</f>
        <v>12100</v>
      </c>
      <c r="M77" s="62">
        <f>'дод 2'!N127</f>
        <v>0</v>
      </c>
      <c r="N77" s="62">
        <f>'дод 2'!O127</f>
        <v>316795</v>
      </c>
      <c r="O77" s="62">
        <f>'дод 2'!P127</f>
        <v>19641530</v>
      </c>
    </row>
    <row r="78" spans="1:15" ht="33.75" customHeight="1" x14ac:dyDescent="0.25">
      <c r="A78" s="46" t="s">
        <v>376</v>
      </c>
      <c r="B78" s="46" t="s">
        <v>377</v>
      </c>
      <c r="C78" s="3" t="s">
        <v>378</v>
      </c>
      <c r="D78" s="62">
        <f>'дод 2'!E29+'дод 2'!E128</f>
        <v>5203480</v>
      </c>
      <c r="E78" s="62">
        <f>'дод 2'!F29+'дод 2'!F128</f>
        <v>5203480</v>
      </c>
      <c r="F78" s="62">
        <f>'дод 2'!G29+'дод 2'!G128</f>
        <v>2522400</v>
      </c>
      <c r="G78" s="62">
        <f>'дод 2'!H29+'дод 2'!H128</f>
        <v>738960</v>
      </c>
      <c r="H78" s="62">
        <f>'дод 2'!I29+'дод 2'!I128</f>
        <v>0</v>
      </c>
      <c r="I78" s="62">
        <f>'дод 2'!J29+'дод 2'!J128</f>
        <v>52700</v>
      </c>
      <c r="J78" s="62">
        <f>'дод 2'!K29+'дод 2'!K128</f>
        <v>46700</v>
      </c>
      <c r="K78" s="62">
        <f>'дод 2'!L29+'дод 2'!L128</f>
        <v>6000</v>
      </c>
      <c r="L78" s="62">
        <f>'дод 2'!M29+'дод 2'!M128</f>
        <v>0</v>
      </c>
      <c r="M78" s="62">
        <f>'дод 2'!N29+'дод 2'!N128</f>
        <v>3300</v>
      </c>
      <c r="N78" s="62">
        <f>'дод 2'!O29+'дод 2'!O128</f>
        <v>46700</v>
      </c>
      <c r="O78" s="62">
        <f>'дод 2'!P29+'дод 2'!P128</f>
        <v>5256180</v>
      </c>
    </row>
    <row r="79" spans="1:15" s="84" customFormat="1" ht="39.75" customHeight="1" x14ac:dyDescent="0.25">
      <c r="A79" s="46" t="s">
        <v>343</v>
      </c>
      <c r="B79" s="46" t="s">
        <v>94</v>
      </c>
      <c r="C79" s="3" t="s">
        <v>404</v>
      </c>
      <c r="D79" s="62">
        <f>'дод 2'!E30+'дод 2'!E129</f>
        <v>5240900</v>
      </c>
      <c r="E79" s="62">
        <f>'дод 2'!F30+'дод 2'!F129</f>
        <v>5240900</v>
      </c>
      <c r="F79" s="62">
        <f>'дод 2'!G30+'дод 2'!G129</f>
        <v>2753000</v>
      </c>
      <c r="G79" s="62">
        <f>'дод 2'!H30+'дод 2'!H129</f>
        <v>124100</v>
      </c>
      <c r="H79" s="62">
        <f>'дод 2'!I30+'дод 2'!I129</f>
        <v>0</v>
      </c>
      <c r="I79" s="62">
        <f>'дод 2'!J30+'дод 2'!J129</f>
        <v>224000</v>
      </c>
      <c r="J79" s="62">
        <f>'дод 2'!K30+'дод 2'!K129</f>
        <v>224000</v>
      </c>
      <c r="K79" s="62">
        <f>'дод 2'!L30+'дод 2'!L129</f>
        <v>0</v>
      </c>
      <c r="L79" s="62">
        <f>'дод 2'!M30+'дод 2'!M129</f>
        <v>0</v>
      </c>
      <c r="M79" s="62">
        <f>'дод 2'!N30+'дод 2'!N129</f>
        <v>0</v>
      </c>
      <c r="N79" s="62">
        <f>'дод 2'!O30+'дод 2'!O129</f>
        <v>224000</v>
      </c>
      <c r="O79" s="62">
        <f>'дод 2'!P30+'дод 2'!P129</f>
        <v>5464900</v>
      </c>
    </row>
    <row r="80" spans="1:15" s="84" customFormat="1" ht="30" customHeight="1" x14ac:dyDescent="0.25">
      <c r="A80" s="46" t="s">
        <v>344</v>
      </c>
      <c r="B80" s="46" t="s">
        <v>94</v>
      </c>
      <c r="C80" s="3" t="s">
        <v>345</v>
      </c>
      <c r="D80" s="62">
        <f>'дод 2'!E31+'дод 2'!E130</f>
        <v>2965700</v>
      </c>
      <c r="E80" s="62">
        <f>'дод 2'!F31+'дод 2'!F130</f>
        <v>2965700</v>
      </c>
      <c r="F80" s="62">
        <f>'дод 2'!G31+'дод 2'!G130</f>
        <v>0</v>
      </c>
      <c r="G80" s="62">
        <f>'дод 2'!H31+'дод 2'!H130</f>
        <v>0</v>
      </c>
      <c r="H80" s="62">
        <f>'дод 2'!I31+'дод 2'!I130</f>
        <v>0</v>
      </c>
      <c r="I80" s="62">
        <f>'дод 2'!J31+'дод 2'!J130</f>
        <v>0</v>
      </c>
      <c r="J80" s="62">
        <f>'дод 2'!K31+'дод 2'!K130</f>
        <v>0</v>
      </c>
      <c r="K80" s="62">
        <f>'дод 2'!L31+'дод 2'!L130</f>
        <v>0</v>
      </c>
      <c r="L80" s="62">
        <f>'дод 2'!M31+'дод 2'!M130</f>
        <v>0</v>
      </c>
      <c r="M80" s="62">
        <f>'дод 2'!N31+'дод 2'!N130</f>
        <v>0</v>
      </c>
      <c r="N80" s="62">
        <f>'дод 2'!O31+'дод 2'!O130</f>
        <v>0</v>
      </c>
      <c r="O80" s="62">
        <f>'дод 2'!P31+'дод 2'!P130</f>
        <v>2965700</v>
      </c>
    </row>
    <row r="81" spans="1:15" s="82" customFormat="1" ht="21.75" customHeight="1" x14ac:dyDescent="0.25">
      <c r="A81" s="47" t="s">
        <v>97</v>
      </c>
      <c r="B81" s="50"/>
      <c r="C81" s="2" t="s">
        <v>98</v>
      </c>
      <c r="D81" s="61">
        <f t="shared" ref="D81:O81" si="7">D82+D83+D84+D85+D86+D87</f>
        <v>46652470</v>
      </c>
      <c r="E81" s="61">
        <f t="shared" si="7"/>
        <v>46652470</v>
      </c>
      <c r="F81" s="61">
        <f t="shared" si="7"/>
        <v>17286800</v>
      </c>
      <c r="G81" s="61">
        <f t="shared" si="7"/>
        <v>1430790</v>
      </c>
      <c r="H81" s="61">
        <f t="shared" si="7"/>
        <v>0</v>
      </c>
      <c r="I81" s="61">
        <f t="shared" si="7"/>
        <v>2700570</v>
      </c>
      <c r="J81" s="61">
        <f t="shared" si="7"/>
        <v>2521450</v>
      </c>
      <c r="K81" s="61">
        <f t="shared" si="7"/>
        <v>179120</v>
      </c>
      <c r="L81" s="61">
        <f t="shared" si="7"/>
        <v>91105</v>
      </c>
      <c r="M81" s="61">
        <f t="shared" si="7"/>
        <v>51050</v>
      </c>
      <c r="N81" s="61">
        <f t="shared" si="7"/>
        <v>2521450</v>
      </c>
      <c r="O81" s="61">
        <f t="shared" si="7"/>
        <v>49353040</v>
      </c>
    </row>
    <row r="82" spans="1:15" s="84" customFormat="1" ht="43.5" customHeight="1" x14ac:dyDescent="0.25">
      <c r="A82" s="46" t="s">
        <v>99</v>
      </c>
      <c r="B82" s="46" t="s">
        <v>100</v>
      </c>
      <c r="C82" s="3" t="s">
        <v>29</v>
      </c>
      <c r="D82" s="62">
        <f>'дод 2'!E32</f>
        <v>1761000</v>
      </c>
      <c r="E82" s="62">
        <f>'дод 2'!F32</f>
        <v>1761000</v>
      </c>
      <c r="F82" s="62">
        <f>'дод 2'!G32</f>
        <v>0</v>
      </c>
      <c r="G82" s="62">
        <f>'дод 2'!H32</f>
        <v>0</v>
      </c>
      <c r="H82" s="62">
        <f>'дод 2'!I32</f>
        <v>0</v>
      </c>
      <c r="I82" s="62">
        <f>'дод 2'!J32</f>
        <v>0</v>
      </c>
      <c r="J82" s="62">
        <f>'дод 2'!K32</f>
        <v>0</v>
      </c>
      <c r="K82" s="62">
        <f>'дод 2'!L32</f>
        <v>0</v>
      </c>
      <c r="L82" s="62">
        <f>'дод 2'!M32</f>
        <v>0</v>
      </c>
      <c r="M82" s="62">
        <f>'дод 2'!N32</f>
        <v>0</v>
      </c>
      <c r="N82" s="62">
        <f>'дод 2'!O32</f>
        <v>0</v>
      </c>
      <c r="O82" s="62">
        <f>'дод 2'!P32</f>
        <v>1761000</v>
      </c>
    </row>
    <row r="83" spans="1:15" s="84" customFormat="1" ht="39.75" customHeight="1" x14ac:dyDescent="0.25">
      <c r="A83" s="46" t="s">
        <v>101</v>
      </c>
      <c r="B83" s="46" t="s">
        <v>100</v>
      </c>
      <c r="C83" s="3" t="s">
        <v>22</v>
      </c>
      <c r="D83" s="62">
        <f>'дод 2'!E33</f>
        <v>2275000</v>
      </c>
      <c r="E83" s="62">
        <f>'дод 2'!F33</f>
        <v>2275000</v>
      </c>
      <c r="F83" s="62">
        <f>'дод 2'!G33</f>
        <v>0</v>
      </c>
      <c r="G83" s="62">
        <f>'дод 2'!H33</f>
        <v>0</v>
      </c>
      <c r="H83" s="62">
        <f>'дод 2'!I33</f>
        <v>0</v>
      </c>
      <c r="I83" s="62">
        <f>'дод 2'!J33</f>
        <v>0</v>
      </c>
      <c r="J83" s="62">
        <f>'дод 2'!K33</f>
        <v>0</v>
      </c>
      <c r="K83" s="62">
        <f>'дод 2'!L33</f>
        <v>0</v>
      </c>
      <c r="L83" s="62">
        <f>'дод 2'!M33</f>
        <v>0</v>
      </c>
      <c r="M83" s="62">
        <f>'дод 2'!N33</f>
        <v>0</v>
      </c>
      <c r="N83" s="62">
        <f>'дод 2'!O33</f>
        <v>0</v>
      </c>
      <c r="O83" s="62">
        <f>'дод 2'!P33</f>
        <v>2275000</v>
      </c>
    </row>
    <row r="84" spans="1:15" s="84" customFormat="1" ht="36.75" customHeight="1" x14ac:dyDescent="0.25">
      <c r="A84" s="46" t="s">
        <v>137</v>
      </c>
      <c r="B84" s="46" t="s">
        <v>100</v>
      </c>
      <c r="C84" s="3" t="s">
        <v>30</v>
      </c>
      <c r="D84" s="62">
        <f>'дод 2'!E72+'дод 2'!E34</f>
        <v>20343330</v>
      </c>
      <c r="E84" s="62">
        <f>'дод 2'!F72+'дод 2'!F34</f>
        <v>20343330</v>
      </c>
      <c r="F84" s="62">
        <f>'дод 2'!G72+'дод 2'!G34</f>
        <v>14839900</v>
      </c>
      <c r="G84" s="62">
        <f>'дод 2'!H72+'дод 2'!H34</f>
        <v>1060690</v>
      </c>
      <c r="H84" s="62">
        <f>'дод 2'!I72+'дод 2'!I34</f>
        <v>0</v>
      </c>
      <c r="I84" s="62">
        <f>'дод 2'!J72+'дод 2'!J34</f>
        <v>1478000</v>
      </c>
      <c r="J84" s="62">
        <f>'дод 2'!K72+'дод 2'!K34</f>
        <v>1478000</v>
      </c>
      <c r="K84" s="62">
        <f>'дод 2'!L72+'дод 2'!L34</f>
        <v>0</v>
      </c>
      <c r="L84" s="62">
        <f>'дод 2'!M72+'дод 2'!M34</f>
        <v>0</v>
      </c>
      <c r="M84" s="62">
        <f>'дод 2'!N72+'дод 2'!N34</f>
        <v>0</v>
      </c>
      <c r="N84" s="62">
        <f>'дод 2'!O72+'дод 2'!O34</f>
        <v>1478000</v>
      </c>
      <c r="O84" s="62">
        <f>'дод 2'!P72+'дод 2'!P34</f>
        <v>21821330</v>
      </c>
    </row>
    <row r="85" spans="1:15" s="84" customFormat="1" ht="31.5" customHeight="1" x14ac:dyDescent="0.25">
      <c r="A85" s="46" t="s">
        <v>138</v>
      </c>
      <c r="B85" s="46" t="s">
        <v>100</v>
      </c>
      <c r="C85" s="3" t="s">
        <v>31</v>
      </c>
      <c r="D85" s="62">
        <f>'дод 2'!E35</f>
        <v>11306630</v>
      </c>
      <c r="E85" s="62">
        <f>'дод 2'!F35</f>
        <v>11306630</v>
      </c>
      <c r="F85" s="62">
        <f>'дод 2'!G35</f>
        <v>0</v>
      </c>
      <c r="G85" s="62">
        <f>'дод 2'!H35</f>
        <v>0</v>
      </c>
      <c r="H85" s="62">
        <f>'дод 2'!I35</f>
        <v>0</v>
      </c>
      <c r="I85" s="62">
        <f>'дод 2'!J35</f>
        <v>100000</v>
      </c>
      <c r="J85" s="62">
        <f>'дод 2'!K35</f>
        <v>100000</v>
      </c>
      <c r="K85" s="62">
        <f>'дод 2'!L35</f>
        <v>0</v>
      </c>
      <c r="L85" s="62">
        <f>'дод 2'!M35</f>
        <v>0</v>
      </c>
      <c r="M85" s="62">
        <f>'дод 2'!N35</f>
        <v>0</v>
      </c>
      <c r="N85" s="62">
        <f>'дод 2'!O35</f>
        <v>100000</v>
      </c>
      <c r="O85" s="62">
        <f>'дод 2'!P35</f>
        <v>11406630</v>
      </c>
    </row>
    <row r="86" spans="1:15" s="84" customFormat="1" ht="60" customHeight="1" x14ac:dyDescent="0.25">
      <c r="A86" s="46" t="s">
        <v>133</v>
      </c>
      <c r="B86" s="46" t="s">
        <v>100</v>
      </c>
      <c r="C86" s="3" t="s">
        <v>134</v>
      </c>
      <c r="D86" s="62">
        <f>'дод 2'!E36</f>
        <v>3943120</v>
      </c>
      <c r="E86" s="62">
        <f>'дод 2'!F36</f>
        <v>3943120</v>
      </c>
      <c r="F86" s="62">
        <f>'дод 2'!G36</f>
        <v>2446900</v>
      </c>
      <c r="G86" s="62">
        <f>'дод 2'!H36</f>
        <v>370100</v>
      </c>
      <c r="H86" s="62">
        <f>'дод 2'!I36</f>
        <v>0</v>
      </c>
      <c r="I86" s="62">
        <f>'дод 2'!J36</f>
        <v>1079120</v>
      </c>
      <c r="J86" s="62">
        <f>'дод 2'!K36</f>
        <v>900000</v>
      </c>
      <c r="K86" s="62">
        <f>'дод 2'!L36</f>
        <v>179120</v>
      </c>
      <c r="L86" s="62">
        <f>'дод 2'!M36</f>
        <v>91105</v>
      </c>
      <c r="M86" s="62">
        <f>'дод 2'!N36</f>
        <v>51050</v>
      </c>
      <c r="N86" s="62">
        <f>'дод 2'!O36</f>
        <v>900000</v>
      </c>
      <c r="O86" s="62">
        <f>'дод 2'!P36</f>
        <v>5022240</v>
      </c>
    </row>
    <row r="87" spans="1:15" s="84" customFormat="1" ht="42" customHeight="1" x14ac:dyDescent="0.25">
      <c r="A87" s="46" t="s">
        <v>136</v>
      </c>
      <c r="B87" s="46" t="s">
        <v>100</v>
      </c>
      <c r="C87" s="3" t="s">
        <v>135</v>
      </c>
      <c r="D87" s="62">
        <f>'дод 2'!E37</f>
        <v>7023390</v>
      </c>
      <c r="E87" s="62">
        <f>'дод 2'!F37</f>
        <v>7023390</v>
      </c>
      <c r="F87" s="62">
        <f>'дод 2'!G37</f>
        <v>0</v>
      </c>
      <c r="G87" s="62">
        <f>'дод 2'!H37</f>
        <v>0</v>
      </c>
      <c r="H87" s="62">
        <f>'дод 2'!I37</f>
        <v>0</v>
      </c>
      <c r="I87" s="62">
        <f>'дод 2'!J37</f>
        <v>43450</v>
      </c>
      <c r="J87" s="62">
        <f>'дод 2'!K37</f>
        <v>43450</v>
      </c>
      <c r="K87" s="62">
        <f>'дод 2'!L37</f>
        <v>0</v>
      </c>
      <c r="L87" s="62">
        <f>'дод 2'!M37</f>
        <v>0</v>
      </c>
      <c r="M87" s="62">
        <f>'дод 2'!N37</f>
        <v>0</v>
      </c>
      <c r="N87" s="62">
        <f>'дод 2'!O37</f>
        <v>43450</v>
      </c>
      <c r="O87" s="62">
        <f>'дод 2'!P37</f>
        <v>7066840</v>
      </c>
    </row>
    <row r="88" spans="1:15" s="82" customFormat="1" ht="27" customHeight="1" x14ac:dyDescent="0.25">
      <c r="A88" s="47" t="s">
        <v>85</v>
      </c>
      <c r="B88" s="50"/>
      <c r="C88" s="2" t="s">
        <v>86</v>
      </c>
      <c r="D88" s="61">
        <f>D89+D90+D91+D92+D93+D94+D95+D96</f>
        <v>242974657.95999998</v>
      </c>
      <c r="E88" s="61">
        <f t="shared" ref="E88:O88" si="8">E89+E90+E91+E92+E93+E94+E95+E96</f>
        <v>207790219.95999998</v>
      </c>
      <c r="F88" s="61">
        <f t="shared" si="8"/>
        <v>0</v>
      </c>
      <c r="G88" s="61">
        <f t="shared" si="8"/>
        <v>27897106</v>
      </c>
      <c r="H88" s="61">
        <f t="shared" si="8"/>
        <v>35184438</v>
      </c>
      <c r="I88" s="61">
        <f t="shared" si="8"/>
        <v>78004232.75999999</v>
      </c>
      <c r="J88" s="61">
        <f t="shared" si="8"/>
        <v>77846529.699999988</v>
      </c>
      <c r="K88" s="61">
        <f t="shared" si="8"/>
        <v>0</v>
      </c>
      <c r="L88" s="61">
        <f t="shared" si="8"/>
        <v>0</v>
      </c>
      <c r="M88" s="61">
        <f t="shared" si="8"/>
        <v>0</v>
      </c>
      <c r="N88" s="61">
        <f t="shared" si="8"/>
        <v>78004232.75999999</v>
      </c>
      <c r="O88" s="61">
        <f t="shared" si="8"/>
        <v>320978890.72000003</v>
      </c>
    </row>
    <row r="89" spans="1:15" s="84" customFormat="1" ht="33.75" customHeight="1" x14ac:dyDescent="0.25">
      <c r="A89" s="46" t="s">
        <v>155</v>
      </c>
      <c r="B89" s="46" t="s">
        <v>87</v>
      </c>
      <c r="C89" s="3" t="s">
        <v>156</v>
      </c>
      <c r="D89" s="62">
        <f>'дод 2'!E138</f>
        <v>0</v>
      </c>
      <c r="E89" s="62">
        <f>'дод 2'!F138</f>
        <v>0</v>
      </c>
      <c r="F89" s="62">
        <f>'дод 2'!G138</f>
        <v>0</v>
      </c>
      <c r="G89" s="62">
        <f>'дод 2'!H138</f>
        <v>0</v>
      </c>
      <c r="H89" s="62">
        <f>'дод 2'!I138</f>
        <v>0</v>
      </c>
      <c r="I89" s="62">
        <f>'дод 2'!J138</f>
        <v>10918067.93</v>
      </c>
      <c r="J89" s="62">
        <f>'дод 2'!K138</f>
        <v>10888067.93</v>
      </c>
      <c r="K89" s="62">
        <f>'дод 2'!L138</f>
        <v>0</v>
      </c>
      <c r="L89" s="62">
        <f>'дод 2'!M138</f>
        <v>0</v>
      </c>
      <c r="M89" s="62">
        <f>'дод 2'!N138</f>
        <v>0</v>
      </c>
      <c r="N89" s="62">
        <f>'дод 2'!O138</f>
        <v>10918067.93</v>
      </c>
      <c r="O89" s="62">
        <f>'дод 2'!P138</f>
        <v>10918067.93</v>
      </c>
    </row>
    <row r="90" spans="1:15" s="84" customFormat="1" ht="36.75" customHeight="1" x14ac:dyDescent="0.25">
      <c r="A90" s="46" t="s">
        <v>157</v>
      </c>
      <c r="B90" s="46" t="s">
        <v>89</v>
      </c>
      <c r="C90" s="3" t="s">
        <v>178</v>
      </c>
      <c r="D90" s="62">
        <f>'дод 2'!E139</f>
        <v>30925000</v>
      </c>
      <c r="E90" s="62">
        <f>'дод 2'!F139</f>
        <v>425000</v>
      </c>
      <c r="F90" s="62">
        <f>'дод 2'!G139</f>
        <v>0</v>
      </c>
      <c r="G90" s="62">
        <f>'дод 2'!H139</f>
        <v>0</v>
      </c>
      <c r="H90" s="62">
        <f>'дод 2'!I139</f>
        <v>30500000</v>
      </c>
      <c r="I90" s="62">
        <f>'дод 2'!J139</f>
        <v>1721000</v>
      </c>
      <c r="J90" s="62">
        <f>'дод 2'!K139</f>
        <v>1721000</v>
      </c>
      <c r="K90" s="62">
        <f>'дод 2'!L139</f>
        <v>0</v>
      </c>
      <c r="L90" s="62">
        <f>'дод 2'!M139</f>
        <v>0</v>
      </c>
      <c r="M90" s="62">
        <f>'дод 2'!N139</f>
        <v>0</v>
      </c>
      <c r="N90" s="62">
        <f>'дод 2'!O139</f>
        <v>1721000</v>
      </c>
      <c r="O90" s="62">
        <f>'дод 2'!P139</f>
        <v>32646000</v>
      </c>
    </row>
    <row r="91" spans="1:15" s="84" customFormat="1" ht="36.75" customHeight="1" x14ac:dyDescent="0.25">
      <c r="A91" s="49" t="s">
        <v>302</v>
      </c>
      <c r="B91" s="49" t="s">
        <v>89</v>
      </c>
      <c r="C91" s="3" t="s">
        <v>303</v>
      </c>
      <c r="D91" s="62">
        <f>'дод 2'!E140</f>
        <v>193887</v>
      </c>
      <c r="E91" s="62">
        <f>'дод 2'!F140</f>
        <v>193887</v>
      </c>
      <c r="F91" s="62">
        <f>'дод 2'!G140</f>
        <v>0</v>
      </c>
      <c r="G91" s="62">
        <f>'дод 2'!H140</f>
        <v>0</v>
      </c>
      <c r="H91" s="62">
        <f>'дод 2'!I140</f>
        <v>0</v>
      </c>
      <c r="I91" s="62">
        <f>'дод 2'!J140</f>
        <v>13408448.83</v>
      </c>
      <c r="J91" s="62">
        <f>'дод 2'!K140</f>
        <v>13358448.83</v>
      </c>
      <c r="K91" s="62">
        <f>'дод 2'!L140</f>
        <v>0</v>
      </c>
      <c r="L91" s="62">
        <f>'дод 2'!M140</f>
        <v>0</v>
      </c>
      <c r="M91" s="62">
        <f>'дод 2'!N140</f>
        <v>0</v>
      </c>
      <c r="N91" s="62">
        <f>'дод 2'!O140</f>
        <v>13408448.83</v>
      </c>
      <c r="O91" s="62">
        <f>'дод 2'!P140</f>
        <v>13602335.83</v>
      </c>
    </row>
    <row r="92" spans="1:15" s="84" customFormat="1" ht="33" customHeight="1" x14ac:dyDescent="0.25">
      <c r="A92" s="46" t="s">
        <v>305</v>
      </c>
      <c r="B92" s="46" t="s">
        <v>89</v>
      </c>
      <c r="C92" s="3" t="s">
        <v>405</v>
      </c>
      <c r="D92" s="62">
        <f>'дод 2'!E141</f>
        <v>1600000</v>
      </c>
      <c r="E92" s="62">
        <f>'дод 2'!F141</f>
        <v>1600000</v>
      </c>
      <c r="F92" s="62">
        <f>'дод 2'!G141</f>
        <v>0</v>
      </c>
      <c r="G92" s="62">
        <f>'дод 2'!H141</f>
        <v>0</v>
      </c>
      <c r="H92" s="62">
        <f>'дод 2'!I141</f>
        <v>0</v>
      </c>
      <c r="I92" s="62">
        <f>'дод 2'!J141</f>
        <v>0</v>
      </c>
      <c r="J92" s="62">
        <f>'дод 2'!K141</f>
        <v>0</v>
      </c>
      <c r="K92" s="62">
        <f>'дод 2'!L141</f>
        <v>0</v>
      </c>
      <c r="L92" s="62">
        <f>'дод 2'!M141</f>
        <v>0</v>
      </c>
      <c r="M92" s="62">
        <f>'дод 2'!N141</f>
        <v>0</v>
      </c>
      <c r="N92" s="62">
        <f>'дод 2'!O141</f>
        <v>0</v>
      </c>
      <c r="O92" s="62">
        <f>'дод 2'!P141</f>
        <v>1600000</v>
      </c>
    </row>
    <row r="93" spans="1:15" s="84" customFormat="1" ht="52.5" customHeight="1" x14ac:dyDescent="0.25">
      <c r="A93" s="46" t="s">
        <v>88</v>
      </c>
      <c r="B93" s="46" t="s">
        <v>89</v>
      </c>
      <c r="C93" s="3" t="s">
        <v>160</v>
      </c>
      <c r="D93" s="62">
        <f>'дод 2'!E142</f>
        <v>4595232</v>
      </c>
      <c r="E93" s="62">
        <f>'дод 2'!F142</f>
        <v>0</v>
      </c>
      <c r="F93" s="62">
        <f>'дод 2'!G142</f>
        <v>0</v>
      </c>
      <c r="G93" s="62">
        <f>'дод 2'!H142</f>
        <v>0</v>
      </c>
      <c r="H93" s="62">
        <f>'дод 2'!I142</f>
        <v>4595232</v>
      </c>
      <c r="I93" s="62">
        <f>'дод 2'!J142</f>
        <v>0</v>
      </c>
      <c r="J93" s="62">
        <f>'дод 2'!K142</f>
        <v>0</v>
      </c>
      <c r="K93" s="62">
        <f>'дод 2'!L142</f>
        <v>0</v>
      </c>
      <c r="L93" s="62">
        <f>'дод 2'!M142</f>
        <v>0</v>
      </c>
      <c r="M93" s="62">
        <f>'дод 2'!N142</f>
        <v>0</v>
      </c>
      <c r="N93" s="62">
        <f>'дод 2'!O142</f>
        <v>0</v>
      </c>
      <c r="O93" s="62">
        <f>'дод 2'!P142</f>
        <v>4595232</v>
      </c>
    </row>
    <row r="94" spans="1:15" ht="30" customHeight="1" x14ac:dyDescent="0.25">
      <c r="A94" s="46" t="s">
        <v>158</v>
      </c>
      <c r="B94" s="46" t="s">
        <v>89</v>
      </c>
      <c r="C94" s="3" t="s">
        <v>159</v>
      </c>
      <c r="D94" s="62">
        <f>'дод 2'!E143+'дод 2'!E166</f>
        <v>191566286.56999999</v>
      </c>
      <c r="E94" s="62">
        <f>'дод 2'!F143+'дод 2'!F166</f>
        <v>191566286.56999999</v>
      </c>
      <c r="F94" s="62">
        <f>'дод 2'!G143+'дод 2'!G166</f>
        <v>0</v>
      </c>
      <c r="G94" s="62">
        <f>'дод 2'!H143+'дод 2'!H166</f>
        <v>27854706</v>
      </c>
      <c r="H94" s="62">
        <f>'дод 2'!I143+'дод 2'!I166</f>
        <v>0</v>
      </c>
      <c r="I94" s="62">
        <f>'дод 2'!J143+'дод 2'!J166</f>
        <v>51078304.150000006</v>
      </c>
      <c r="J94" s="62">
        <f>'дод 2'!K143+'дод 2'!K166</f>
        <v>51078304.150000006</v>
      </c>
      <c r="K94" s="62">
        <f>'дод 2'!L143+'дод 2'!L166</f>
        <v>0</v>
      </c>
      <c r="L94" s="62">
        <f>'дод 2'!M143+'дод 2'!M166</f>
        <v>0</v>
      </c>
      <c r="M94" s="62">
        <f>'дод 2'!N143+'дод 2'!N166</f>
        <v>0</v>
      </c>
      <c r="N94" s="62">
        <f>'дод 2'!O143+'дод 2'!O166</f>
        <v>51078304.150000006</v>
      </c>
      <c r="O94" s="62">
        <f>'дод 2'!P143+'дод 2'!P166</f>
        <v>242644590.72</v>
      </c>
    </row>
    <row r="95" spans="1:15" s="84" customFormat="1" ht="57" customHeight="1" x14ac:dyDescent="0.25">
      <c r="A95" s="46" t="s">
        <v>162</v>
      </c>
      <c r="B95" s="51" t="s">
        <v>87</v>
      </c>
      <c r="C95" s="3" t="s">
        <v>163</v>
      </c>
      <c r="D95" s="62">
        <f>'дод 2'!E167</f>
        <v>84906</v>
      </c>
      <c r="E95" s="62">
        <f>'дод 2'!F167</f>
        <v>0</v>
      </c>
      <c r="F95" s="62">
        <f>'дод 2'!G167</f>
        <v>0</v>
      </c>
      <c r="G95" s="62">
        <f>'дод 2'!H167</f>
        <v>0</v>
      </c>
      <c r="H95" s="62">
        <f>'дод 2'!I167</f>
        <v>84906</v>
      </c>
      <c r="I95" s="62">
        <f>'дод 2'!J167</f>
        <v>77703.06</v>
      </c>
      <c r="J95" s="62">
        <f>'дод 2'!K167</f>
        <v>0</v>
      </c>
      <c r="K95" s="62">
        <f>'дод 2'!L167</f>
        <v>0</v>
      </c>
      <c r="L95" s="62">
        <f>'дод 2'!M167</f>
        <v>0</v>
      </c>
      <c r="M95" s="62">
        <f>'дод 2'!N167</f>
        <v>0</v>
      </c>
      <c r="N95" s="62">
        <f>'дод 2'!O167</f>
        <v>77703.06</v>
      </c>
      <c r="O95" s="62">
        <f>'дод 2'!P167</f>
        <v>162609.06</v>
      </c>
    </row>
    <row r="96" spans="1:15" ht="39.75" customHeight="1" x14ac:dyDescent="0.25">
      <c r="A96" s="46" t="s">
        <v>172</v>
      </c>
      <c r="B96" s="51" t="s">
        <v>364</v>
      </c>
      <c r="C96" s="3" t="s">
        <v>173</v>
      </c>
      <c r="D96" s="62">
        <f>'дод 2'!E144+'дод 2'!E180</f>
        <v>14009346.390000001</v>
      </c>
      <c r="E96" s="62">
        <f>'дод 2'!F144+'дод 2'!F180</f>
        <v>14005046.390000001</v>
      </c>
      <c r="F96" s="62">
        <f>'дод 2'!G144+'дод 2'!G180</f>
        <v>0</v>
      </c>
      <c r="G96" s="62">
        <f>'дод 2'!H144+'дод 2'!H180</f>
        <v>42400</v>
      </c>
      <c r="H96" s="62">
        <f>'дод 2'!I144+'дод 2'!I180</f>
        <v>4300</v>
      </c>
      <c r="I96" s="62">
        <f>'дод 2'!J144+'дод 2'!J180</f>
        <v>800708.78999999911</v>
      </c>
      <c r="J96" s="62">
        <f>'дод 2'!K144+'дод 2'!K180</f>
        <v>800708.78999999911</v>
      </c>
      <c r="K96" s="62">
        <f>'дод 2'!L144+'дод 2'!L180</f>
        <v>0</v>
      </c>
      <c r="L96" s="62">
        <f>'дод 2'!M144+'дод 2'!M180</f>
        <v>0</v>
      </c>
      <c r="M96" s="62">
        <f>'дод 2'!N144+'дод 2'!N180</f>
        <v>0</v>
      </c>
      <c r="N96" s="62">
        <f>'дод 2'!O144+'дод 2'!O180</f>
        <v>800708.78999999911</v>
      </c>
      <c r="O96" s="62">
        <f>'дод 2'!P144+'дод 2'!P180</f>
        <v>14810055.18</v>
      </c>
    </row>
    <row r="97" spans="1:15" s="82" customFormat="1" ht="29.25" customHeight="1" x14ac:dyDescent="0.25">
      <c r="A97" s="47" t="s">
        <v>164</v>
      </c>
      <c r="B97" s="50"/>
      <c r="C97" s="2" t="s">
        <v>165</v>
      </c>
      <c r="D97" s="61">
        <f>D99+D101+D113+D120+D122+D131</f>
        <v>32749667</v>
      </c>
      <c r="E97" s="61">
        <f t="shared" ref="E97:O97" si="9">E99+E101+E113+E120+E122+E131</f>
        <v>20932667</v>
      </c>
      <c r="F97" s="61">
        <f t="shared" si="9"/>
        <v>0</v>
      </c>
      <c r="G97" s="61">
        <f t="shared" si="9"/>
        <v>0</v>
      </c>
      <c r="H97" s="61">
        <f t="shared" si="9"/>
        <v>11817000</v>
      </c>
      <c r="I97" s="61">
        <f>I99+I101+I113+I120+I122+I131</f>
        <v>332501633.25999999</v>
      </c>
      <c r="J97" s="61">
        <f t="shared" si="9"/>
        <v>237992501.13</v>
      </c>
      <c r="K97" s="61">
        <f t="shared" si="9"/>
        <v>82171363.010000005</v>
      </c>
      <c r="L97" s="61">
        <f t="shared" si="9"/>
        <v>0</v>
      </c>
      <c r="M97" s="61">
        <f t="shared" si="9"/>
        <v>0</v>
      </c>
      <c r="N97" s="61">
        <f t="shared" si="9"/>
        <v>250330270.25</v>
      </c>
      <c r="O97" s="61">
        <f t="shared" si="9"/>
        <v>365251300.25999999</v>
      </c>
    </row>
    <row r="98" spans="1:15" s="82" customFormat="1" ht="18.75" customHeight="1" x14ac:dyDescent="0.25">
      <c r="A98" s="47"/>
      <c r="B98" s="50"/>
      <c r="C98" s="2" t="s">
        <v>308</v>
      </c>
      <c r="D98" s="61">
        <f>D102+D114</f>
        <v>0</v>
      </c>
      <c r="E98" s="61">
        <f t="shared" ref="E98:O98" si="10">E102+E114</f>
        <v>0</v>
      </c>
      <c r="F98" s="61">
        <f t="shared" si="10"/>
        <v>0</v>
      </c>
      <c r="G98" s="61">
        <f t="shared" si="10"/>
        <v>0</v>
      </c>
      <c r="H98" s="61">
        <f t="shared" si="10"/>
        <v>0</v>
      </c>
      <c r="I98" s="61">
        <f t="shared" si="10"/>
        <v>81187498.930000007</v>
      </c>
      <c r="J98" s="61">
        <f t="shared" si="10"/>
        <v>1187498.93</v>
      </c>
      <c r="K98" s="61">
        <f t="shared" si="10"/>
        <v>80000000</v>
      </c>
      <c r="L98" s="61">
        <f t="shared" si="10"/>
        <v>0</v>
      </c>
      <c r="M98" s="61">
        <f t="shared" si="10"/>
        <v>0</v>
      </c>
      <c r="N98" s="61">
        <f t="shared" si="10"/>
        <v>1187498.93</v>
      </c>
      <c r="O98" s="61">
        <f t="shared" si="10"/>
        <v>81187498.930000007</v>
      </c>
    </row>
    <row r="99" spans="1:15" s="82" customFormat="1" x14ac:dyDescent="0.25">
      <c r="A99" s="47" t="s">
        <v>174</v>
      </c>
      <c r="B99" s="50"/>
      <c r="C99" s="2" t="s">
        <v>175</v>
      </c>
      <c r="D99" s="61">
        <f t="shared" ref="D99:O99" si="11">D100</f>
        <v>700000</v>
      </c>
      <c r="E99" s="61">
        <f t="shared" si="11"/>
        <v>700000</v>
      </c>
      <c r="F99" s="61">
        <f t="shared" si="11"/>
        <v>0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J99" s="61">
        <f t="shared" si="11"/>
        <v>0</v>
      </c>
      <c r="K99" s="61">
        <f t="shared" si="11"/>
        <v>0</v>
      </c>
      <c r="L99" s="61">
        <f t="shared" si="11"/>
        <v>0</v>
      </c>
      <c r="M99" s="61">
        <f t="shared" si="11"/>
        <v>0</v>
      </c>
      <c r="N99" s="61">
        <f t="shared" si="11"/>
        <v>0</v>
      </c>
      <c r="O99" s="61">
        <f t="shared" si="11"/>
        <v>700000</v>
      </c>
    </row>
    <row r="100" spans="1:15" ht="24" customHeight="1" x14ac:dyDescent="0.25">
      <c r="A100" s="46" t="s">
        <v>166</v>
      </c>
      <c r="B100" s="46" t="s">
        <v>103</v>
      </c>
      <c r="C100" s="3" t="s">
        <v>406</v>
      </c>
      <c r="D100" s="62">
        <f>'дод 2'!E188</f>
        <v>700000</v>
      </c>
      <c r="E100" s="62">
        <f>'дод 2'!F188</f>
        <v>700000</v>
      </c>
      <c r="F100" s="62">
        <f>'дод 2'!G188</f>
        <v>0</v>
      </c>
      <c r="G100" s="62">
        <f>'дод 2'!H188</f>
        <v>0</v>
      </c>
      <c r="H100" s="62">
        <f>'дод 2'!I188</f>
        <v>0</v>
      </c>
      <c r="I100" s="62">
        <f>'дод 2'!J188</f>
        <v>0</v>
      </c>
      <c r="J100" s="62">
        <f>'дод 2'!K188</f>
        <v>0</v>
      </c>
      <c r="K100" s="62">
        <f>'дод 2'!L188</f>
        <v>0</v>
      </c>
      <c r="L100" s="62">
        <f>'дод 2'!M188</f>
        <v>0</v>
      </c>
      <c r="M100" s="62">
        <f>'дод 2'!N188</f>
        <v>0</v>
      </c>
      <c r="N100" s="62">
        <f>'дод 2'!O188</f>
        <v>0</v>
      </c>
      <c r="O100" s="62">
        <f>'дод 2'!P188</f>
        <v>700000</v>
      </c>
    </row>
    <row r="101" spans="1:15" s="82" customFormat="1" ht="21" customHeight="1" x14ac:dyDescent="0.25">
      <c r="A101" s="47" t="s">
        <v>117</v>
      </c>
      <c r="B101" s="47"/>
      <c r="C101" s="13" t="s">
        <v>167</v>
      </c>
      <c r="D101" s="61">
        <f>D103+D104+D105+D107+D108+D110+D106+D109+D111</f>
        <v>0</v>
      </c>
      <c r="E101" s="61">
        <f t="shared" ref="E101:O101" si="12">E103+E104+E105+E107+E108+E110+E106+E109+E111</f>
        <v>0</v>
      </c>
      <c r="F101" s="61">
        <f t="shared" si="12"/>
        <v>0</v>
      </c>
      <c r="G101" s="61">
        <f t="shared" si="12"/>
        <v>0</v>
      </c>
      <c r="H101" s="61">
        <f t="shared" si="12"/>
        <v>0</v>
      </c>
      <c r="I101" s="61">
        <f t="shared" si="12"/>
        <v>92527449.129999995</v>
      </c>
      <c r="J101" s="61">
        <f t="shared" si="12"/>
        <v>92527449.129999995</v>
      </c>
      <c r="K101" s="61">
        <f t="shared" si="12"/>
        <v>0</v>
      </c>
      <c r="L101" s="61">
        <f t="shared" si="12"/>
        <v>0</v>
      </c>
      <c r="M101" s="61">
        <f t="shared" si="12"/>
        <v>0</v>
      </c>
      <c r="N101" s="61">
        <f t="shared" si="12"/>
        <v>92527449.129999995</v>
      </c>
      <c r="O101" s="61">
        <f t="shared" si="12"/>
        <v>92527449.129999995</v>
      </c>
    </row>
    <row r="102" spans="1:15" s="82" customFormat="1" ht="21" customHeight="1" x14ac:dyDescent="0.25">
      <c r="A102" s="47"/>
      <c r="B102" s="47"/>
      <c r="C102" s="2" t="s">
        <v>308</v>
      </c>
      <c r="D102" s="61">
        <f>D112</f>
        <v>0</v>
      </c>
      <c r="E102" s="61">
        <f t="shared" ref="E102:O102" si="13">E112</f>
        <v>0</v>
      </c>
      <c r="F102" s="61">
        <f t="shared" si="13"/>
        <v>0</v>
      </c>
      <c r="G102" s="61">
        <f t="shared" si="13"/>
        <v>0</v>
      </c>
      <c r="H102" s="61">
        <f t="shared" si="13"/>
        <v>0</v>
      </c>
      <c r="I102" s="61">
        <f t="shared" si="13"/>
        <v>1187498.93</v>
      </c>
      <c r="J102" s="61">
        <f t="shared" si="13"/>
        <v>1187498.93</v>
      </c>
      <c r="K102" s="61">
        <f t="shared" si="13"/>
        <v>0</v>
      </c>
      <c r="L102" s="61">
        <f t="shared" si="13"/>
        <v>0</v>
      </c>
      <c r="M102" s="61">
        <f t="shared" si="13"/>
        <v>0</v>
      </c>
      <c r="N102" s="61">
        <f t="shared" si="13"/>
        <v>1187498.93</v>
      </c>
      <c r="O102" s="61">
        <f t="shared" si="13"/>
        <v>1187498.93</v>
      </c>
    </row>
    <row r="103" spans="1:15" ht="28.5" customHeight="1" x14ac:dyDescent="0.25">
      <c r="A103" s="49" t="s">
        <v>315</v>
      </c>
      <c r="B103" s="49" t="s">
        <v>132</v>
      </c>
      <c r="C103" s="3" t="s">
        <v>324</v>
      </c>
      <c r="D103" s="62">
        <f>'дод 2'!E168+'дод 2'!E145</f>
        <v>0</v>
      </c>
      <c r="E103" s="62">
        <f>'дод 2'!F168+'дод 2'!F145</f>
        <v>0</v>
      </c>
      <c r="F103" s="62">
        <f>'дод 2'!G168+'дод 2'!G145</f>
        <v>0</v>
      </c>
      <c r="G103" s="62">
        <f>'дод 2'!H168+'дод 2'!H145</f>
        <v>0</v>
      </c>
      <c r="H103" s="62">
        <f>'дод 2'!I168+'дод 2'!I145</f>
        <v>0</v>
      </c>
      <c r="I103" s="62">
        <f>'дод 2'!J168+'дод 2'!J145</f>
        <v>13462297.759999998</v>
      </c>
      <c r="J103" s="62">
        <f>'дод 2'!K168+'дод 2'!K145</f>
        <v>13462297.759999998</v>
      </c>
      <c r="K103" s="62">
        <f>'дод 2'!L168+'дод 2'!L145</f>
        <v>0</v>
      </c>
      <c r="L103" s="62">
        <f>'дод 2'!M168+'дод 2'!M145</f>
        <v>0</v>
      </c>
      <c r="M103" s="62">
        <f>'дод 2'!N168+'дод 2'!N145</f>
        <v>0</v>
      </c>
      <c r="N103" s="62">
        <f>'дод 2'!O168+'дод 2'!O145</f>
        <v>13462297.759999998</v>
      </c>
      <c r="O103" s="62">
        <f>'дод 2'!P168+'дод 2'!P145</f>
        <v>13462297.759999998</v>
      </c>
    </row>
    <row r="104" spans="1:15" s="84" customFormat="1" ht="28.5" customHeight="1" x14ac:dyDescent="0.25">
      <c r="A104" s="49" t="s">
        <v>320</v>
      </c>
      <c r="B104" s="49" t="s">
        <v>132</v>
      </c>
      <c r="C104" s="3" t="s">
        <v>325</v>
      </c>
      <c r="D104" s="62">
        <f>'дод 2'!E169</f>
        <v>0</v>
      </c>
      <c r="E104" s="62">
        <f>'дод 2'!F169</f>
        <v>0</v>
      </c>
      <c r="F104" s="62">
        <f>'дод 2'!G169</f>
        <v>0</v>
      </c>
      <c r="G104" s="62">
        <f>'дод 2'!H169</f>
        <v>0</v>
      </c>
      <c r="H104" s="62">
        <f>'дод 2'!I169</f>
        <v>0</v>
      </c>
      <c r="I104" s="62">
        <f>'дод 2'!J169</f>
        <v>4000000</v>
      </c>
      <c r="J104" s="62">
        <f>'дод 2'!K169</f>
        <v>4000000</v>
      </c>
      <c r="K104" s="62">
        <f>'дод 2'!L169</f>
        <v>0</v>
      </c>
      <c r="L104" s="62">
        <f>'дод 2'!M169</f>
        <v>0</v>
      </c>
      <c r="M104" s="62">
        <f>'дод 2'!N169</f>
        <v>0</v>
      </c>
      <c r="N104" s="62">
        <f>'дод 2'!O169</f>
        <v>4000000</v>
      </c>
      <c r="O104" s="62">
        <f>'дод 2'!P169</f>
        <v>4000000</v>
      </c>
    </row>
    <row r="105" spans="1:15" s="84" customFormat="1" ht="28.5" customHeight="1" x14ac:dyDescent="0.25">
      <c r="A105" s="49" t="s">
        <v>322</v>
      </c>
      <c r="B105" s="49" t="s">
        <v>132</v>
      </c>
      <c r="C105" s="3" t="s">
        <v>326</v>
      </c>
      <c r="D105" s="62">
        <f>'дод 2'!E170</f>
        <v>0</v>
      </c>
      <c r="E105" s="62">
        <f>'дод 2'!F170</f>
        <v>0</v>
      </c>
      <c r="F105" s="62">
        <f>'дод 2'!G170</f>
        <v>0</v>
      </c>
      <c r="G105" s="62">
        <f>'дод 2'!H170</f>
        <v>0</v>
      </c>
      <c r="H105" s="62">
        <f>'дод 2'!I170</f>
        <v>0</v>
      </c>
      <c r="I105" s="62">
        <f>'дод 2'!J170</f>
        <v>12454849</v>
      </c>
      <c r="J105" s="62">
        <f>'дод 2'!K170</f>
        <v>12454849</v>
      </c>
      <c r="K105" s="62">
        <f>'дод 2'!L170</f>
        <v>0</v>
      </c>
      <c r="L105" s="62">
        <f>'дод 2'!M170</f>
        <v>0</v>
      </c>
      <c r="M105" s="62">
        <f>'дод 2'!N170</f>
        <v>0</v>
      </c>
      <c r="N105" s="62">
        <f>'дод 2'!O170</f>
        <v>12454849</v>
      </c>
      <c r="O105" s="62">
        <f>'дод 2'!P170</f>
        <v>12454849</v>
      </c>
    </row>
    <row r="106" spans="1:15" s="84" customFormat="1" ht="31.5" x14ac:dyDescent="0.25">
      <c r="A106" s="49">
        <v>7325</v>
      </c>
      <c r="B106" s="49">
        <v>443</v>
      </c>
      <c r="C106" s="3" t="s">
        <v>422</v>
      </c>
      <c r="D106" s="62">
        <f>'дод 2'!E171</f>
        <v>0</v>
      </c>
      <c r="E106" s="62">
        <f>'дод 2'!F171</f>
        <v>0</v>
      </c>
      <c r="F106" s="62">
        <f>'дод 2'!G171</f>
        <v>0</v>
      </c>
      <c r="G106" s="62">
        <f>'дод 2'!H171</f>
        <v>0</v>
      </c>
      <c r="H106" s="62">
        <f>'дод 2'!I171</f>
        <v>0</v>
      </c>
      <c r="I106" s="62">
        <f>'дод 2'!J171</f>
        <v>100000</v>
      </c>
      <c r="J106" s="62">
        <f>'дод 2'!K171</f>
        <v>100000</v>
      </c>
      <c r="K106" s="62">
        <f>'дод 2'!L171</f>
        <v>0</v>
      </c>
      <c r="L106" s="62">
        <f>'дод 2'!M171</f>
        <v>0</v>
      </c>
      <c r="M106" s="62">
        <f>'дод 2'!N171</f>
        <v>0</v>
      </c>
      <c r="N106" s="62">
        <f>'дод 2'!O171</f>
        <v>100000</v>
      </c>
      <c r="O106" s="62">
        <f>'дод 2'!P171</f>
        <v>100000</v>
      </c>
    </row>
    <row r="107" spans="1:15" ht="32.25" customHeight="1" x14ac:dyDescent="0.25">
      <c r="A107" s="49" t="s">
        <v>317</v>
      </c>
      <c r="B107" s="49" t="s">
        <v>132</v>
      </c>
      <c r="C107" s="3" t="s">
        <v>389</v>
      </c>
      <c r="D107" s="62">
        <f>'дод 2'!E172+'дод 2'!E146</f>
        <v>0</v>
      </c>
      <c r="E107" s="62">
        <f>'дод 2'!F172+'дод 2'!F146</f>
        <v>0</v>
      </c>
      <c r="F107" s="62">
        <f>'дод 2'!G172+'дод 2'!G146</f>
        <v>0</v>
      </c>
      <c r="G107" s="62">
        <f>'дод 2'!H172+'дод 2'!H146</f>
        <v>0</v>
      </c>
      <c r="H107" s="62">
        <f>'дод 2'!I172+'дод 2'!I146</f>
        <v>0</v>
      </c>
      <c r="I107" s="62">
        <f>'дод 2'!J172+'дод 2'!J146</f>
        <v>48739821.769999996</v>
      </c>
      <c r="J107" s="62">
        <f>'дод 2'!K172+'дод 2'!K146</f>
        <v>48739821.769999996</v>
      </c>
      <c r="K107" s="62">
        <f>'дод 2'!L172+'дод 2'!L146</f>
        <v>0</v>
      </c>
      <c r="L107" s="62">
        <f>'дод 2'!M172+'дод 2'!M146</f>
        <v>0</v>
      </c>
      <c r="M107" s="62">
        <f>'дод 2'!N172+'дод 2'!N146</f>
        <v>0</v>
      </c>
      <c r="N107" s="62">
        <f>'дод 2'!O172+'дод 2'!O146</f>
        <v>48739821.769999996</v>
      </c>
      <c r="O107" s="62">
        <f>'дод 2'!P172+'дод 2'!P146</f>
        <v>48739821.769999996</v>
      </c>
    </row>
    <row r="108" spans="1:15" ht="35.25" customHeight="1" x14ac:dyDescent="0.25">
      <c r="A108" s="46" t="s">
        <v>168</v>
      </c>
      <c r="B108" s="46" t="s">
        <v>132</v>
      </c>
      <c r="C108" s="3" t="s">
        <v>1</v>
      </c>
      <c r="D108" s="62">
        <f>'дод 2'!E148</f>
        <v>0</v>
      </c>
      <c r="E108" s="62">
        <f>'дод 2'!F148</f>
        <v>0</v>
      </c>
      <c r="F108" s="62">
        <f>'дод 2'!G148</f>
        <v>0</v>
      </c>
      <c r="G108" s="62">
        <f>'дод 2'!H148</f>
        <v>0</v>
      </c>
      <c r="H108" s="62">
        <f>'дод 2'!I148</f>
        <v>0</v>
      </c>
      <c r="I108" s="62">
        <f>'дод 2'!J148</f>
        <v>3000000</v>
      </c>
      <c r="J108" s="62">
        <f>'дод 2'!K148</f>
        <v>3000000</v>
      </c>
      <c r="K108" s="62">
        <f>'дод 2'!L148</f>
        <v>0</v>
      </c>
      <c r="L108" s="62">
        <f>'дод 2'!M148</f>
        <v>0</v>
      </c>
      <c r="M108" s="62">
        <f>'дод 2'!N148</f>
        <v>0</v>
      </c>
      <c r="N108" s="62">
        <f>'дод 2'!O148</f>
        <v>3000000</v>
      </c>
      <c r="O108" s="62">
        <f>'дод 2'!P148</f>
        <v>3000000</v>
      </c>
    </row>
    <row r="109" spans="1:15" ht="51.75" customHeight="1" x14ac:dyDescent="0.25">
      <c r="A109" s="46">
        <v>7361</v>
      </c>
      <c r="B109" s="46" t="s">
        <v>102</v>
      </c>
      <c r="C109" s="3" t="s">
        <v>449</v>
      </c>
      <c r="D109" s="62">
        <f>'дод 2'!E147+'дод 2'!E173+'дод 2'!E93</f>
        <v>0</v>
      </c>
      <c r="E109" s="62">
        <f>'дод 2'!F147+'дод 2'!F173+'дод 2'!F93</f>
        <v>0</v>
      </c>
      <c r="F109" s="62">
        <f>'дод 2'!G147+'дод 2'!G173+'дод 2'!G93</f>
        <v>0</v>
      </c>
      <c r="G109" s="62">
        <f>'дод 2'!H147+'дод 2'!H173+'дод 2'!H93</f>
        <v>0</v>
      </c>
      <c r="H109" s="62">
        <f>'дод 2'!I147+'дод 2'!I173+'дод 2'!I93</f>
        <v>0</v>
      </c>
      <c r="I109" s="62">
        <f>'дод 2'!J147+'дод 2'!J173+'дод 2'!J93</f>
        <v>9386113</v>
      </c>
      <c r="J109" s="62">
        <f>'дод 2'!K147+'дод 2'!K173+'дод 2'!K93</f>
        <v>9386113</v>
      </c>
      <c r="K109" s="62">
        <f>'дод 2'!L147+'дод 2'!L173+'дод 2'!L93</f>
        <v>0</v>
      </c>
      <c r="L109" s="62">
        <f>'дод 2'!M147+'дод 2'!M173+'дод 2'!M93</f>
        <v>0</v>
      </c>
      <c r="M109" s="62">
        <f>'дод 2'!N147+'дод 2'!N173+'дод 2'!N93</f>
        <v>0</v>
      </c>
      <c r="N109" s="62">
        <f>'дод 2'!O147+'дод 2'!O173+'дод 2'!O93</f>
        <v>9386113</v>
      </c>
      <c r="O109" s="62">
        <f>'дод 2'!P147+'дод 2'!P173+'дод 2'!P93</f>
        <v>9386113</v>
      </c>
    </row>
    <row r="110" spans="1:15" s="84" customFormat="1" ht="46.5" customHeight="1" x14ac:dyDescent="0.25">
      <c r="A110" s="46">
        <v>7362</v>
      </c>
      <c r="B110" s="46" t="s">
        <v>102</v>
      </c>
      <c r="C110" s="3" t="s">
        <v>428</v>
      </c>
      <c r="D110" s="62">
        <f>'дод 2'!E149</f>
        <v>0</v>
      </c>
      <c r="E110" s="62">
        <f>'дод 2'!F149</f>
        <v>0</v>
      </c>
      <c r="F110" s="62">
        <f>'дод 2'!G149</f>
        <v>0</v>
      </c>
      <c r="G110" s="62">
        <f>'дод 2'!H149</f>
        <v>0</v>
      </c>
      <c r="H110" s="62">
        <f>'дод 2'!I149</f>
        <v>0</v>
      </c>
      <c r="I110" s="62">
        <f>'дод 2'!J149</f>
        <v>75600</v>
      </c>
      <c r="J110" s="62">
        <f>'дод 2'!K149</f>
        <v>75600</v>
      </c>
      <c r="K110" s="62">
        <f>'дод 2'!L149</f>
        <v>0</v>
      </c>
      <c r="L110" s="62">
        <f>'дод 2'!M149</f>
        <v>0</v>
      </c>
      <c r="M110" s="62">
        <f>'дод 2'!N149</f>
        <v>0</v>
      </c>
      <c r="N110" s="62">
        <f>'дод 2'!O149</f>
        <v>75600</v>
      </c>
      <c r="O110" s="62">
        <f>'дод 2'!P149</f>
        <v>75600</v>
      </c>
    </row>
    <row r="111" spans="1:15" s="84" customFormat="1" ht="46.5" customHeight="1" x14ac:dyDescent="0.25">
      <c r="A111" s="46">
        <v>7363</v>
      </c>
      <c r="B111" s="106" t="s">
        <v>102</v>
      </c>
      <c r="C111" s="107" t="s">
        <v>438</v>
      </c>
      <c r="D111" s="62">
        <f>'дод 2'!E73+'дод 2'!E150+'дод 2'!E174</f>
        <v>0</v>
      </c>
      <c r="E111" s="62">
        <f>'дод 2'!F73+'дод 2'!F150+'дод 2'!F174</f>
        <v>0</v>
      </c>
      <c r="F111" s="62">
        <f>'дод 2'!G73+'дод 2'!G150+'дод 2'!G174</f>
        <v>0</v>
      </c>
      <c r="G111" s="62">
        <f>'дод 2'!H73+'дод 2'!H150+'дод 2'!H174</f>
        <v>0</v>
      </c>
      <c r="H111" s="62">
        <f>'дод 2'!I73+'дод 2'!I150+'дод 2'!I174</f>
        <v>0</v>
      </c>
      <c r="I111" s="62">
        <f>'дод 2'!J73+'дод 2'!J150+'дод 2'!J174</f>
        <v>1308767.6000000001</v>
      </c>
      <c r="J111" s="62">
        <f>'дод 2'!K73+'дод 2'!K150+'дод 2'!K174</f>
        <v>1308767.6000000001</v>
      </c>
      <c r="K111" s="62">
        <f>'дод 2'!L73+'дод 2'!L150+'дод 2'!L174</f>
        <v>0</v>
      </c>
      <c r="L111" s="62">
        <f>'дод 2'!M73+'дод 2'!M150+'дод 2'!M174</f>
        <v>0</v>
      </c>
      <c r="M111" s="62">
        <f>'дод 2'!N73+'дод 2'!N150+'дод 2'!N174</f>
        <v>0</v>
      </c>
      <c r="N111" s="62">
        <f>'дод 2'!O73+'дод 2'!O150+'дод 2'!O174</f>
        <v>1308767.6000000001</v>
      </c>
      <c r="O111" s="62">
        <f>'дод 2'!P73+'дод 2'!P150+'дод 2'!P174</f>
        <v>1308767.6000000001</v>
      </c>
    </row>
    <row r="112" spans="1:15" s="84" customFormat="1" x14ac:dyDescent="0.25">
      <c r="A112" s="46"/>
      <c r="B112" s="106"/>
      <c r="C112" s="3" t="s">
        <v>308</v>
      </c>
      <c r="D112" s="62">
        <f>'дод 2'!E74+'дод 2'!E151</f>
        <v>0</v>
      </c>
      <c r="E112" s="62">
        <f>'дод 2'!F74+'дод 2'!F151</f>
        <v>0</v>
      </c>
      <c r="F112" s="62">
        <f>'дод 2'!G74+'дод 2'!G151</f>
        <v>0</v>
      </c>
      <c r="G112" s="62">
        <f>'дод 2'!H74+'дод 2'!H151</f>
        <v>0</v>
      </c>
      <c r="H112" s="62">
        <f>'дод 2'!I74+'дод 2'!I151</f>
        <v>0</v>
      </c>
      <c r="I112" s="62">
        <f>'дод 2'!J74+'дод 2'!J151</f>
        <v>1187498.93</v>
      </c>
      <c r="J112" s="62">
        <f>'дод 2'!K74+'дод 2'!K151</f>
        <v>1187498.93</v>
      </c>
      <c r="K112" s="62">
        <f>'дод 2'!L74+'дод 2'!L151</f>
        <v>0</v>
      </c>
      <c r="L112" s="62">
        <f>'дод 2'!M74+'дод 2'!M151</f>
        <v>0</v>
      </c>
      <c r="M112" s="62">
        <f>'дод 2'!N74+'дод 2'!N151</f>
        <v>0</v>
      </c>
      <c r="N112" s="62">
        <f>'дод 2'!O74+'дод 2'!O151</f>
        <v>1187498.93</v>
      </c>
      <c r="O112" s="62">
        <f>'дод 2'!P74+'дод 2'!P151</f>
        <v>1187498.93</v>
      </c>
    </row>
    <row r="113" spans="1:15" s="82" customFormat="1" ht="39.75" customHeight="1" x14ac:dyDescent="0.25">
      <c r="A113" s="47" t="s">
        <v>105</v>
      </c>
      <c r="B113" s="50"/>
      <c r="C113" s="2" t="s">
        <v>2</v>
      </c>
      <c r="D113" s="61">
        <f>D115+D118+D116+D117</f>
        <v>10000000</v>
      </c>
      <c r="E113" s="61">
        <f t="shared" ref="E113:O113" si="14">E115+E118+E116+E117</f>
        <v>0</v>
      </c>
      <c r="F113" s="61">
        <f t="shared" si="14"/>
        <v>0</v>
      </c>
      <c r="G113" s="61">
        <f t="shared" si="14"/>
        <v>0</v>
      </c>
      <c r="H113" s="61">
        <f t="shared" si="14"/>
        <v>10000000</v>
      </c>
      <c r="I113" s="61">
        <f t="shared" si="14"/>
        <v>80000000</v>
      </c>
      <c r="J113" s="61">
        <f t="shared" si="14"/>
        <v>0</v>
      </c>
      <c r="K113" s="61">
        <f t="shared" si="14"/>
        <v>80000000</v>
      </c>
      <c r="L113" s="61">
        <f t="shared" si="14"/>
        <v>0</v>
      </c>
      <c r="M113" s="61">
        <f t="shared" si="14"/>
        <v>0</v>
      </c>
      <c r="N113" s="61">
        <f t="shared" si="14"/>
        <v>0</v>
      </c>
      <c r="O113" s="61">
        <f t="shared" si="14"/>
        <v>90000000</v>
      </c>
    </row>
    <row r="114" spans="1:15" s="82" customFormat="1" ht="17.25" customHeight="1" x14ac:dyDescent="0.25">
      <c r="A114" s="47"/>
      <c r="B114" s="50"/>
      <c r="C114" s="2" t="s">
        <v>308</v>
      </c>
      <c r="D114" s="61">
        <f>D119</f>
        <v>0</v>
      </c>
      <c r="E114" s="61">
        <f t="shared" ref="E114:O114" si="15">E119</f>
        <v>0</v>
      </c>
      <c r="F114" s="61">
        <f t="shared" si="15"/>
        <v>0</v>
      </c>
      <c r="G114" s="61">
        <f t="shared" si="15"/>
        <v>0</v>
      </c>
      <c r="H114" s="61">
        <f t="shared" si="15"/>
        <v>0</v>
      </c>
      <c r="I114" s="61">
        <f t="shared" si="15"/>
        <v>80000000</v>
      </c>
      <c r="J114" s="61">
        <f t="shared" si="15"/>
        <v>0</v>
      </c>
      <c r="K114" s="61">
        <f t="shared" si="15"/>
        <v>80000000</v>
      </c>
      <c r="L114" s="61">
        <f t="shared" si="15"/>
        <v>0</v>
      </c>
      <c r="M114" s="61">
        <f t="shared" si="15"/>
        <v>0</v>
      </c>
      <c r="N114" s="61">
        <f t="shared" si="15"/>
        <v>0</v>
      </c>
      <c r="O114" s="61">
        <f t="shared" si="15"/>
        <v>80000000</v>
      </c>
    </row>
    <row r="115" spans="1:15" s="84" customFormat="1" ht="30" customHeight="1" x14ac:dyDescent="0.25">
      <c r="A115" s="46" t="s">
        <v>4</v>
      </c>
      <c r="B115" s="46" t="s">
        <v>104</v>
      </c>
      <c r="C115" s="3" t="s">
        <v>49</v>
      </c>
      <c r="D115" s="62">
        <f>'дод 2'!E38</f>
        <v>10000000</v>
      </c>
      <c r="E115" s="62">
        <f>'дод 2'!F38</f>
        <v>0</v>
      </c>
      <c r="F115" s="62">
        <f>'дод 2'!G38</f>
        <v>0</v>
      </c>
      <c r="G115" s="62">
        <f>'дод 2'!H38</f>
        <v>0</v>
      </c>
      <c r="H115" s="62">
        <f>'дод 2'!I38</f>
        <v>10000000</v>
      </c>
      <c r="I115" s="62">
        <f>'дод 2'!J38</f>
        <v>0</v>
      </c>
      <c r="J115" s="62">
        <f>'дод 2'!K38</f>
        <v>0</v>
      </c>
      <c r="K115" s="62">
        <f>'дод 2'!L38</f>
        <v>0</v>
      </c>
      <c r="L115" s="62">
        <f>'дод 2'!M38</f>
        <v>0</v>
      </c>
      <c r="M115" s="62">
        <f>'дод 2'!N38</f>
        <v>0</v>
      </c>
      <c r="N115" s="62">
        <f>'дод 2'!O38</f>
        <v>0</v>
      </c>
      <c r="O115" s="62">
        <f>'дод 2'!P38</f>
        <v>10000000</v>
      </c>
    </row>
    <row r="116" spans="1:15" s="84" customFormat="1" ht="30" hidden="1" customHeight="1" x14ac:dyDescent="0.25">
      <c r="A116" s="46">
        <v>7413</v>
      </c>
      <c r="B116" s="46" t="s">
        <v>104</v>
      </c>
      <c r="C116" s="3" t="s">
        <v>468</v>
      </c>
      <c r="D116" s="62">
        <f>'дод 2'!E39</f>
        <v>0</v>
      </c>
      <c r="E116" s="62">
        <f>'дод 2'!F39</f>
        <v>0</v>
      </c>
      <c r="F116" s="62">
        <f>'дод 2'!G39</f>
        <v>0</v>
      </c>
      <c r="G116" s="62">
        <f>'дод 2'!H39</f>
        <v>0</v>
      </c>
      <c r="H116" s="62">
        <f>'дод 2'!I39</f>
        <v>0</v>
      </c>
      <c r="I116" s="62">
        <f>'дод 2'!J39</f>
        <v>0</v>
      </c>
      <c r="J116" s="62">
        <f>'дод 2'!K39</f>
        <v>0</v>
      </c>
      <c r="K116" s="62">
        <f>'дод 2'!L39</f>
        <v>0</v>
      </c>
      <c r="L116" s="62">
        <f>'дод 2'!M39</f>
        <v>0</v>
      </c>
      <c r="M116" s="62">
        <f>'дод 2'!N39</f>
        <v>0</v>
      </c>
      <c r="N116" s="62">
        <f>'дод 2'!O39</f>
        <v>0</v>
      </c>
      <c r="O116" s="62">
        <f>'дод 2'!P39</f>
        <v>0</v>
      </c>
    </row>
    <row r="117" spans="1:15" s="84" customFormat="1" ht="30" hidden="1" customHeight="1" x14ac:dyDescent="0.25">
      <c r="A117" s="46">
        <v>7426</v>
      </c>
      <c r="B117" s="46">
        <v>453</v>
      </c>
      <c r="C117" s="3" t="s">
        <v>469</v>
      </c>
      <c r="D117" s="62">
        <f>'дод 2'!E40</f>
        <v>0</v>
      </c>
      <c r="E117" s="62">
        <f>'дод 2'!F40</f>
        <v>0</v>
      </c>
      <c r="F117" s="62">
        <f>'дод 2'!G40</f>
        <v>0</v>
      </c>
      <c r="G117" s="62">
        <f>'дод 2'!H40</f>
        <v>0</v>
      </c>
      <c r="H117" s="62">
        <f>'дод 2'!I40</f>
        <v>0</v>
      </c>
      <c r="I117" s="62">
        <f>'дод 2'!J40</f>
        <v>0</v>
      </c>
      <c r="J117" s="62">
        <f>'дод 2'!K40</f>
        <v>0</v>
      </c>
      <c r="K117" s="62">
        <f>'дод 2'!L40</f>
        <v>0</v>
      </c>
      <c r="L117" s="62">
        <f>'дод 2'!M40</f>
        <v>0</v>
      </c>
      <c r="M117" s="62">
        <f>'дод 2'!N40</f>
        <v>0</v>
      </c>
      <c r="N117" s="62">
        <f>'дод 2'!O40</f>
        <v>0</v>
      </c>
      <c r="O117" s="62">
        <f>'дод 2'!P40</f>
        <v>0</v>
      </c>
    </row>
    <row r="118" spans="1:15" s="84" customFormat="1" ht="53.25" customHeight="1" x14ac:dyDescent="0.25">
      <c r="A118" s="46">
        <v>7462</v>
      </c>
      <c r="B118" s="46">
        <v>456</v>
      </c>
      <c r="C118" s="3" t="s">
        <v>452</v>
      </c>
      <c r="D118" s="62">
        <f>'дод 2'!E152</f>
        <v>0</v>
      </c>
      <c r="E118" s="62">
        <f>'дод 2'!F152</f>
        <v>0</v>
      </c>
      <c r="F118" s="62">
        <f>'дод 2'!G152</f>
        <v>0</v>
      </c>
      <c r="G118" s="62">
        <f>'дод 2'!H152</f>
        <v>0</v>
      </c>
      <c r="H118" s="62">
        <f>'дод 2'!I152</f>
        <v>0</v>
      </c>
      <c r="I118" s="62">
        <f>'дод 2'!J152</f>
        <v>80000000</v>
      </c>
      <c r="J118" s="62">
        <f>'дод 2'!K152</f>
        <v>0</v>
      </c>
      <c r="K118" s="62">
        <f>'дод 2'!L152</f>
        <v>80000000</v>
      </c>
      <c r="L118" s="62">
        <f>'дод 2'!M152</f>
        <v>0</v>
      </c>
      <c r="M118" s="62">
        <f>'дод 2'!N152</f>
        <v>0</v>
      </c>
      <c r="N118" s="62">
        <f>'дод 2'!O152</f>
        <v>0</v>
      </c>
      <c r="O118" s="62">
        <f>'дод 2'!P152</f>
        <v>80000000</v>
      </c>
    </row>
    <row r="119" spans="1:15" s="84" customFormat="1" ht="17.25" customHeight="1" x14ac:dyDescent="0.25">
      <c r="A119" s="46"/>
      <c r="B119" s="46"/>
      <c r="C119" s="3" t="s">
        <v>308</v>
      </c>
      <c r="D119" s="62">
        <f>'дод 2'!E153</f>
        <v>0</v>
      </c>
      <c r="E119" s="62">
        <f>'дод 2'!F153</f>
        <v>0</v>
      </c>
      <c r="F119" s="62">
        <f>'дод 2'!G153</f>
        <v>0</v>
      </c>
      <c r="G119" s="62">
        <f>'дод 2'!H153</f>
        <v>0</v>
      </c>
      <c r="H119" s="62">
        <f>'дод 2'!I153</f>
        <v>0</v>
      </c>
      <c r="I119" s="62">
        <f>'дод 2'!J153</f>
        <v>80000000</v>
      </c>
      <c r="J119" s="62">
        <f>'дод 2'!K153</f>
        <v>0</v>
      </c>
      <c r="K119" s="62">
        <f>'дод 2'!L153</f>
        <v>80000000</v>
      </c>
      <c r="L119" s="62">
        <f>'дод 2'!M153</f>
        <v>0</v>
      </c>
      <c r="M119" s="62">
        <f>'дод 2'!N153</f>
        <v>0</v>
      </c>
      <c r="N119" s="62">
        <f>'дод 2'!O153</f>
        <v>0</v>
      </c>
      <c r="O119" s="62">
        <f>'дод 2'!P153</f>
        <v>80000000</v>
      </c>
    </row>
    <row r="120" spans="1:15" s="82" customFormat="1" ht="28.5" customHeight="1" x14ac:dyDescent="0.25">
      <c r="A120" s="48" t="s">
        <v>279</v>
      </c>
      <c r="B120" s="50"/>
      <c r="C120" s="2" t="s">
        <v>280</v>
      </c>
      <c r="D120" s="61">
        <f t="shared" ref="D120:O120" si="16">D121</f>
        <v>13450000</v>
      </c>
      <c r="E120" s="61">
        <f t="shared" si="16"/>
        <v>13450000</v>
      </c>
      <c r="F120" s="61">
        <f t="shared" si="16"/>
        <v>0</v>
      </c>
      <c r="G120" s="61">
        <f t="shared" si="16"/>
        <v>0</v>
      </c>
      <c r="H120" s="61">
        <f t="shared" si="16"/>
        <v>0</v>
      </c>
      <c r="I120" s="61">
        <f t="shared" si="16"/>
        <v>6050000</v>
      </c>
      <c r="J120" s="61">
        <f t="shared" si="16"/>
        <v>6050000</v>
      </c>
      <c r="K120" s="61">
        <f t="shared" si="16"/>
        <v>0</v>
      </c>
      <c r="L120" s="61">
        <f t="shared" si="16"/>
        <v>0</v>
      </c>
      <c r="M120" s="61">
        <f t="shared" si="16"/>
        <v>0</v>
      </c>
      <c r="N120" s="61">
        <f t="shared" si="16"/>
        <v>6050000</v>
      </c>
      <c r="O120" s="61">
        <f t="shared" si="16"/>
        <v>19500000</v>
      </c>
    </row>
    <row r="121" spans="1:15" ht="37.5" customHeight="1" x14ac:dyDescent="0.25">
      <c r="A121" s="49" t="s">
        <v>277</v>
      </c>
      <c r="B121" s="49" t="s">
        <v>278</v>
      </c>
      <c r="C121" s="11" t="s">
        <v>276</v>
      </c>
      <c r="D121" s="62">
        <f>'дод 2'!E41</f>
        <v>13450000</v>
      </c>
      <c r="E121" s="62">
        <f>'дод 2'!F41</f>
        <v>13450000</v>
      </c>
      <c r="F121" s="62">
        <f>'дод 2'!G41</f>
        <v>0</v>
      </c>
      <c r="G121" s="62">
        <f>'дод 2'!H41</f>
        <v>0</v>
      </c>
      <c r="H121" s="62">
        <f>'дод 2'!I41</f>
        <v>0</v>
      </c>
      <c r="I121" s="62">
        <f>'дод 2'!J41</f>
        <v>6050000</v>
      </c>
      <c r="J121" s="62">
        <f>'дод 2'!K41</f>
        <v>6050000</v>
      </c>
      <c r="K121" s="62">
        <f>'дод 2'!L41</f>
        <v>0</v>
      </c>
      <c r="L121" s="62">
        <f>'дод 2'!M41</f>
        <v>0</v>
      </c>
      <c r="M121" s="62">
        <f>'дод 2'!N41</f>
        <v>0</v>
      </c>
      <c r="N121" s="62">
        <f>'дод 2'!O41</f>
        <v>6050000</v>
      </c>
      <c r="O121" s="62">
        <f>'дод 2'!P41</f>
        <v>19500000</v>
      </c>
    </row>
    <row r="122" spans="1:15" s="82" customFormat="1" ht="38.25" customHeight="1" x14ac:dyDescent="0.25">
      <c r="A122" s="47" t="s">
        <v>108</v>
      </c>
      <c r="B122" s="50"/>
      <c r="C122" s="2" t="s">
        <v>5</v>
      </c>
      <c r="D122" s="61">
        <f t="shared" ref="D122:O122" si="17">D123+D124+D125+D126+D127+D128+D129+D130</f>
        <v>8599667</v>
      </c>
      <c r="E122" s="61">
        <f t="shared" si="17"/>
        <v>6782667</v>
      </c>
      <c r="F122" s="61">
        <f t="shared" si="17"/>
        <v>0</v>
      </c>
      <c r="G122" s="61">
        <f t="shared" si="17"/>
        <v>0</v>
      </c>
      <c r="H122" s="61">
        <f t="shared" si="17"/>
        <v>1817000</v>
      </c>
      <c r="I122" s="61">
        <f t="shared" si="17"/>
        <v>153039184.13</v>
      </c>
      <c r="J122" s="61">
        <f t="shared" si="17"/>
        <v>139415052</v>
      </c>
      <c r="K122" s="61">
        <f t="shared" si="17"/>
        <v>2171363.0100000002</v>
      </c>
      <c r="L122" s="61">
        <f t="shared" si="17"/>
        <v>0</v>
      </c>
      <c r="M122" s="61">
        <f t="shared" si="17"/>
        <v>0</v>
      </c>
      <c r="N122" s="61">
        <f t="shared" si="17"/>
        <v>150867821.12</v>
      </c>
      <c r="O122" s="61">
        <f t="shared" si="17"/>
        <v>161638851.13</v>
      </c>
    </row>
    <row r="123" spans="1:15" ht="30.75" customHeight="1" x14ac:dyDescent="0.25">
      <c r="A123" s="46" t="s">
        <v>6</v>
      </c>
      <c r="B123" s="46" t="s">
        <v>107</v>
      </c>
      <c r="C123" s="3" t="s">
        <v>32</v>
      </c>
      <c r="D123" s="62">
        <f>'дод 2'!E42+'дод 2'!E189</f>
        <v>1235000</v>
      </c>
      <c r="E123" s="62">
        <f>'дод 2'!F42+'дод 2'!F189</f>
        <v>617000</v>
      </c>
      <c r="F123" s="62">
        <f>'дод 2'!G42+'дод 2'!G189</f>
        <v>0</v>
      </c>
      <c r="G123" s="62">
        <f>'дод 2'!H42+'дод 2'!H189</f>
        <v>0</v>
      </c>
      <c r="H123" s="62">
        <f>'дод 2'!I42+'дод 2'!I189</f>
        <v>618000</v>
      </c>
      <c r="I123" s="62">
        <f>'дод 2'!J42+'дод 2'!J189</f>
        <v>0</v>
      </c>
      <c r="J123" s="62">
        <f>'дод 2'!K42+'дод 2'!K189</f>
        <v>0</v>
      </c>
      <c r="K123" s="62">
        <f>'дод 2'!L42+'дод 2'!L189</f>
        <v>0</v>
      </c>
      <c r="L123" s="62">
        <f>'дод 2'!M42+'дод 2'!M189</f>
        <v>0</v>
      </c>
      <c r="M123" s="62">
        <f>'дод 2'!N42+'дод 2'!N189</f>
        <v>0</v>
      </c>
      <c r="N123" s="62">
        <f>'дод 2'!O42+'дод 2'!O189</f>
        <v>0</v>
      </c>
      <c r="O123" s="62">
        <f>'дод 2'!P42+'дод 2'!P189</f>
        <v>1235000</v>
      </c>
    </row>
    <row r="124" spans="1:15" ht="24.75" customHeight="1" x14ac:dyDescent="0.25">
      <c r="A124" s="46" t="s">
        <v>3</v>
      </c>
      <c r="B124" s="46" t="s">
        <v>106</v>
      </c>
      <c r="C124" s="3" t="s">
        <v>45</v>
      </c>
      <c r="D124" s="62">
        <f>'дод 2'!E75+'дод 2'!E94+'дод 2'!E131+'дод 2'!E154+'дод 2'!E175+'дод 2'!E196</f>
        <v>4350811</v>
      </c>
      <c r="E124" s="62">
        <f>'дод 2'!F75+'дод 2'!F94+'дод 2'!F131+'дод 2'!F154+'дод 2'!F175+'дод 2'!F196</f>
        <v>3151811</v>
      </c>
      <c r="F124" s="62">
        <f>'дод 2'!G75+'дод 2'!G94+'дод 2'!G131+'дод 2'!G154+'дод 2'!G175+'дод 2'!G196</f>
        <v>0</v>
      </c>
      <c r="G124" s="62">
        <f>'дод 2'!H75+'дод 2'!H94+'дод 2'!H131+'дод 2'!H154+'дод 2'!H175+'дод 2'!H196</f>
        <v>0</v>
      </c>
      <c r="H124" s="62">
        <f>'дод 2'!I75+'дод 2'!I94+'дод 2'!I131+'дод 2'!I154+'дод 2'!I175+'дод 2'!I196</f>
        <v>1199000</v>
      </c>
      <c r="I124" s="62">
        <f>'дод 2'!J75+'дод 2'!J94+'дод 2'!J131+'дод 2'!J154+'дод 2'!J175+'дод 2'!J196</f>
        <v>109462174</v>
      </c>
      <c r="J124" s="62">
        <f>'дод 2'!K75+'дод 2'!K94+'дод 2'!K131+'дод 2'!K154+'дод 2'!K175+'дод 2'!K196</f>
        <v>99725722</v>
      </c>
      <c r="K124" s="62">
        <f>'дод 2'!L75+'дод 2'!L94+'дод 2'!L131+'дод 2'!L154+'дод 2'!L175+'дод 2'!L196</f>
        <v>0</v>
      </c>
      <c r="L124" s="62">
        <f>'дод 2'!M75+'дод 2'!M94+'дод 2'!M131+'дод 2'!M154+'дод 2'!M175+'дод 2'!M196</f>
        <v>0</v>
      </c>
      <c r="M124" s="62">
        <f>'дод 2'!N75+'дод 2'!N94+'дод 2'!N131+'дод 2'!N154+'дод 2'!N175+'дод 2'!N196</f>
        <v>0</v>
      </c>
      <c r="N124" s="62">
        <f>'дод 2'!O75+'дод 2'!O94+'дод 2'!O131+'дод 2'!O154+'дод 2'!O175+'дод 2'!O196</f>
        <v>109462174</v>
      </c>
      <c r="O124" s="62">
        <f>'дод 2'!P75+'дод 2'!P94+'дод 2'!P131+'дод 2'!P154+'дод 2'!P175+'дод 2'!P196</f>
        <v>113812985</v>
      </c>
    </row>
    <row r="125" spans="1:15" ht="33.75" customHeight="1" x14ac:dyDescent="0.25">
      <c r="A125" s="46" t="s">
        <v>310</v>
      </c>
      <c r="B125" s="46" t="s">
        <v>102</v>
      </c>
      <c r="C125" s="3" t="s">
        <v>407</v>
      </c>
      <c r="D125" s="62">
        <f>'дод 2'!E190</f>
        <v>0</v>
      </c>
      <c r="E125" s="62">
        <f>'дод 2'!F190</f>
        <v>0</v>
      </c>
      <c r="F125" s="62">
        <f>'дод 2'!G190</f>
        <v>0</v>
      </c>
      <c r="G125" s="62">
        <f>'дод 2'!H190</f>
        <v>0</v>
      </c>
      <c r="H125" s="62">
        <f>'дод 2'!I190</f>
        <v>0</v>
      </c>
      <c r="I125" s="62">
        <f>'дод 2'!J190</f>
        <v>30000</v>
      </c>
      <c r="J125" s="62">
        <f>'дод 2'!K190</f>
        <v>30000</v>
      </c>
      <c r="K125" s="62">
        <f>'дод 2'!L190</f>
        <v>0</v>
      </c>
      <c r="L125" s="62">
        <f>'дод 2'!M190</f>
        <v>0</v>
      </c>
      <c r="M125" s="62">
        <f>'дод 2'!N190</f>
        <v>0</v>
      </c>
      <c r="N125" s="62">
        <f>'дод 2'!O190</f>
        <v>30000</v>
      </c>
      <c r="O125" s="62">
        <f>'дод 2'!P190</f>
        <v>30000</v>
      </c>
    </row>
    <row r="126" spans="1:15" ht="59.25" customHeight="1" x14ac:dyDescent="0.25">
      <c r="A126" s="46" t="s">
        <v>312</v>
      </c>
      <c r="B126" s="46" t="s">
        <v>102</v>
      </c>
      <c r="C126" s="3" t="s">
        <v>313</v>
      </c>
      <c r="D126" s="62">
        <f>'дод 2'!E191</f>
        <v>0</v>
      </c>
      <c r="E126" s="62">
        <f>'дод 2'!F191</f>
        <v>0</v>
      </c>
      <c r="F126" s="62">
        <f>'дод 2'!G191</f>
        <v>0</v>
      </c>
      <c r="G126" s="62">
        <f>'дод 2'!H191</f>
        <v>0</v>
      </c>
      <c r="H126" s="62">
        <f>'дод 2'!I191</f>
        <v>0</v>
      </c>
      <c r="I126" s="62">
        <f>'дод 2'!J191</f>
        <v>45000</v>
      </c>
      <c r="J126" s="62">
        <f>'дод 2'!K191</f>
        <v>45000</v>
      </c>
      <c r="K126" s="62">
        <f>'дод 2'!L191</f>
        <v>0</v>
      </c>
      <c r="L126" s="62">
        <f>'дод 2'!M191</f>
        <v>0</v>
      </c>
      <c r="M126" s="62">
        <f>'дод 2'!N191</f>
        <v>0</v>
      </c>
      <c r="N126" s="62">
        <f>'дод 2'!O191</f>
        <v>45000</v>
      </c>
      <c r="O126" s="62">
        <f>'дод 2'!P191</f>
        <v>45000</v>
      </c>
    </row>
    <row r="127" spans="1:15" ht="30.75" customHeight="1" x14ac:dyDescent="0.25">
      <c r="A127" s="46" t="s">
        <v>7</v>
      </c>
      <c r="B127" s="46" t="s">
        <v>102</v>
      </c>
      <c r="C127" s="3" t="s">
        <v>33</v>
      </c>
      <c r="D127" s="62">
        <f>'дод 2'!E43+'дод 2'!E155</f>
        <v>0</v>
      </c>
      <c r="E127" s="62">
        <f>'дод 2'!F43+'дод 2'!F155</f>
        <v>0</v>
      </c>
      <c r="F127" s="62">
        <f>'дод 2'!G43+'дод 2'!G155</f>
        <v>0</v>
      </c>
      <c r="G127" s="62">
        <f>'дод 2'!H43+'дод 2'!H155</f>
        <v>0</v>
      </c>
      <c r="H127" s="62">
        <f>'дод 2'!I43+'дод 2'!I155</f>
        <v>0</v>
      </c>
      <c r="I127" s="62">
        <f>'дод 2'!J43+'дод 2'!J155</f>
        <v>39614330</v>
      </c>
      <c r="J127" s="62">
        <f>'дод 2'!K43+'дод 2'!K155</f>
        <v>39614330</v>
      </c>
      <c r="K127" s="62">
        <f>'дод 2'!L43+'дод 2'!L155</f>
        <v>0</v>
      </c>
      <c r="L127" s="62">
        <f>'дод 2'!M43+'дод 2'!M155</f>
        <v>0</v>
      </c>
      <c r="M127" s="62">
        <f>'дод 2'!N43+'дод 2'!N155</f>
        <v>0</v>
      </c>
      <c r="N127" s="62">
        <f>'дод 2'!O43+'дод 2'!O155</f>
        <v>39614330</v>
      </c>
      <c r="O127" s="62">
        <f>'дод 2'!P43+'дод 2'!P155</f>
        <v>39614330</v>
      </c>
    </row>
    <row r="128" spans="1:15" ht="36.75" customHeight="1" x14ac:dyDescent="0.25">
      <c r="A128" s="46" t="s">
        <v>290</v>
      </c>
      <c r="B128" s="46" t="s">
        <v>102</v>
      </c>
      <c r="C128" s="3" t="s">
        <v>291</v>
      </c>
      <c r="D128" s="62">
        <f>'дод 2'!E44</f>
        <v>241467</v>
      </c>
      <c r="E128" s="62">
        <f>'дод 2'!F44</f>
        <v>241467</v>
      </c>
      <c r="F128" s="62">
        <f>'дод 2'!G44</f>
        <v>0</v>
      </c>
      <c r="G128" s="62">
        <f>'дод 2'!H44</f>
        <v>0</v>
      </c>
      <c r="H128" s="62">
        <f>'дод 2'!I44</f>
        <v>0</v>
      </c>
      <c r="I128" s="62">
        <f>'дод 2'!J44</f>
        <v>0</v>
      </c>
      <c r="J128" s="62">
        <f>'дод 2'!K44</f>
        <v>0</v>
      </c>
      <c r="K128" s="62">
        <f>'дод 2'!L44</f>
        <v>0</v>
      </c>
      <c r="L128" s="62">
        <f>'дод 2'!M44</f>
        <v>0</v>
      </c>
      <c r="M128" s="62">
        <f>'дод 2'!N44</f>
        <v>0</v>
      </c>
      <c r="N128" s="62">
        <f>'дод 2'!O44</f>
        <v>0</v>
      </c>
      <c r="O128" s="62">
        <f>'дод 2'!P44</f>
        <v>241467</v>
      </c>
    </row>
    <row r="129" spans="1:15" s="84" customFormat="1" ht="108" customHeight="1" x14ac:dyDescent="0.25">
      <c r="A129" s="46" t="s">
        <v>346</v>
      </c>
      <c r="B129" s="46" t="s">
        <v>102</v>
      </c>
      <c r="C129" s="3" t="s">
        <v>367</v>
      </c>
      <c r="D129" s="62">
        <f>'дод 2'!E45+'дод 2'!E156+'дод 2'!E176+'дод 2'!E181</f>
        <v>0</v>
      </c>
      <c r="E129" s="62">
        <f>'дод 2'!F45+'дод 2'!F156+'дод 2'!F176+'дод 2'!F181</f>
        <v>0</v>
      </c>
      <c r="F129" s="62">
        <f>'дод 2'!G45+'дод 2'!G156+'дод 2'!G176+'дод 2'!G181</f>
        <v>0</v>
      </c>
      <c r="G129" s="62">
        <f>'дод 2'!H45+'дод 2'!H156+'дод 2'!H176+'дод 2'!H181</f>
        <v>0</v>
      </c>
      <c r="H129" s="62">
        <f>'дод 2'!I45+'дод 2'!I156+'дод 2'!I176+'дод 2'!I181</f>
        <v>0</v>
      </c>
      <c r="I129" s="62">
        <f>'дод 2'!J45+'дод 2'!J156+'дод 2'!J176+'дод 2'!J181</f>
        <v>3887680.13</v>
      </c>
      <c r="J129" s="62">
        <f>'дод 2'!K45+'дод 2'!K156+'дод 2'!K176+'дод 2'!K181</f>
        <v>0</v>
      </c>
      <c r="K129" s="62">
        <f>'дод 2'!L45+'дод 2'!L156+'дод 2'!L176+'дод 2'!L181</f>
        <v>2171363.0100000002</v>
      </c>
      <c r="L129" s="62">
        <f>'дод 2'!M45+'дод 2'!M156+'дод 2'!M176+'дод 2'!M181</f>
        <v>0</v>
      </c>
      <c r="M129" s="62">
        <f>'дод 2'!N45+'дод 2'!N156+'дод 2'!N176+'дод 2'!N181</f>
        <v>0</v>
      </c>
      <c r="N129" s="62">
        <f>'дод 2'!O45+'дод 2'!O156+'дод 2'!O176+'дод 2'!O181</f>
        <v>1716317.12</v>
      </c>
      <c r="O129" s="62">
        <f>'дод 2'!P45+'дод 2'!P156+'дод 2'!P176+'дод 2'!P181</f>
        <v>3887680.13</v>
      </c>
    </row>
    <row r="130" spans="1:15" s="84" customFormat="1" ht="30.75" customHeight="1" x14ac:dyDescent="0.25">
      <c r="A130" s="46" t="s">
        <v>281</v>
      </c>
      <c r="B130" s="46" t="s">
        <v>102</v>
      </c>
      <c r="C130" s="3" t="s">
        <v>23</v>
      </c>
      <c r="D130" s="62">
        <f>'дод 2'!E46+'дод 2'!E192+'дод 2'!E197</f>
        <v>2772389</v>
      </c>
      <c r="E130" s="62">
        <f>'дод 2'!F46+'дод 2'!F192+'дод 2'!F197</f>
        <v>2772389</v>
      </c>
      <c r="F130" s="62">
        <f>'дод 2'!G46+'дод 2'!G192+'дод 2'!G197</f>
        <v>0</v>
      </c>
      <c r="G130" s="62">
        <f>'дод 2'!H46+'дод 2'!H192+'дод 2'!H197</f>
        <v>0</v>
      </c>
      <c r="H130" s="62">
        <f>'дод 2'!I46+'дод 2'!I192+'дод 2'!I197</f>
        <v>0</v>
      </c>
      <c r="I130" s="62">
        <f>'дод 2'!J46+'дод 2'!J192+'дод 2'!J197</f>
        <v>0</v>
      </c>
      <c r="J130" s="62">
        <f>'дод 2'!K46+'дод 2'!K192+'дод 2'!K197</f>
        <v>0</v>
      </c>
      <c r="K130" s="62">
        <f>'дод 2'!L46+'дод 2'!L192+'дод 2'!L197</f>
        <v>0</v>
      </c>
      <c r="L130" s="62">
        <f>'дод 2'!M46+'дод 2'!M192+'дод 2'!M197</f>
        <v>0</v>
      </c>
      <c r="M130" s="62">
        <f>'дод 2'!N46+'дод 2'!N192+'дод 2'!N197</f>
        <v>0</v>
      </c>
      <c r="N130" s="62">
        <f>'дод 2'!O46+'дод 2'!O192+'дод 2'!O197</f>
        <v>0</v>
      </c>
      <c r="O130" s="62">
        <f>'дод 2'!P46+'дод 2'!P192+'дод 2'!P197</f>
        <v>2772389</v>
      </c>
    </row>
    <row r="131" spans="1:15" s="83" customFormat="1" ht="48.75" customHeight="1" x14ac:dyDescent="0.25">
      <c r="A131" s="47">
        <v>7700</v>
      </c>
      <c r="B131" s="47"/>
      <c r="C131" s="99" t="s">
        <v>426</v>
      </c>
      <c r="D131" s="61">
        <f>D132</f>
        <v>0</v>
      </c>
      <c r="E131" s="61">
        <f t="shared" ref="E131:O131" si="18">E132</f>
        <v>0</v>
      </c>
      <c r="F131" s="61">
        <f t="shared" si="18"/>
        <v>0</v>
      </c>
      <c r="G131" s="61">
        <f t="shared" si="18"/>
        <v>0</v>
      </c>
      <c r="H131" s="61">
        <f t="shared" si="18"/>
        <v>0</v>
      </c>
      <c r="I131" s="61">
        <f t="shared" si="18"/>
        <v>885000</v>
      </c>
      <c r="J131" s="61">
        <f t="shared" si="18"/>
        <v>0</v>
      </c>
      <c r="K131" s="61">
        <f t="shared" si="18"/>
        <v>0</v>
      </c>
      <c r="L131" s="61">
        <f t="shared" si="18"/>
        <v>0</v>
      </c>
      <c r="M131" s="61">
        <f t="shared" si="18"/>
        <v>0</v>
      </c>
      <c r="N131" s="61">
        <f t="shared" si="18"/>
        <v>885000</v>
      </c>
      <c r="O131" s="61">
        <f t="shared" si="18"/>
        <v>885000</v>
      </c>
    </row>
    <row r="132" spans="1:15" s="84" customFormat="1" ht="46.5" customHeight="1" x14ac:dyDescent="0.25">
      <c r="A132" s="46">
        <v>7700</v>
      </c>
      <c r="B132" s="98" t="s">
        <v>113</v>
      </c>
      <c r="C132" s="24" t="s">
        <v>426</v>
      </c>
      <c r="D132" s="62">
        <f>'дод 2'!E95</f>
        <v>0</v>
      </c>
      <c r="E132" s="62">
        <f>'дод 2'!F95</f>
        <v>0</v>
      </c>
      <c r="F132" s="62">
        <f>'дод 2'!G95</f>
        <v>0</v>
      </c>
      <c r="G132" s="62">
        <f>'дод 2'!H95</f>
        <v>0</v>
      </c>
      <c r="H132" s="62">
        <f>'дод 2'!I95</f>
        <v>0</v>
      </c>
      <c r="I132" s="62">
        <f>'дод 2'!J95</f>
        <v>885000</v>
      </c>
      <c r="J132" s="62">
        <f>'дод 2'!K95</f>
        <v>0</v>
      </c>
      <c r="K132" s="62">
        <f>'дод 2'!L95</f>
        <v>0</v>
      </c>
      <c r="L132" s="62">
        <f>'дод 2'!M95</f>
        <v>0</v>
      </c>
      <c r="M132" s="62">
        <f>'дод 2'!N95</f>
        <v>0</v>
      </c>
      <c r="N132" s="62">
        <f>'дод 2'!O95</f>
        <v>885000</v>
      </c>
      <c r="O132" s="62">
        <f>'дод 2'!P95</f>
        <v>885000</v>
      </c>
    </row>
    <row r="133" spans="1:15" s="82" customFormat="1" x14ac:dyDescent="0.25">
      <c r="A133" s="47" t="s">
        <v>114</v>
      </c>
      <c r="B133" s="48"/>
      <c r="C133" s="2" t="s">
        <v>9</v>
      </c>
      <c r="D133" s="61">
        <f t="shared" ref="D133:O133" si="19">D134+D137+D139+D142+D144+D145</f>
        <v>11137585</v>
      </c>
      <c r="E133" s="61">
        <f t="shared" si="19"/>
        <v>3995195</v>
      </c>
      <c r="F133" s="61">
        <f t="shared" si="19"/>
        <v>1542220</v>
      </c>
      <c r="G133" s="61">
        <f t="shared" si="19"/>
        <v>365540</v>
      </c>
      <c r="H133" s="61">
        <f t="shared" si="19"/>
        <v>0</v>
      </c>
      <c r="I133" s="61">
        <f t="shared" si="19"/>
        <v>8524643.4499999993</v>
      </c>
      <c r="J133" s="61">
        <f t="shared" si="19"/>
        <v>2159600</v>
      </c>
      <c r="K133" s="61">
        <f t="shared" si="19"/>
        <v>2552000</v>
      </c>
      <c r="L133" s="61">
        <f t="shared" si="19"/>
        <v>0</v>
      </c>
      <c r="M133" s="61">
        <f t="shared" si="19"/>
        <v>541400</v>
      </c>
      <c r="N133" s="61">
        <f t="shared" si="19"/>
        <v>5972643.4500000002</v>
      </c>
      <c r="O133" s="61">
        <f t="shared" si="19"/>
        <v>19662228.449999999</v>
      </c>
    </row>
    <row r="134" spans="1:15" s="82" customFormat="1" ht="39.75" customHeight="1" x14ac:dyDescent="0.25">
      <c r="A134" s="47" t="s">
        <v>116</v>
      </c>
      <c r="B134" s="48"/>
      <c r="C134" s="2" t="s">
        <v>10</v>
      </c>
      <c r="D134" s="61">
        <f t="shared" ref="D134:O134" si="20">D135+D136</f>
        <v>2314770</v>
      </c>
      <c r="E134" s="61">
        <f t="shared" si="20"/>
        <v>2314770</v>
      </c>
      <c r="F134" s="61">
        <f t="shared" si="20"/>
        <v>1542220</v>
      </c>
      <c r="G134" s="61">
        <f t="shared" si="20"/>
        <v>87380</v>
      </c>
      <c r="H134" s="61">
        <f t="shared" si="20"/>
        <v>0</v>
      </c>
      <c r="I134" s="61">
        <f t="shared" si="20"/>
        <v>2165100</v>
      </c>
      <c r="J134" s="61">
        <f t="shared" si="20"/>
        <v>2159600</v>
      </c>
      <c r="K134" s="61">
        <f t="shared" si="20"/>
        <v>5500</v>
      </c>
      <c r="L134" s="61">
        <f t="shared" si="20"/>
        <v>0</v>
      </c>
      <c r="M134" s="61">
        <f t="shared" si="20"/>
        <v>1400</v>
      </c>
      <c r="N134" s="61">
        <f t="shared" si="20"/>
        <v>2159600</v>
      </c>
      <c r="O134" s="61">
        <f t="shared" si="20"/>
        <v>4479870</v>
      </c>
    </row>
    <row r="135" spans="1:15" s="82" customFormat="1" ht="36.75" customHeight="1" x14ac:dyDescent="0.25">
      <c r="A135" s="49" t="s">
        <v>11</v>
      </c>
      <c r="B135" s="49" t="s">
        <v>109</v>
      </c>
      <c r="C135" s="3" t="s">
        <v>347</v>
      </c>
      <c r="D135" s="62">
        <f>'дод 2'!E47</f>
        <v>284500</v>
      </c>
      <c r="E135" s="62">
        <f>'дод 2'!F47</f>
        <v>284500</v>
      </c>
      <c r="F135" s="62">
        <f>'дод 2'!G47</f>
        <v>0</v>
      </c>
      <c r="G135" s="62">
        <f>'дод 2'!H47</f>
        <v>7500</v>
      </c>
      <c r="H135" s="62">
        <f>'дод 2'!I47</f>
        <v>0</v>
      </c>
      <c r="I135" s="62">
        <f>'дод 2'!J47</f>
        <v>2159600</v>
      </c>
      <c r="J135" s="62">
        <f>'дод 2'!K47</f>
        <v>2159600</v>
      </c>
      <c r="K135" s="62">
        <f>'дод 2'!L47</f>
        <v>0</v>
      </c>
      <c r="L135" s="62">
        <f>'дод 2'!M47</f>
        <v>0</v>
      </c>
      <c r="M135" s="62">
        <f>'дод 2'!N47</f>
        <v>0</v>
      </c>
      <c r="N135" s="62">
        <f>'дод 2'!O47</f>
        <v>2159600</v>
      </c>
      <c r="O135" s="62">
        <f>'дод 2'!P47</f>
        <v>2444100</v>
      </c>
    </row>
    <row r="136" spans="1:15" ht="24.75" customHeight="1" x14ac:dyDescent="0.25">
      <c r="A136" s="46" t="s">
        <v>179</v>
      </c>
      <c r="B136" s="51" t="s">
        <v>109</v>
      </c>
      <c r="C136" s="3" t="s">
        <v>12</v>
      </c>
      <c r="D136" s="62">
        <f>'дод 2'!E48</f>
        <v>2030270</v>
      </c>
      <c r="E136" s="62">
        <f>'дод 2'!F48</f>
        <v>2030270</v>
      </c>
      <c r="F136" s="62">
        <f>'дод 2'!G48</f>
        <v>1542220</v>
      </c>
      <c r="G136" s="62">
        <f>'дод 2'!H48</f>
        <v>79880</v>
      </c>
      <c r="H136" s="62">
        <f>'дод 2'!I48</f>
        <v>0</v>
      </c>
      <c r="I136" s="62">
        <f>'дод 2'!J48</f>
        <v>5500</v>
      </c>
      <c r="J136" s="62">
        <f>'дод 2'!K48</f>
        <v>0</v>
      </c>
      <c r="K136" s="62">
        <f>'дод 2'!L48</f>
        <v>5500</v>
      </c>
      <c r="L136" s="62">
        <f>'дод 2'!M48</f>
        <v>0</v>
      </c>
      <c r="M136" s="62">
        <f>'дод 2'!N48</f>
        <v>1400</v>
      </c>
      <c r="N136" s="62">
        <f>'дод 2'!O48</f>
        <v>0</v>
      </c>
      <c r="O136" s="62">
        <f>'дод 2'!P48</f>
        <v>2035770</v>
      </c>
    </row>
    <row r="137" spans="1:15" s="82" customFormat="1" ht="30" customHeight="1" x14ac:dyDescent="0.25">
      <c r="A137" s="47" t="s">
        <v>292</v>
      </c>
      <c r="B137" s="47"/>
      <c r="C137" s="12" t="s">
        <v>293</v>
      </c>
      <c r="D137" s="61">
        <f t="shared" ref="D137:O137" si="21">D138</f>
        <v>793360</v>
      </c>
      <c r="E137" s="61">
        <f t="shared" si="21"/>
        <v>793360</v>
      </c>
      <c r="F137" s="61">
        <f t="shared" si="21"/>
        <v>0</v>
      </c>
      <c r="G137" s="61">
        <f t="shared" si="21"/>
        <v>278160</v>
      </c>
      <c r="H137" s="61">
        <f t="shared" si="21"/>
        <v>0</v>
      </c>
      <c r="I137" s="61">
        <f t="shared" si="21"/>
        <v>0</v>
      </c>
      <c r="J137" s="61">
        <f t="shared" si="21"/>
        <v>0</v>
      </c>
      <c r="K137" s="61">
        <f t="shared" si="21"/>
        <v>0</v>
      </c>
      <c r="L137" s="61">
        <f t="shared" si="21"/>
        <v>0</v>
      </c>
      <c r="M137" s="61">
        <f t="shared" si="21"/>
        <v>0</v>
      </c>
      <c r="N137" s="61">
        <f t="shared" si="21"/>
        <v>0</v>
      </c>
      <c r="O137" s="61">
        <f t="shared" si="21"/>
        <v>793360</v>
      </c>
    </row>
    <row r="138" spans="1:15" ht="30" customHeight="1" x14ac:dyDescent="0.25">
      <c r="A138" s="46" t="s">
        <v>286</v>
      </c>
      <c r="B138" s="51" t="s">
        <v>287</v>
      </c>
      <c r="C138" s="3" t="s">
        <v>288</v>
      </c>
      <c r="D138" s="62">
        <f>'дод 2'!E49+'дод 2'!E157</f>
        <v>793360</v>
      </c>
      <c r="E138" s="62">
        <f>'дод 2'!F49+'дод 2'!F157</f>
        <v>793360</v>
      </c>
      <c r="F138" s="62">
        <f>'дод 2'!G49+'дод 2'!G157</f>
        <v>0</v>
      </c>
      <c r="G138" s="62">
        <f>'дод 2'!H49+'дод 2'!H157</f>
        <v>278160</v>
      </c>
      <c r="H138" s="62">
        <f>'дод 2'!I49+'дод 2'!I157</f>
        <v>0</v>
      </c>
      <c r="I138" s="62">
        <f>'дод 2'!J49+'дод 2'!J157</f>
        <v>0</v>
      </c>
      <c r="J138" s="62">
        <f>'дод 2'!K49+'дод 2'!K157</f>
        <v>0</v>
      </c>
      <c r="K138" s="62">
        <f>'дод 2'!L49+'дод 2'!L157</f>
        <v>0</v>
      </c>
      <c r="L138" s="62">
        <f>'дод 2'!M49+'дод 2'!M157</f>
        <v>0</v>
      </c>
      <c r="M138" s="62">
        <f>'дод 2'!N49+'дод 2'!N157</f>
        <v>0</v>
      </c>
      <c r="N138" s="62">
        <f>'дод 2'!O49+'дод 2'!O157</f>
        <v>0</v>
      </c>
      <c r="O138" s="62">
        <f>'дод 2'!P49+'дод 2'!P157</f>
        <v>793360</v>
      </c>
    </row>
    <row r="139" spans="1:15" s="82" customFormat="1" ht="22.5" customHeight="1" x14ac:dyDescent="0.25">
      <c r="A139" s="47" t="s">
        <v>8</v>
      </c>
      <c r="B139" s="48"/>
      <c r="C139" s="2" t="s">
        <v>13</v>
      </c>
      <c r="D139" s="61">
        <f t="shared" ref="D139:O139" si="22">D141+D140</f>
        <v>75000</v>
      </c>
      <c r="E139" s="61">
        <f t="shared" si="22"/>
        <v>75000</v>
      </c>
      <c r="F139" s="61">
        <f t="shared" si="22"/>
        <v>0</v>
      </c>
      <c r="G139" s="61">
        <f t="shared" si="22"/>
        <v>0</v>
      </c>
      <c r="H139" s="61">
        <f t="shared" si="22"/>
        <v>0</v>
      </c>
      <c r="I139" s="61">
        <f t="shared" si="22"/>
        <v>6359543.4500000002</v>
      </c>
      <c r="J139" s="61">
        <f t="shared" si="22"/>
        <v>0</v>
      </c>
      <c r="K139" s="61">
        <f t="shared" si="22"/>
        <v>2546500</v>
      </c>
      <c r="L139" s="61">
        <f t="shared" si="22"/>
        <v>0</v>
      </c>
      <c r="M139" s="61">
        <f t="shared" si="22"/>
        <v>540000</v>
      </c>
      <c r="N139" s="61">
        <f t="shared" si="22"/>
        <v>3813043.45</v>
      </c>
      <c r="O139" s="61">
        <f t="shared" si="22"/>
        <v>6434543.4500000002</v>
      </c>
    </row>
    <row r="140" spans="1:15" s="82" customFormat="1" ht="46.5" customHeight="1" x14ac:dyDescent="0.25">
      <c r="A140" s="46">
        <v>8330</v>
      </c>
      <c r="B140" s="46">
        <v>540</v>
      </c>
      <c r="C140" s="3" t="s">
        <v>409</v>
      </c>
      <c r="D140" s="62">
        <f>'дод 2'!E198</f>
        <v>75000</v>
      </c>
      <c r="E140" s="62">
        <f>'дод 2'!F198</f>
        <v>75000</v>
      </c>
      <c r="F140" s="62">
        <f>'дод 2'!G198</f>
        <v>0</v>
      </c>
      <c r="G140" s="62">
        <f>'дод 2'!H198</f>
        <v>0</v>
      </c>
      <c r="H140" s="62">
        <f>'дод 2'!I198</f>
        <v>0</v>
      </c>
      <c r="I140" s="62">
        <f>'дод 2'!J198</f>
        <v>0</v>
      </c>
      <c r="J140" s="62">
        <f>'дод 2'!K198</f>
        <v>0</v>
      </c>
      <c r="K140" s="62">
        <f>'дод 2'!L198</f>
        <v>0</v>
      </c>
      <c r="L140" s="62">
        <f>'дод 2'!M198</f>
        <v>0</v>
      </c>
      <c r="M140" s="62">
        <f>'дод 2'!N198</f>
        <v>0</v>
      </c>
      <c r="N140" s="62">
        <f>'дод 2'!O198</f>
        <v>0</v>
      </c>
      <c r="O140" s="62">
        <f>'дод 2'!P198</f>
        <v>75000</v>
      </c>
    </row>
    <row r="141" spans="1:15" s="82" customFormat="1" ht="25.5" customHeight="1" x14ac:dyDescent="0.25">
      <c r="A141" s="46" t="s">
        <v>14</v>
      </c>
      <c r="B141" s="46" t="s">
        <v>112</v>
      </c>
      <c r="C141" s="3" t="s">
        <v>15</v>
      </c>
      <c r="D141" s="62">
        <f>'дод 2'!E50+'дод 2'!E76+'дод 2'!E158+'дод 2'!E199+'дод 2'!E132</f>
        <v>0</v>
      </c>
      <c r="E141" s="62">
        <f>'дод 2'!F50+'дод 2'!F76+'дод 2'!F158+'дод 2'!F199+'дод 2'!F132</f>
        <v>0</v>
      </c>
      <c r="F141" s="62">
        <f>'дод 2'!G50+'дод 2'!G76+'дод 2'!G158+'дод 2'!G199+'дод 2'!G132</f>
        <v>0</v>
      </c>
      <c r="G141" s="62">
        <f>'дод 2'!H50+'дод 2'!H76+'дод 2'!H158+'дод 2'!H199+'дод 2'!H132</f>
        <v>0</v>
      </c>
      <c r="H141" s="62">
        <f>'дод 2'!I50+'дод 2'!I76+'дод 2'!I158+'дод 2'!I199+'дод 2'!I132</f>
        <v>0</v>
      </c>
      <c r="I141" s="62">
        <f>'дод 2'!J50+'дод 2'!J76+'дод 2'!J158+'дод 2'!J199+'дод 2'!J132</f>
        <v>6359543.4500000002</v>
      </c>
      <c r="J141" s="62">
        <f>'дод 2'!K50+'дод 2'!K76+'дод 2'!K158+'дод 2'!K199+'дод 2'!K132</f>
        <v>0</v>
      </c>
      <c r="K141" s="62">
        <f>'дод 2'!L50+'дод 2'!L76+'дод 2'!L158+'дод 2'!L199+'дод 2'!L132</f>
        <v>2546500</v>
      </c>
      <c r="L141" s="62">
        <f>'дод 2'!M50+'дод 2'!M76+'дод 2'!M158+'дод 2'!M199+'дод 2'!M132</f>
        <v>0</v>
      </c>
      <c r="M141" s="62">
        <f>'дод 2'!N50+'дод 2'!N76+'дод 2'!N158+'дод 2'!N199+'дод 2'!N132</f>
        <v>540000</v>
      </c>
      <c r="N141" s="62">
        <f>'дод 2'!O50+'дод 2'!O76+'дод 2'!O158+'дод 2'!O199+'дод 2'!O132</f>
        <v>3813043.45</v>
      </c>
      <c r="O141" s="62">
        <f>'дод 2'!P50+'дод 2'!P76+'дод 2'!P158+'дод 2'!P199+'дод 2'!P132</f>
        <v>6359543.4500000002</v>
      </c>
    </row>
    <row r="142" spans="1:15" s="82" customFormat="1" ht="26.25" customHeight="1" x14ac:dyDescent="0.25">
      <c r="A142" s="47" t="s">
        <v>161</v>
      </c>
      <c r="B142" s="48"/>
      <c r="C142" s="2" t="s">
        <v>95</v>
      </c>
      <c r="D142" s="61">
        <f t="shared" ref="D142:O142" si="23">D143</f>
        <v>100000</v>
      </c>
      <c r="E142" s="61">
        <f t="shared" si="23"/>
        <v>100000</v>
      </c>
      <c r="F142" s="61">
        <f t="shared" si="23"/>
        <v>0</v>
      </c>
      <c r="G142" s="61">
        <f t="shared" si="23"/>
        <v>0</v>
      </c>
      <c r="H142" s="61">
        <f t="shared" si="23"/>
        <v>0</v>
      </c>
      <c r="I142" s="61">
        <f t="shared" si="23"/>
        <v>0</v>
      </c>
      <c r="J142" s="61">
        <f t="shared" si="23"/>
        <v>0</v>
      </c>
      <c r="K142" s="61">
        <f t="shared" si="23"/>
        <v>0</v>
      </c>
      <c r="L142" s="61">
        <f t="shared" si="23"/>
        <v>0</v>
      </c>
      <c r="M142" s="61">
        <f t="shared" si="23"/>
        <v>0</v>
      </c>
      <c r="N142" s="61">
        <f t="shared" si="23"/>
        <v>0</v>
      </c>
      <c r="O142" s="61">
        <f t="shared" si="23"/>
        <v>100000</v>
      </c>
    </row>
    <row r="143" spans="1:15" s="82" customFormat="1" ht="25.5" customHeight="1" x14ac:dyDescent="0.25">
      <c r="A143" s="46" t="s">
        <v>297</v>
      </c>
      <c r="B143" s="51" t="s">
        <v>96</v>
      </c>
      <c r="C143" s="3" t="s">
        <v>298</v>
      </c>
      <c r="D143" s="62">
        <f>'дод 2'!E51</f>
        <v>100000</v>
      </c>
      <c r="E143" s="62">
        <f>'дод 2'!F51</f>
        <v>100000</v>
      </c>
      <c r="F143" s="62">
        <f>'дод 2'!G51</f>
        <v>0</v>
      </c>
      <c r="G143" s="62">
        <f>'дод 2'!H51</f>
        <v>0</v>
      </c>
      <c r="H143" s="62">
        <f>'дод 2'!I51</f>
        <v>0</v>
      </c>
      <c r="I143" s="62">
        <f>'дод 2'!J51</f>
        <v>0</v>
      </c>
      <c r="J143" s="62">
        <f>'дод 2'!K51</f>
        <v>0</v>
      </c>
      <c r="K143" s="62">
        <f>'дод 2'!L51</f>
        <v>0</v>
      </c>
      <c r="L143" s="62">
        <f>'дод 2'!M51</f>
        <v>0</v>
      </c>
      <c r="M143" s="62">
        <f>'дод 2'!N51</f>
        <v>0</v>
      </c>
      <c r="N143" s="62">
        <f>'дод 2'!O51</f>
        <v>0</v>
      </c>
      <c r="O143" s="62">
        <f>'дод 2'!P51</f>
        <v>100000</v>
      </c>
    </row>
    <row r="144" spans="1:15" s="82" customFormat="1" ht="26.25" customHeight="1" x14ac:dyDescent="0.25">
      <c r="A144" s="47" t="s">
        <v>115</v>
      </c>
      <c r="B144" s="47" t="s">
        <v>110</v>
      </c>
      <c r="C144" s="2" t="s">
        <v>16</v>
      </c>
      <c r="D144" s="61">
        <f>'дод 2'!E200</f>
        <v>712065</v>
      </c>
      <c r="E144" s="61">
        <f>'дод 2'!F200</f>
        <v>712065</v>
      </c>
      <c r="F144" s="61">
        <f>'дод 2'!G200</f>
        <v>0</v>
      </c>
      <c r="G144" s="61">
        <f>'дод 2'!H200</f>
        <v>0</v>
      </c>
      <c r="H144" s="61">
        <f>'дод 2'!I200</f>
        <v>0</v>
      </c>
      <c r="I144" s="61">
        <f>'дод 2'!J200</f>
        <v>0</v>
      </c>
      <c r="J144" s="61">
        <f>'дод 2'!K200</f>
        <v>0</v>
      </c>
      <c r="K144" s="61">
        <f>'дод 2'!L200</f>
        <v>0</v>
      </c>
      <c r="L144" s="61">
        <f>'дод 2'!M200</f>
        <v>0</v>
      </c>
      <c r="M144" s="61">
        <f>'дод 2'!N200</f>
        <v>0</v>
      </c>
      <c r="N144" s="61">
        <f>'дод 2'!O200</f>
        <v>0</v>
      </c>
      <c r="O144" s="61">
        <f>'дод 2'!P200</f>
        <v>712065</v>
      </c>
    </row>
    <row r="145" spans="1:16" s="82" customFormat="1" ht="26.25" customHeight="1" x14ac:dyDescent="0.25">
      <c r="A145" s="47" t="s">
        <v>17</v>
      </c>
      <c r="B145" s="47" t="s">
        <v>113</v>
      </c>
      <c r="C145" s="2" t="s">
        <v>26</v>
      </c>
      <c r="D145" s="61">
        <f>'дод 2'!E201</f>
        <v>7142390</v>
      </c>
      <c r="E145" s="61">
        <f>'дод 2'!F201</f>
        <v>0</v>
      </c>
      <c r="F145" s="61">
        <f>'дод 2'!G201</f>
        <v>0</v>
      </c>
      <c r="G145" s="61">
        <f>'дод 2'!H201</f>
        <v>0</v>
      </c>
      <c r="H145" s="61">
        <f>'дод 2'!I201</f>
        <v>0</v>
      </c>
      <c r="I145" s="61">
        <f>'дод 2'!J201</f>
        <v>0</v>
      </c>
      <c r="J145" s="61">
        <f>'дод 2'!K201</f>
        <v>0</v>
      </c>
      <c r="K145" s="61">
        <f>'дод 2'!L201</f>
        <v>0</v>
      </c>
      <c r="L145" s="61">
        <f>'дод 2'!M201</f>
        <v>0</v>
      </c>
      <c r="M145" s="61">
        <f>'дод 2'!N201</f>
        <v>0</v>
      </c>
      <c r="N145" s="61">
        <f>'дод 2'!O201</f>
        <v>0</v>
      </c>
      <c r="O145" s="61">
        <f>'дод 2'!P201</f>
        <v>7142390</v>
      </c>
    </row>
    <row r="146" spans="1:16" s="82" customFormat="1" ht="27.75" customHeight="1" x14ac:dyDescent="0.25">
      <c r="A146" s="47" t="s">
        <v>18</v>
      </c>
      <c r="B146" s="47"/>
      <c r="C146" s="2" t="s">
        <v>131</v>
      </c>
      <c r="D146" s="61">
        <f>D147+D149+D151</f>
        <v>109639485</v>
      </c>
      <c r="E146" s="61">
        <f t="shared" ref="E146:O146" si="24">E147+E149+E151</f>
        <v>109639485</v>
      </c>
      <c r="F146" s="61">
        <f t="shared" si="24"/>
        <v>0</v>
      </c>
      <c r="G146" s="61">
        <f t="shared" si="24"/>
        <v>0</v>
      </c>
      <c r="H146" s="61">
        <f t="shared" si="24"/>
        <v>0</v>
      </c>
      <c r="I146" s="61">
        <f t="shared" si="24"/>
        <v>7632000</v>
      </c>
      <c r="J146" s="61">
        <f t="shared" si="24"/>
        <v>7632000</v>
      </c>
      <c r="K146" s="61">
        <f t="shared" si="24"/>
        <v>0</v>
      </c>
      <c r="L146" s="61">
        <f t="shared" si="24"/>
        <v>0</v>
      </c>
      <c r="M146" s="61">
        <f t="shared" si="24"/>
        <v>0</v>
      </c>
      <c r="N146" s="61">
        <f t="shared" si="24"/>
        <v>7632000</v>
      </c>
      <c r="O146" s="61">
        <f t="shared" si="24"/>
        <v>117271485</v>
      </c>
    </row>
    <row r="147" spans="1:16" s="82" customFormat="1" ht="21.75" customHeight="1" x14ac:dyDescent="0.25">
      <c r="A147" s="47" t="s">
        <v>295</v>
      </c>
      <c r="B147" s="47"/>
      <c r="C147" s="2" t="s">
        <v>348</v>
      </c>
      <c r="D147" s="61">
        <f t="shared" ref="D147:O147" si="25">D148</f>
        <v>108116600</v>
      </c>
      <c r="E147" s="61">
        <f t="shared" si="25"/>
        <v>108116600</v>
      </c>
      <c r="F147" s="61">
        <f t="shared" si="25"/>
        <v>0</v>
      </c>
      <c r="G147" s="61">
        <f t="shared" si="25"/>
        <v>0</v>
      </c>
      <c r="H147" s="61">
        <f t="shared" si="25"/>
        <v>0</v>
      </c>
      <c r="I147" s="61">
        <f t="shared" si="25"/>
        <v>0</v>
      </c>
      <c r="J147" s="61">
        <f t="shared" si="25"/>
        <v>0</v>
      </c>
      <c r="K147" s="61">
        <f t="shared" si="25"/>
        <v>0</v>
      </c>
      <c r="L147" s="61">
        <f t="shared" si="25"/>
        <v>0</v>
      </c>
      <c r="M147" s="61">
        <f t="shared" si="25"/>
        <v>0</v>
      </c>
      <c r="N147" s="61">
        <f t="shared" si="25"/>
        <v>0</v>
      </c>
      <c r="O147" s="61">
        <f t="shared" si="25"/>
        <v>108116600</v>
      </c>
    </row>
    <row r="148" spans="1:16" s="82" customFormat="1" ht="21.75" customHeight="1" x14ac:dyDescent="0.25">
      <c r="A148" s="46" t="s">
        <v>111</v>
      </c>
      <c r="B148" s="51" t="s">
        <v>59</v>
      </c>
      <c r="C148" s="3" t="s">
        <v>130</v>
      </c>
      <c r="D148" s="62">
        <f>'дод 2'!E202</f>
        <v>108116600</v>
      </c>
      <c r="E148" s="62">
        <f>'дод 2'!F202</f>
        <v>108116600</v>
      </c>
      <c r="F148" s="62">
        <f>'дод 2'!G202</f>
        <v>0</v>
      </c>
      <c r="G148" s="62">
        <f>'дод 2'!H202</f>
        <v>0</v>
      </c>
      <c r="H148" s="62">
        <f>'дод 2'!I202</f>
        <v>0</v>
      </c>
      <c r="I148" s="62">
        <f>'дод 2'!J202</f>
        <v>0</v>
      </c>
      <c r="J148" s="62">
        <f>'дод 2'!K202</f>
        <v>0</v>
      </c>
      <c r="K148" s="62">
        <f>'дод 2'!L202</f>
        <v>0</v>
      </c>
      <c r="L148" s="62">
        <f>'дод 2'!M202</f>
        <v>0</v>
      </c>
      <c r="M148" s="62">
        <f>'дод 2'!N202</f>
        <v>0</v>
      </c>
      <c r="N148" s="62">
        <f>'дод 2'!O202</f>
        <v>0</v>
      </c>
      <c r="O148" s="62">
        <f>'дод 2'!P202</f>
        <v>108116600</v>
      </c>
    </row>
    <row r="149" spans="1:16" s="82" customFormat="1" ht="50.25" customHeight="1" x14ac:dyDescent="0.25">
      <c r="A149" s="47" t="s">
        <v>19</v>
      </c>
      <c r="B149" s="48"/>
      <c r="C149" s="2" t="s">
        <v>408</v>
      </c>
      <c r="D149" s="61">
        <f t="shared" ref="D149:O149" si="26">D150</f>
        <v>1438000</v>
      </c>
      <c r="E149" s="61">
        <f t="shared" si="26"/>
        <v>1438000</v>
      </c>
      <c r="F149" s="61">
        <f t="shared" si="26"/>
        <v>0</v>
      </c>
      <c r="G149" s="61">
        <f t="shared" si="26"/>
        <v>0</v>
      </c>
      <c r="H149" s="61">
        <f t="shared" si="26"/>
        <v>0</v>
      </c>
      <c r="I149" s="61">
        <f t="shared" si="26"/>
        <v>7632000</v>
      </c>
      <c r="J149" s="61">
        <f t="shared" si="26"/>
        <v>7632000</v>
      </c>
      <c r="K149" s="61">
        <f t="shared" si="26"/>
        <v>0</v>
      </c>
      <c r="L149" s="61">
        <f t="shared" si="26"/>
        <v>0</v>
      </c>
      <c r="M149" s="61">
        <f t="shared" si="26"/>
        <v>0</v>
      </c>
      <c r="N149" s="61">
        <f t="shared" si="26"/>
        <v>7632000</v>
      </c>
      <c r="O149" s="61">
        <f t="shared" si="26"/>
        <v>9070000</v>
      </c>
    </row>
    <row r="150" spans="1:16" s="82" customFormat="1" ht="30.75" customHeight="1" x14ac:dyDescent="0.25">
      <c r="A150" s="46" t="s">
        <v>20</v>
      </c>
      <c r="B150" s="51" t="s">
        <v>59</v>
      </c>
      <c r="C150" s="6" t="s">
        <v>417</v>
      </c>
      <c r="D150" s="62">
        <f>'дод 2'!E159+'дод 2'!E117</f>
        <v>1438000</v>
      </c>
      <c r="E150" s="62">
        <f>'дод 2'!F159+'дод 2'!F117</f>
        <v>1438000</v>
      </c>
      <c r="F150" s="62">
        <f>'дод 2'!G159+'дод 2'!G117</f>
        <v>0</v>
      </c>
      <c r="G150" s="62">
        <f>'дод 2'!H159+'дод 2'!H117</f>
        <v>0</v>
      </c>
      <c r="H150" s="62">
        <f>'дод 2'!I159+'дод 2'!I117</f>
        <v>0</v>
      </c>
      <c r="I150" s="62">
        <f>'дод 2'!J159+'дод 2'!J117</f>
        <v>7632000</v>
      </c>
      <c r="J150" s="62">
        <f>'дод 2'!K159+'дод 2'!K117</f>
        <v>7632000</v>
      </c>
      <c r="K150" s="62">
        <f>'дод 2'!L159+'дод 2'!L117</f>
        <v>0</v>
      </c>
      <c r="L150" s="62">
        <f>'дод 2'!M159+'дод 2'!M117</f>
        <v>0</v>
      </c>
      <c r="M150" s="62">
        <f>'дод 2'!N159+'дод 2'!N117</f>
        <v>0</v>
      </c>
      <c r="N150" s="62">
        <f>'дод 2'!O159+'дод 2'!O117</f>
        <v>7632000</v>
      </c>
      <c r="O150" s="62">
        <f>'дод 2'!P159+'дод 2'!P117</f>
        <v>9070000</v>
      </c>
    </row>
    <row r="151" spans="1:16" s="82" customFormat="1" ht="55.5" customHeight="1" x14ac:dyDescent="0.25">
      <c r="A151" s="47" t="s">
        <v>444</v>
      </c>
      <c r="B151" s="48" t="s">
        <v>59</v>
      </c>
      <c r="C151" s="9" t="s">
        <v>441</v>
      </c>
      <c r="D151" s="62">
        <f>'дод 2'!E77</f>
        <v>84885</v>
      </c>
      <c r="E151" s="62">
        <f>'дод 2'!F77</f>
        <v>84885</v>
      </c>
      <c r="F151" s="62">
        <f>'дод 2'!G77</f>
        <v>0</v>
      </c>
      <c r="G151" s="62">
        <f>'дод 2'!H77</f>
        <v>0</v>
      </c>
      <c r="H151" s="62">
        <f>'дод 2'!I77</f>
        <v>0</v>
      </c>
      <c r="I151" s="62">
        <f>'дод 2'!J77</f>
        <v>0</v>
      </c>
      <c r="J151" s="62">
        <f>'дод 2'!K77</f>
        <v>0</v>
      </c>
      <c r="K151" s="62">
        <f>'дод 2'!L77</f>
        <v>0</v>
      </c>
      <c r="L151" s="62">
        <f>'дод 2'!M77</f>
        <v>0</v>
      </c>
      <c r="M151" s="62">
        <f>'дод 2'!N77</f>
        <v>0</v>
      </c>
      <c r="N151" s="62">
        <f>'дод 2'!O77</f>
        <v>0</v>
      </c>
      <c r="O151" s="62">
        <f>'дод 2'!P77</f>
        <v>84885</v>
      </c>
    </row>
    <row r="152" spans="1:16" s="82" customFormat="1" ht="25.5" customHeight="1" x14ac:dyDescent="0.25">
      <c r="A152" s="7"/>
      <c r="B152" s="7"/>
      <c r="C152" s="2" t="s">
        <v>27</v>
      </c>
      <c r="D152" s="61">
        <f t="shared" ref="D152:O152" si="27">D19+D22+D39+D52+D76+D81+D88+D97+D133+D146</f>
        <v>2085839361.5900002</v>
      </c>
      <c r="E152" s="61">
        <f t="shared" si="27"/>
        <v>2031695533.5900002</v>
      </c>
      <c r="F152" s="61">
        <f t="shared" si="27"/>
        <v>908969732</v>
      </c>
      <c r="G152" s="61">
        <f t="shared" si="27"/>
        <v>121583763</v>
      </c>
      <c r="H152" s="61">
        <f t="shared" si="27"/>
        <v>47001438</v>
      </c>
      <c r="I152" s="61">
        <f t="shared" si="27"/>
        <v>593419667.11000001</v>
      </c>
      <c r="J152" s="61">
        <f t="shared" si="27"/>
        <v>432768420.46999997</v>
      </c>
      <c r="K152" s="61">
        <f t="shared" si="27"/>
        <v>144233011.00999999</v>
      </c>
      <c r="L152" s="61">
        <f t="shared" si="27"/>
        <v>9012497</v>
      </c>
      <c r="M152" s="61">
        <f t="shared" si="27"/>
        <v>3810541</v>
      </c>
      <c r="N152" s="61">
        <f t="shared" si="27"/>
        <v>449186656.09999996</v>
      </c>
      <c r="O152" s="61">
        <f t="shared" si="27"/>
        <v>2679259028.6999998</v>
      </c>
    </row>
    <row r="153" spans="1:16" s="82" customFormat="1" ht="25.5" customHeight="1" x14ac:dyDescent="0.25">
      <c r="A153" s="7"/>
      <c r="B153" s="7"/>
      <c r="C153" s="2" t="s">
        <v>308</v>
      </c>
      <c r="D153" s="61">
        <f>D23+D40+D98</f>
        <v>439414289</v>
      </c>
      <c r="E153" s="61">
        <f t="shared" ref="E153:O153" si="28">E23+E40+E98</f>
        <v>439414289</v>
      </c>
      <c r="F153" s="61">
        <f t="shared" si="28"/>
        <v>307191100</v>
      </c>
      <c r="G153" s="61">
        <f t="shared" si="28"/>
        <v>0</v>
      </c>
      <c r="H153" s="61">
        <f t="shared" si="28"/>
        <v>0</v>
      </c>
      <c r="I153" s="61">
        <f t="shared" si="28"/>
        <v>82674037.930000007</v>
      </c>
      <c r="J153" s="61">
        <f t="shared" si="28"/>
        <v>2674037.9299999997</v>
      </c>
      <c r="K153" s="61">
        <f t="shared" si="28"/>
        <v>80000000</v>
      </c>
      <c r="L153" s="61">
        <f t="shared" si="28"/>
        <v>0</v>
      </c>
      <c r="M153" s="61">
        <f t="shared" si="28"/>
        <v>0</v>
      </c>
      <c r="N153" s="61">
        <f t="shared" si="28"/>
        <v>2674037.9299999997</v>
      </c>
      <c r="O153" s="61">
        <f t="shared" si="28"/>
        <v>522088326.93000001</v>
      </c>
    </row>
    <row r="154" spans="1:16" s="82" customFormat="1" ht="25.5" customHeight="1" x14ac:dyDescent="0.25">
      <c r="A154" s="146"/>
      <c r="B154" s="146"/>
      <c r="C154" s="147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</row>
    <row r="155" spans="1:16" s="82" customFormat="1" ht="25.5" customHeight="1" x14ac:dyDescent="0.25">
      <c r="A155" s="146"/>
      <c r="B155" s="146"/>
      <c r="C155" s="14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16" s="82" customFormat="1" ht="25.5" customHeight="1" x14ac:dyDescent="0.25">
      <c r="A156" s="146"/>
      <c r="B156" s="146"/>
      <c r="C156" s="147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</row>
    <row r="157" spans="1:16" s="82" customFormat="1" ht="25.5" customHeight="1" x14ac:dyDescent="0.25">
      <c r="A157" s="146"/>
      <c r="B157" s="146"/>
      <c r="C157" s="14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6" s="54" customFormat="1" x14ac:dyDescent="0.25">
      <c r="A158" s="108"/>
      <c r="B158" s="53"/>
      <c r="C158" s="53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</row>
    <row r="159" spans="1:16" ht="15.75" customHeight="1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1:16" ht="28.5" customHeight="1" x14ac:dyDescent="0.45">
      <c r="A160" s="138" t="s">
        <v>460</v>
      </c>
      <c r="B160" s="138"/>
      <c r="C160" s="138"/>
      <c r="D160" s="138"/>
      <c r="E160" s="138"/>
      <c r="F160" s="138"/>
      <c r="G160" s="138"/>
      <c r="H160" s="138"/>
      <c r="I160" s="139"/>
      <c r="J160" s="139"/>
      <c r="K160" s="139"/>
      <c r="L160" s="140"/>
      <c r="M160" s="140"/>
      <c r="N160" s="155" t="s">
        <v>461</v>
      </c>
      <c r="O160" s="155"/>
      <c r="P160" s="155"/>
    </row>
    <row r="161" spans="1:24" ht="30" customHeight="1" x14ac:dyDescent="0.45">
      <c r="A161" s="141"/>
      <c r="B161" s="141"/>
      <c r="C161" s="141"/>
      <c r="D161" s="142"/>
      <c r="E161" s="143"/>
      <c r="F161" s="143"/>
      <c r="G161" s="143"/>
      <c r="H161" s="143"/>
      <c r="I161" s="143"/>
      <c r="J161" s="143"/>
      <c r="K161" s="144"/>
      <c r="L161" s="143"/>
      <c r="M161" s="143"/>
      <c r="N161" s="34"/>
      <c r="O161" s="34"/>
      <c r="P161" s="34"/>
    </row>
    <row r="162" spans="1:24" ht="30" customHeight="1" x14ac:dyDescent="0.4">
      <c r="A162" s="145" t="s">
        <v>462</v>
      </c>
      <c r="B162" s="112"/>
      <c r="C162" s="112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1:24" ht="15.75" customHeight="1" x14ac:dyDescent="0.4">
      <c r="A163" s="145" t="s">
        <v>463</v>
      </c>
      <c r="B163" s="112"/>
      <c r="C163" s="112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24" s="128" customFormat="1" ht="35.25" customHeight="1" x14ac:dyDescent="0.5">
      <c r="A164" s="126"/>
      <c r="B164" s="126"/>
      <c r="C164" s="126"/>
      <c r="D164" s="126"/>
      <c r="E164" s="126"/>
      <c r="F164" s="126"/>
      <c r="G164" s="126"/>
      <c r="H164" s="126"/>
      <c r="I164" s="127"/>
      <c r="J164" s="127"/>
      <c r="K164" s="127"/>
      <c r="M164" s="158"/>
      <c r="N164" s="158"/>
      <c r="O164" s="158"/>
      <c r="P164" s="105"/>
      <c r="Q164" s="129"/>
      <c r="R164" s="129"/>
      <c r="S164" s="129"/>
      <c r="T164" s="129"/>
      <c r="U164" s="129"/>
      <c r="V164" s="129"/>
      <c r="W164" s="130"/>
      <c r="X164" s="131"/>
    </row>
    <row r="165" spans="1:24" ht="23.25" customHeight="1" x14ac:dyDescent="0.25"/>
    <row r="167" spans="1:24" ht="22.5" customHeight="1" x14ac:dyDescent="0.25"/>
  </sheetData>
  <mergeCells count="23"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  <mergeCell ref="M164:O164"/>
    <mergeCell ref="N160:P160"/>
    <mergeCell ref="I16:N16"/>
    <mergeCell ref="H17:H18"/>
    <mergeCell ref="I17:I18"/>
    <mergeCell ref="J17:J18"/>
    <mergeCell ref="O16:O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Пасиленко Ганна Михайлівна</cp:lastModifiedBy>
  <cp:lastPrinted>2020-04-01T06:28:23Z</cp:lastPrinted>
  <dcterms:created xsi:type="dcterms:W3CDTF">2014-01-17T10:52:16Z</dcterms:created>
  <dcterms:modified xsi:type="dcterms:W3CDTF">2020-04-02T08:55:30Z</dcterms:modified>
</cp:coreProperties>
</file>