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Показники" sheetId="1" r:id="rId1"/>
  </sheets>
  <definedNames>
    <definedName name="_xlnm.Print_Area" localSheetId="0">'Показники'!$A$1:$K$398</definedName>
  </definedNames>
  <calcPr fullCalcOnLoad="1"/>
</workbook>
</file>

<file path=xl/sharedStrings.xml><?xml version="1.0" encoding="utf-8"?>
<sst xmlns="http://schemas.openxmlformats.org/spreadsheetml/2006/main" count="401" uniqueCount="240">
  <si>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</si>
  <si>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</si>
  <si>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</si>
  <si>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</si>
  <si>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</si>
  <si>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</si>
  <si>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</si>
  <si>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</si>
  <si>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</si>
  <si>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</si>
  <si>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</si>
  <si>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</si>
  <si>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</si>
  <si>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</si>
  <si>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</si>
  <si>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</si>
  <si>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</si>
  <si>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</si>
  <si>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</si>
  <si>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</si>
  <si>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</si>
  <si>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</si>
  <si>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</si>
  <si>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</si>
  <si>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</si>
  <si>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</si>
  <si>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</si>
  <si>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</si>
  <si>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</si>
  <si>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</si>
  <si>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</si>
  <si>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</si>
  <si>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</si>
  <si>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</si>
  <si>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</si>
  <si>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</si>
  <si>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</si>
  <si>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</si>
  <si>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</si>
  <si>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</si>
  <si>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</si>
  <si>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</si>
  <si>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</si>
  <si>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</si>
  <si>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</si>
  <si>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</si>
  <si>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</si>
  <si>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</si>
  <si>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</si>
  <si>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</si>
  <si>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</si>
  <si>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</si>
  <si>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</si>
  <si>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</si>
  <si>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</si>
  <si>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</si>
  <si>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</si>
  <si>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</si>
  <si>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</si>
  <si>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</si>
  <si>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</si>
  <si>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</si>
  <si>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</si>
  <si>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</si>
  <si>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</si>
  <si>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</si>
  <si>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</si>
  <si>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</si>
  <si>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</si>
  <si>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</si>
  <si>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</si>
  <si>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</si>
  <si>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</si>
  <si>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</si>
  <si>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</si>
  <si>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</si>
  <si>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</si>
  <si>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</si>
  <si>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</si>
  <si>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</si>
  <si>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</si>
  <si>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</si>
  <si>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</si>
  <si>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</si>
  <si>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</si>
  <si>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</si>
  <si>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</si>
  <si>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</si>
  <si>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</si>
  <si>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</si>
  <si>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</si>
  <si>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</si>
  <si>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</si>
  <si>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</si>
  <si>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</si>
  <si>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</si>
  <si>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</si>
  <si>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</si>
  <si>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</si>
  <si>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</si>
  <si>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</si>
  <si>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</si>
  <si>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</si>
  <si>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</si>
  <si>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</si>
  <si>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</si>
  <si>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</si>
  <si>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</si>
  <si>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</si>
  <si>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</si>
  <si>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</si>
  <si>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</si>
  <si>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</si>
  <si>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</si>
  <si>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</si>
  <si>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</si>
  <si>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</si>
  <si>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</si>
  <si>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</si>
  <si>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</si>
  <si>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</si>
  <si>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</si>
  <si>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</si>
  <si>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</si>
  <si>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</si>
  <si>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</si>
  <si>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</si>
  <si>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</si>
  <si>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</si>
  <si>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</si>
  <si>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</si>
  <si>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</si>
  <si>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</si>
  <si>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</si>
  <si>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</si>
  <si>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</si>
  <si>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</si>
  <si>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</si>
  <si>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</si>
  <si>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</si>
  <si>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</si>
  <si>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</si>
  <si>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</si>
  <si>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</si>
  <si>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</si>
  <si>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</si>
  <si>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</si>
  <si>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</si>
  <si>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</si>
  <si>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</si>
  <si>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</si>
  <si>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</si>
  <si>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</si>
  <si>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</si>
  <si>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</si>
  <si>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</si>
  <si>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</si>
  <si>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</si>
  <si>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</si>
  <si>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</si>
  <si>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</si>
  <si>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</si>
  <si>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</si>
  <si>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</si>
  <si>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</si>
  <si>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</si>
  <si>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</si>
  <si>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</si>
  <si>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</si>
  <si>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</si>
  <si>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</si>
  <si>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</si>
  <si>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</si>
  <si>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</si>
  <si>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</si>
  <si>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</si>
  <si>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</si>
  <si>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</si>
  <si>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</si>
  <si>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</si>
  <si>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</si>
  <si>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</si>
  <si>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</si>
  <si>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</si>
  <si>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</si>
  <si>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</si>
  <si>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</si>
  <si>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</si>
  <si>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</si>
  <si>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</si>
  <si>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</si>
  <si>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</si>
  <si>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</si>
  <si>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</si>
  <si>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</si>
  <si>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</si>
  <si>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</si>
  <si>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</si>
  <si>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</si>
  <si>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</si>
  <si>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</si>
  <si>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</si>
  <si>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</si>
  <si>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</si>
  <si>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</si>
  <si>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</si>
  <si>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</si>
  <si>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</si>
  <si>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</si>
  <si>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</si>
  <si>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</si>
  <si>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</si>
  <si>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</si>
  <si>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</si>
  <si>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</si>
  <si>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</si>
  <si>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</si>
  <si>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</si>
  <si>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</si>
  <si>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</si>
  <si>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</si>
  <si>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</si>
  <si>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</si>
  <si>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</si>
  <si>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</si>
  <si>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Виконавець: Масік Т.О.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</si>
  <si>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</si>
  <si>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</si>
  <si>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</si>
  <si>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</si>
  <si>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</si>
  <si>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</si>
  <si>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</si>
  <si>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</si>
  <si>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</si>
  <si>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</si>
  <si>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</si>
  <si>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Додаток 6</t>
  </si>
  <si>
    <t>Продовження додатка 6</t>
  </si>
  <si>
    <t>від 29 квітня 2020 року № 6723-МР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</si>
</sst>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21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95" t="s">
        <v>237</v>
      </c>
      <c r="I1" s="195"/>
      <c r="J1" s="195"/>
      <c r="K1" s="151"/>
    </row>
    <row r="2" spans="1:12" ht="84" customHeight="1">
      <c r="A2" s="12"/>
      <c r="H2" s="197" t="s">
        <v>227</v>
      </c>
      <c r="I2" s="197"/>
      <c r="J2" s="197"/>
      <c r="K2" s="197"/>
      <c r="L2" s="72"/>
    </row>
    <row r="3" spans="1:11" ht="15.75">
      <c r="A3" s="11"/>
      <c r="H3" s="198" t="s">
        <v>239</v>
      </c>
      <c r="I3" s="198"/>
      <c r="J3" s="198"/>
      <c r="K3" s="198"/>
    </row>
    <row r="4" spans="8:10" ht="15.75">
      <c r="H4" s="73"/>
      <c r="I4" s="73"/>
      <c r="J4" s="73"/>
    </row>
    <row r="5" spans="1:12" ht="30.75" customHeight="1">
      <c r="A5" s="196" t="s">
        <v>208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38"/>
    </row>
    <row r="6" ht="12.75">
      <c r="A6" s="74"/>
    </row>
    <row r="7" spans="1:12" ht="32.25" customHeight="1">
      <c r="A7" s="183" t="s">
        <v>70</v>
      </c>
      <c r="B7" s="183" t="s">
        <v>21</v>
      </c>
      <c r="C7" s="183" t="s">
        <v>209</v>
      </c>
      <c r="D7" s="183"/>
      <c r="E7" s="183"/>
      <c r="F7" s="183" t="s">
        <v>196</v>
      </c>
      <c r="G7" s="183"/>
      <c r="H7" s="183"/>
      <c r="I7" s="183" t="s">
        <v>130</v>
      </c>
      <c r="J7" s="183"/>
      <c r="K7" s="183"/>
      <c r="L7" s="39"/>
    </row>
    <row r="8" spans="1:12" ht="1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39"/>
    </row>
    <row r="9" spans="1:12" ht="18.75" customHeight="1">
      <c r="A9" s="183"/>
      <c r="B9" s="183"/>
      <c r="C9" s="184" t="s">
        <v>222</v>
      </c>
      <c r="D9" s="186" t="s">
        <v>0</v>
      </c>
      <c r="E9" s="186"/>
      <c r="F9" s="184" t="s">
        <v>221</v>
      </c>
      <c r="G9" s="186" t="s">
        <v>0</v>
      </c>
      <c r="H9" s="186"/>
      <c r="I9" s="186" t="s">
        <v>221</v>
      </c>
      <c r="J9" s="186" t="s">
        <v>0</v>
      </c>
      <c r="K9" s="186"/>
      <c r="L9" s="23"/>
    </row>
    <row r="10" spans="1:12" ht="28.5">
      <c r="A10" s="183"/>
      <c r="B10" s="183"/>
      <c r="C10" s="185"/>
      <c r="D10" s="16" t="s">
        <v>1</v>
      </c>
      <c r="E10" s="16" t="s">
        <v>2</v>
      </c>
      <c r="F10" s="185"/>
      <c r="G10" s="16" t="s">
        <v>1</v>
      </c>
      <c r="H10" s="16" t="s">
        <v>2</v>
      </c>
      <c r="I10" s="186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+D17+D89+D109+D135+D166+D179+D194+D207+D319+D356+D287+D313</f>
        <v>86222097</v>
      </c>
      <c r="E12" s="10">
        <f>+E17+E89+E109+E135+E166+E179+E194+E207+E302+E319+E356+E287</f>
        <v>42000</v>
      </c>
      <c r="F12" s="10">
        <f>G12+H12</f>
        <v>88919740</v>
      </c>
      <c r="G12" s="10">
        <f>+G17+G89+G109+G135+G166+G179+G194+G207+G319+G356+G287+G313</f>
        <v>88884100</v>
      </c>
      <c r="H12" s="10">
        <f>+H17+H89+H109+H135+H166+H179+H194+H207+H302+H319+H356+H287</f>
        <v>35640</v>
      </c>
      <c r="I12" s="10">
        <f>J12+K12</f>
        <v>91731393</v>
      </c>
      <c r="J12" s="10">
        <f>+J17+J89+J109+J135+J166+J179+J194+J207+J319+J356+J287+J313</f>
        <v>91693722</v>
      </c>
      <c r="K12" s="10">
        <f>+K17+K89+K109+K135+K166+K179+K194+K207+K302+K319+K356+K287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88" t="s">
        <v>210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75"/>
    </row>
    <row r="16" spans="1:12" ht="17.25" customHeight="1">
      <c r="A16" s="199" t="s">
        <v>19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76"/>
    </row>
    <row r="17" spans="1:14" s="78" customFormat="1" ht="23.25" customHeight="1">
      <c r="A17" s="183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12905961</v>
      </c>
      <c r="G17" s="4">
        <f>+G18+G19</f>
        <v>12870321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83"/>
      <c r="B18" s="52" t="s">
        <v>111</v>
      </c>
      <c r="C18" s="4">
        <f>+D18+E18</f>
        <v>14222822</v>
      </c>
      <c r="D18" s="4">
        <f>+D29+D43+D20+D55+D63+D74</f>
        <v>14180822</v>
      </c>
      <c r="E18" s="4">
        <f>+E29+E43+E20+E55+E63+E74</f>
        <v>42000</v>
      </c>
      <c r="F18" s="4">
        <f>+G18+H18</f>
        <v>12713551</v>
      </c>
      <c r="G18" s="4">
        <f>+G29+G43+G20+G55+G63+G74</f>
        <v>12677911</v>
      </c>
      <c r="H18" s="4">
        <f>+H29+H43+H20+H55+H63+H74</f>
        <v>35640</v>
      </c>
      <c r="I18" s="4">
        <f>J18+K18</f>
        <v>12379525</v>
      </c>
      <c r="J18" s="4">
        <f>+J29+J43+J20+J55+J63+J74</f>
        <v>12341854</v>
      </c>
      <c r="K18" s="4">
        <f>+K29+K43+K20+K55+K63+K74</f>
        <v>37671</v>
      </c>
      <c r="L18" s="77"/>
      <c r="N18" s="79"/>
    </row>
    <row r="19" spans="1:14" s="78" customFormat="1" ht="23.25" customHeight="1">
      <c r="A19" s="183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10902473</v>
      </c>
      <c r="G20" s="4">
        <f>10552473+350000</f>
        <v>10902473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3087</v>
      </c>
      <c r="G23" s="29">
        <f>3086+1</f>
        <v>3087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189"/>
      <c r="O23" s="86" t="e">
        <f>D23+D33+D46+D69+D112+D139+D155+D170+D185+D218+D219+#REF!+D220+D233+D247+D291+D323+D324+D333+D334+D346+D347+D348+D361+D362+D371+D375+D376+D385+D386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89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3531.7372853903466</v>
      </c>
      <c r="G25" s="8">
        <f>G20/G23</f>
        <v>3531.7372853903466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84.99914396430907</v>
      </c>
      <c r="G27" s="9">
        <f>G20/D20*100</f>
        <v>84.99914396430907</v>
      </c>
      <c r="H27" s="48">
        <v>0</v>
      </c>
      <c r="I27" s="48">
        <f>J27+K27</f>
        <v>101.23580218909967</v>
      </c>
      <c r="J27" s="9">
        <f>J20/G20*100</f>
        <v>101.23580218909967</v>
      </c>
      <c r="K27" s="48">
        <v>0</v>
      </c>
      <c r="L27" s="22"/>
    </row>
    <row r="28" spans="1:12" ht="22.5" customHeight="1">
      <c r="A28" s="193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1380201</v>
      </c>
      <c r="G28" s="28">
        <f t="shared" si="0"/>
        <v>1380201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93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1187791</v>
      </c>
      <c r="G29" s="4">
        <f>660962+526829</f>
        <v>1187791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89"/>
    </row>
    <row r="30" spans="1:13" ht="22.5" customHeight="1">
      <c r="A30" s="193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89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190</v>
      </c>
      <c r="G34" s="50">
        <f>188+2</f>
        <v>190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79" t="s">
        <v>238</v>
      </c>
      <c r="J36" s="179"/>
      <c r="K36" s="179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202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201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563.0135964912281</v>
      </c>
      <c r="G40" s="8">
        <f>(756842+526829)/G34/12</f>
        <v>563.0135964912281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165.37037569553277</v>
      </c>
      <c r="G42" s="9">
        <f>G28/D28*100</f>
        <v>165.37037569553277</v>
      </c>
      <c r="H42" s="9">
        <v>0</v>
      </c>
      <c r="I42" s="48">
        <f>I28/F28*100</f>
        <v>65.13131058447284</v>
      </c>
      <c r="J42" s="9">
        <f>J28/G28*100</f>
        <v>65.13131058447284</v>
      </c>
      <c r="K42" s="9">
        <v>0</v>
      </c>
      <c r="L42" s="51"/>
    </row>
    <row r="43" spans="1:12" ht="60" customHeight="1">
      <c r="A43" s="7" t="s">
        <v>200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211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198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199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90" customHeight="1">
      <c r="A55" s="55" t="s">
        <v>232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69032</v>
      </c>
      <c r="G55" s="4">
        <f>62000+7032</f>
        <v>69032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212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213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17258</v>
      </c>
      <c r="G60" s="8">
        <f>+G55/G58</f>
        <v>17258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100.70019838954369</v>
      </c>
      <c r="G62" s="9">
        <f>G55/D55*100</f>
        <v>100.70019838954369</v>
      </c>
      <c r="H62" s="48">
        <v>0</v>
      </c>
      <c r="I62" s="48">
        <f>+J62+K62</f>
        <v>94.93278479545718</v>
      </c>
      <c r="J62" s="9">
        <f>J55/G55*100</f>
        <v>94.93278479545718</v>
      </c>
      <c r="K62" s="48">
        <v>0</v>
      </c>
      <c r="L62" s="22"/>
    </row>
    <row r="63" spans="1:12" ht="61.5" customHeight="1">
      <c r="A63" s="7" t="s">
        <v>214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79" t="s">
        <v>238</v>
      </c>
      <c r="J66" s="179"/>
      <c r="K66" s="179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215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67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35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190</v>
      </c>
      <c r="B74" s="52" t="s">
        <v>111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192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193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54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191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57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194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195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60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35</v>
      </c>
      <c r="B84" s="87"/>
      <c r="C84" s="48">
        <f>+E84</f>
        <v>0</v>
      </c>
      <c r="D84" s="48">
        <v>0</v>
      </c>
      <c r="E84" s="48">
        <v>0</v>
      </c>
      <c r="F84" s="9">
        <f aca="true" t="shared" si="1" ref="F84:K84">F74/C74*100</f>
        <v>101.30696474634566</v>
      </c>
      <c r="G84" s="9">
        <f t="shared" si="1"/>
        <v>104.93179433368311</v>
      </c>
      <c r="H84" s="9">
        <f t="shared" si="1"/>
        <v>84.85714285714285</v>
      </c>
      <c r="I84" s="9">
        <f t="shared" si="1"/>
        <v>105.69979629943983</v>
      </c>
      <c r="J84" s="9">
        <f t="shared" si="1"/>
        <v>105.69999999999999</v>
      </c>
      <c r="K84" s="9">
        <f t="shared" si="1"/>
        <v>105.69865319865319</v>
      </c>
    </row>
    <row r="85" spans="1:12" ht="21.75" customHeight="1">
      <c r="A85" s="56" t="s">
        <v>113</v>
      </c>
      <c r="B85" s="52" t="s">
        <v>114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65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91" t="s">
        <v>121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80"/>
    </row>
    <row r="88" spans="1:12" ht="27.75" customHeight="1">
      <c r="A88" s="192" t="s">
        <v>122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35"/>
    </row>
    <row r="89" spans="1:12" ht="45.75" customHeight="1">
      <c r="A89" s="24" t="s">
        <v>123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1892237</v>
      </c>
      <c r="G89" s="4">
        <v>1892237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149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150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151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79" t="s">
        <v>238</v>
      </c>
      <c r="J96" s="179"/>
      <c r="K96" s="179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153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113323.41666666667</v>
      </c>
      <c r="G99" s="29">
        <f>1359881/12</f>
        <v>113323.41666666667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152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154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124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115</v>
      </c>
      <c r="B105" s="40" t="s">
        <v>116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66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201" t="s">
        <v>79</v>
      </c>
      <c r="B107" s="202"/>
      <c r="C107" s="202"/>
      <c r="D107" s="202"/>
      <c r="E107" s="202"/>
      <c r="F107" s="202"/>
      <c r="G107" s="202"/>
      <c r="H107" s="202"/>
      <c r="I107" s="202"/>
      <c r="J107" s="202"/>
      <c r="K107" s="203"/>
      <c r="L107" s="18"/>
      <c r="M107" s="81"/>
      <c r="N107" s="82"/>
      <c r="O107" s="20"/>
    </row>
    <row r="108" spans="1:12" ht="30.75" customHeight="1">
      <c r="A108" s="204" t="s">
        <v>80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6"/>
      <c r="L108" s="83"/>
    </row>
    <row r="109" spans="1:12" ht="31.5" customHeight="1">
      <c r="A109" s="59" t="s">
        <v>82</v>
      </c>
      <c r="B109" s="27"/>
      <c r="C109" s="28">
        <f>E109+D109</f>
        <v>1704214</v>
      </c>
      <c r="D109" s="28">
        <v>1704214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2" ref="C112:C117">D112+E112</f>
        <v>1014</v>
      </c>
      <c r="D112" s="29">
        <v>1014</v>
      </c>
      <c r="E112" s="29">
        <v>0</v>
      </c>
      <c r="F112" s="29">
        <f aca="true" t="shared" si="3" ref="F112:F117">G112+H112</f>
        <v>965</v>
      </c>
      <c r="G112" s="29">
        <f>G113+G114+G115+G116+G117</f>
        <v>965</v>
      </c>
      <c r="H112" s="29">
        <v>0</v>
      </c>
      <c r="I112" s="29">
        <f aca="true" t="shared" si="4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2"/>
        <v>1</v>
      </c>
      <c r="D113" s="60">
        <v>1</v>
      </c>
      <c r="E113" s="60">
        <v>0</v>
      </c>
      <c r="F113" s="60">
        <f t="shared" si="3"/>
        <v>1</v>
      </c>
      <c r="G113" s="60">
        <f>D113</f>
        <v>1</v>
      </c>
      <c r="H113" s="60">
        <v>0</v>
      </c>
      <c r="I113" s="60">
        <f t="shared" si="4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171</v>
      </c>
      <c r="B114" s="27"/>
      <c r="C114" s="60">
        <f t="shared" si="2"/>
        <v>620</v>
      </c>
      <c r="D114" s="60">
        <v>620</v>
      </c>
      <c r="E114" s="60">
        <v>0</v>
      </c>
      <c r="F114" s="60">
        <f t="shared" si="3"/>
        <v>620</v>
      </c>
      <c r="G114" s="60">
        <v>620</v>
      </c>
      <c r="H114" s="60">
        <v>0</v>
      </c>
      <c r="I114" s="60">
        <f t="shared" si="4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81</v>
      </c>
      <c r="B115" s="27"/>
      <c r="C115" s="60">
        <f t="shared" si="2"/>
        <v>90</v>
      </c>
      <c r="D115" s="60">
        <v>90</v>
      </c>
      <c r="E115" s="60">
        <v>0</v>
      </c>
      <c r="F115" s="60">
        <f t="shared" si="3"/>
        <v>76</v>
      </c>
      <c r="G115" s="60">
        <v>76</v>
      </c>
      <c r="H115" s="60">
        <v>0</v>
      </c>
      <c r="I115" s="60">
        <f t="shared" si="4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172</v>
      </c>
      <c r="B116" s="27"/>
      <c r="C116" s="60">
        <f t="shared" si="2"/>
        <v>100</v>
      </c>
      <c r="D116" s="60">
        <v>100</v>
      </c>
      <c r="E116" s="60">
        <v>0</v>
      </c>
      <c r="F116" s="60">
        <f t="shared" si="3"/>
        <v>84</v>
      </c>
      <c r="G116" s="60">
        <v>84</v>
      </c>
      <c r="H116" s="60">
        <v>0</v>
      </c>
      <c r="I116" s="60">
        <f t="shared" si="4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109</v>
      </c>
      <c r="B117" s="27"/>
      <c r="C117" s="60">
        <f t="shared" si="2"/>
        <v>203</v>
      </c>
      <c r="D117" s="60">
        <v>203</v>
      </c>
      <c r="E117" s="60">
        <v>0</v>
      </c>
      <c r="F117" s="60">
        <f t="shared" si="3"/>
        <v>184</v>
      </c>
      <c r="G117" s="60">
        <v>184</v>
      </c>
      <c r="H117" s="60">
        <v>0</v>
      </c>
      <c r="I117" s="60">
        <f t="shared" si="4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84</v>
      </c>
      <c r="B119" s="27"/>
      <c r="C119" s="30">
        <f aca="true" t="shared" si="5" ref="C119:C127">D119+E119</f>
        <v>1680.6844181459567</v>
      </c>
      <c r="D119" s="30">
        <f>D109/D112</f>
        <v>1680.6844181459567</v>
      </c>
      <c r="E119" s="30">
        <v>0</v>
      </c>
      <c r="F119" s="30">
        <f aca="true" t="shared" si="6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7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36</v>
      </c>
      <c r="B120" s="27"/>
      <c r="C120" s="30">
        <f t="shared" si="5"/>
        <v>15824</v>
      </c>
      <c r="D120" s="30">
        <f>15824/D113</f>
        <v>15824</v>
      </c>
      <c r="E120" s="30">
        <v>0</v>
      </c>
      <c r="F120" s="30">
        <f t="shared" si="6"/>
        <v>14820</v>
      </c>
      <c r="G120" s="30">
        <f>14820/G113</f>
        <v>14820</v>
      </c>
      <c r="H120" s="30">
        <v>0</v>
      </c>
      <c r="I120" s="30">
        <f t="shared" si="7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37</v>
      </c>
      <c r="B121" s="27"/>
      <c r="C121" s="30">
        <f t="shared" si="5"/>
        <v>1163.1935483870968</v>
      </c>
      <c r="D121" s="30">
        <f>721180/D114</f>
        <v>1163.1935483870968</v>
      </c>
      <c r="E121" s="30">
        <v>0</v>
      </c>
      <c r="F121" s="30">
        <f t="shared" si="6"/>
        <v>1269.032258064516</v>
      </c>
      <c r="G121" s="30">
        <f>786800/G114</f>
        <v>1269.032258064516</v>
      </c>
      <c r="H121" s="30">
        <v>0</v>
      </c>
      <c r="I121" s="30">
        <f t="shared" si="7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79" t="s">
        <v>238</v>
      </c>
      <c r="J123" s="179"/>
      <c r="K123" s="179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83</v>
      </c>
      <c r="B125" s="27"/>
      <c r="C125" s="30">
        <f t="shared" si="5"/>
        <v>2729.2555555555555</v>
      </c>
      <c r="D125" s="30">
        <f>245633/D115</f>
        <v>2729.2555555555555</v>
      </c>
      <c r="E125" s="30">
        <v>0</v>
      </c>
      <c r="F125" s="30">
        <f t="shared" si="6"/>
        <v>3587.2368421052633</v>
      </c>
      <c r="G125" s="30">
        <f>272630/G115</f>
        <v>3587.2368421052633</v>
      </c>
      <c r="H125" s="30">
        <v>0</v>
      </c>
      <c r="I125" s="30">
        <f t="shared" si="7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173</v>
      </c>
      <c r="B126" s="27"/>
      <c r="C126" s="30">
        <f t="shared" si="5"/>
        <v>2197.42</v>
      </c>
      <c r="D126" s="30">
        <f>219742/D116</f>
        <v>2197.42</v>
      </c>
      <c r="E126" s="30">
        <v>0</v>
      </c>
      <c r="F126" s="30">
        <f t="shared" si="6"/>
        <v>3132.7380952380954</v>
      </c>
      <c r="G126" s="30">
        <f>263150/G116</f>
        <v>3132.7380952380954</v>
      </c>
      <c r="H126" s="30">
        <v>0</v>
      </c>
      <c r="I126" s="30">
        <f t="shared" si="7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85</v>
      </c>
      <c r="B127" s="27"/>
      <c r="C127" s="30">
        <f t="shared" si="5"/>
        <v>2472.093596059113</v>
      </c>
      <c r="D127" s="30">
        <f>501835/D117</f>
        <v>2472.093596059113</v>
      </c>
      <c r="E127" s="30">
        <v>0</v>
      </c>
      <c r="F127" s="30">
        <f t="shared" si="6"/>
        <v>2928.804347826087</v>
      </c>
      <c r="G127" s="30">
        <f>538900/G117</f>
        <v>2928.804347826087</v>
      </c>
      <c r="H127" s="30">
        <v>0</v>
      </c>
      <c r="I127" s="30">
        <f t="shared" si="7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174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123.89138764920166</v>
      </c>
      <c r="D130" s="6">
        <f>D109/1375571*100</f>
        <v>123.89138764920166</v>
      </c>
      <c r="E130" s="65">
        <v>0</v>
      </c>
      <c r="F130" s="9">
        <f>F109/C109*100</f>
        <v>110.09767552666507</v>
      </c>
      <c r="G130" s="9">
        <f>G109/D109*100</f>
        <v>110.09767552666507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117</v>
      </c>
      <c r="B131" s="40" t="s">
        <v>118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66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190" t="s">
        <v>216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8"/>
    </row>
    <row r="134" spans="1:12" ht="21" customHeight="1">
      <c r="A134" s="194" t="s">
        <v>217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44"/>
    </row>
    <row r="135" spans="1:12" ht="19.5" customHeight="1">
      <c r="A135" s="145" t="s">
        <v>6</v>
      </c>
      <c r="B135" s="143"/>
      <c r="C135" s="4">
        <f>D135+E135</f>
        <v>991969</v>
      </c>
      <c r="D135" s="4">
        <f>+D136+D149</f>
        <v>991969</v>
      </c>
      <c r="E135" s="4">
        <f>E136+0</f>
        <v>0</v>
      </c>
      <c r="F135" s="146">
        <f aca="true" t="shared" si="8" ref="F135:K135">F136+F149</f>
        <v>1044568</v>
      </c>
      <c r="G135" s="146">
        <f>G136+G149</f>
        <v>1044568</v>
      </c>
      <c r="H135" s="146">
        <f t="shared" si="8"/>
        <v>0</v>
      </c>
      <c r="I135" s="146">
        <f t="shared" si="8"/>
        <v>1094390</v>
      </c>
      <c r="J135" s="146">
        <f t="shared" si="8"/>
        <v>1094390</v>
      </c>
      <c r="K135" s="146">
        <f t="shared" si="8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124475</v>
      </c>
      <c r="D136" s="28">
        <v>124475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78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40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31</v>
      </c>
      <c r="B143" s="27"/>
      <c r="C143" s="30">
        <f>D143+E143</f>
        <v>6551.315789473684</v>
      </c>
      <c r="D143" s="30">
        <f>D136/D139</f>
        <v>6551.315789473684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32</v>
      </c>
      <c r="B144" s="27"/>
      <c r="C144" s="30">
        <f>D144+E144</f>
        <v>7033.75</v>
      </c>
      <c r="D144" s="30">
        <f>112540/D140</f>
        <v>7033.75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41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87.42265579458221</v>
      </c>
      <c r="D148" s="30">
        <f>D136/142383*100</f>
        <v>87.42265579458221</v>
      </c>
      <c r="E148" s="30">
        <v>0</v>
      </c>
      <c r="F148" s="30">
        <f>G148+H148</f>
        <v>105.54408515766218</v>
      </c>
      <c r="G148" s="30">
        <f>G136/D136*100</f>
        <v>105.54408515766218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218</v>
      </c>
      <c r="B149" s="27"/>
      <c r="C149" s="28">
        <f>E149+D149</f>
        <v>867494</v>
      </c>
      <c r="D149" s="28">
        <v>867494</v>
      </c>
      <c r="E149" s="28">
        <v>0</v>
      </c>
      <c r="F149" s="28">
        <f>H149+G149</f>
        <v>913192</v>
      </c>
      <c r="G149" s="4">
        <f>920224-7032</f>
        <v>913192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79" t="s">
        <v>238</v>
      </c>
      <c r="J151" s="179"/>
      <c r="K151" s="179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204</v>
      </c>
      <c r="B155" s="27"/>
      <c r="C155" s="50">
        <f>D155+E155</f>
        <v>84</v>
      </c>
      <c r="D155" s="50">
        <v>84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203</v>
      </c>
      <c r="B156" s="27"/>
      <c r="C156" s="50">
        <f>D156+E156</f>
        <v>52</v>
      </c>
      <c r="D156" s="50">
        <v>52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205</v>
      </c>
      <c r="B158" s="27"/>
      <c r="C158" s="30">
        <f>D158+E158</f>
        <v>1111.5714285714287</v>
      </c>
      <c r="D158" s="30">
        <f>93372/D155</f>
        <v>1111.5714285714287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206</v>
      </c>
      <c r="B159" s="27"/>
      <c r="C159" s="30">
        <f>D159+E159</f>
        <v>1240.5801282051282</v>
      </c>
      <c r="D159" s="30">
        <f>774122/D156/12</f>
        <v>1240.5801282051282</v>
      </c>
      <c r="E159" s="30">
        <v>0</v>
      </c>
      <c r="F159" s="30">
        <f>G159+H159</f>
        <v>1246.7886904761906</v>
      </c>
      <c r="G159" s="8">
        <f>837842/G156/12</f>
        <v>1246.7886904761906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115.85602502240344</v>
      </c>
      <c r="D161" s="48">
        <f>D149/748769*100</f>
        <v>115.85602502240344</v>
      </c>
      <c r="E161" s="48">
        <v>0</v>
      </c>
      <c r="F161" s="48">
        <f>G161+H161</f>
        <v>105.26781741429912</v>
      </c>
      <c r="G161" s="48">
        <f>G149/D149*100</f>
        <v>105.26781741429912</v>
      </c>
      <c r="H161" s="48">
        <v>0</v>
      </c>
      <c r="I161" s="48">
        <f>J161+K161</f>
        <v>104.63418426793052</v>
      </c>
      <c r="J161" s="48">
        <f>J149/G149*100</f>
        <v>104.63418426793052</v>
      </c>
      <c r="K161" s="48">
        <v>0</v>
      </c>
      <c r="L161" s="22"/>
    </row>
    <row r="162" spans="1:12" ht="18.75" customHeight="1">
      <c r="A162" s="26" t="s">
        <v>86</v>
      </c>
      <c r="B162" s="40" t="s">
        <v>176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66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190" t="s">
        <v>177</v>
      </c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94"/>
    </row>
    <row r="165" spans="1:12" ht="28.5" customHeight="1">
      <c r="A165" s="207" t="s">
        <v>178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9"/>
      <c r="L165" s="95"/>
    </row>
    <row r="166" spans="1:15" ht="49.5" customHeight="1">
      <c r="A166" s="96" t="s">
        <v>219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179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180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29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97</v>
      </c>
      <c r="B175" s="104" t="s">
        <v>98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66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91" t="s">
        <v>131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N177" s="19"/>
      <c r="O177" s="105"/>
    </row>
    <row r="178" spans="1:11" ht="31.5" customHeight="1">
      <c r="A178" s="192" t="s">
        <v>68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</row>
    <row r="179" spans="1:11" ht="42.75" customHeight="1">
      <c r="A179" s="106" t="s">
        <v>69</v>
      </c>
      <c r="B179" s="27"/>
      <c r="C179" s="28">
        <f>D179+E179</f>
        <v>305300</v>
      </c>
      <c r="D179" s="28">
        <v>305300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79" t="s">
        <v>238</v>
      </c>
      <c r="J181" s="179"/>
      <c r="K181" s="179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38</v>
      </c>
      <c r="B185" s="27"/>
      <c r="C185" s="60">
        <f>D185+E185</f>
        <v>135</v>
      </c>
      <c r="D185" s="60">
        <v>135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39</v>
      </c>
      <c r="B187" s="27"/>
      <c r="C187" s="30">
        <f>D187+E187</f>
        <v>2261.4814814814813</v>
      </c>
      <c r="D187" s="30">
        <f>D179/D185</f>
        <v>2261.4814814814813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35</v>
      </c>
      <c r="B189" s="27"/>
      <c r="C189" s="65">
        <f>+C179/255700*100</f>
        <v>119.39773171685569</v>
      </c>
      <c r="D189" s="65">
        <f>+D179/255700*100</f>
        <v>119.39773171685569</v>
      </c>
      <c r="E189" s="60">
        <v>0</v>
      </c>
      <c r="F189" s="65">
        <f>+F179/C179*100</f>
        <v>104.8149361283983</v>
      </c>
      <c r="G189" s="65">
        <f>+G179/D179*100</f>
        <v>104.8149361283983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119</v>
      </c>
      <c r="B190" s="40" t="s">
        <v>120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66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81" t="s">
        <v>132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07"/>
    </row>
    <row r="193" spans="1:12" ht="22.5" customHeight="1">
      <c r="A193" s="200" t="s">
        <v>71</v>
      </c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133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72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73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74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75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76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187" t="s">
        <v>134</v>
      </c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</row>
    <row r="206" spans="1:11" ht="33" customHeight="1">
      <c r="A206" s="182" t="s">
        <v>220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</row>
    <row r="207" spans="1:11" ht="16.5">
      <c r="A207" s="149" t="s">
        <v>6</v>
      </c>
      <c r="B207" s="150" t="s">
        <v>99</v>
      </c>
      <c r="C207" s="4">
        <f>D207+E207</f>
        <v>65106533</v>
      </c>
      <c r="D207" s="4">
        <f>+D209+D230+D244++D254+D273</f>
        <v>65106533</v>
      </c>
      <c r="E207" s="4">
        <f>+E209+E230+E244++E254</f>
        <v>0</v>
      </c>
      <c r="F207" s="4">
        <f>G207+H207</f>
        <v>68349750</v>
      </c>
      <c r="G207" s="4">
        <f>+G209+G230+G244++G254+G273+G263</f>
        <v>68349750</v>
      </c>
      <c r="H207" s="4">
        <f>+H209+H230+H244++H254</f>
        <v>0</v>
      </c>
      <c r="I207" s="28">
        <f>J207+K207</f>
        <v>71520003</v>
      </c>
      <c r="J207" s="4">
        <f>+J209+J230+J244++J254+J273</f>
        <v>71520003</v>
      </c>
      <c r="K207" s="4">
        <f>+K209+K230+K244++K254</f>
        <v>0</v>
      </c>
    </row>
    <row r="208" spans="1:14" ht="21.75" customHeight="1">
      <c r="A208" s="110" t="s">
        <v>102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135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53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125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62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79" t="s">
        <v>238</v>
      </c>
      <c r="J214" s="179"/>
      <c r="K214" s="179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103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54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55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56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104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57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58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59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105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60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61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63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106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101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136</v>
      </c>
      <c r="B230" s="116"/>
      <c r="C230" s="28">
        <f>D230+E230</f>
        <v>1342557</v>
      </c>
      <c r="D230" s="28">
        <v>1342557</v>
      </c>
      <c r="E230" s="28">
        <v>0</v>
      </c>
      <c r="F230" s="4">
        <f>G230+H230</f>
        <v>1259894</v>
      </c>
      <c r="G230" s="4">
        <f>1380800-120906</f>
        <v>1259894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49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50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51</v>
      </c>
      <c r="B236" s="27"/>
      <c r="C236" s="30">
        <f>D236</f>
        <v>111489.75</v>
      </c>
      <c r="D236" s="30">
        <f>1337877/12</f>
        <v>111489.75</v>
      </c>
      <c r="E236" s="30">
        <v>0</v>
      </c>
      <c r="F236" s="30">
        <f>+G236</f>
        <v>104714.5</v>
      </c>
      <c r="G236" s="30">
        <f>(1377480-120906)/12</f>
        <v>104714.5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52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207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48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79" t="s">
        <v>238</v>
      </c>
      <c r="J241" s="179"/>
      <c r="K241" s="179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18.75" customHeight="1">
      <c r="A243" s="110" t="s">
        <v>100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101.25" customHeight="1">
      <c r="A244" s="7" t="s">
        <v>231</v>
      </c>
      <c r="B244" s="114"/>
      <c r="C244" s="28">
        <f>D244+E244</f>
        <v>22566202</v>
      </c>
      <c r="D244" s="8">
        <v>22566202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4.25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44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45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46</v>
      </c>
      <c r="B250" s="27"/>
      <c r="C250" s="30">
        <f>D250+E250</f>
        <v>1880516.8333333333</v>
      </c>
      <c r="D250" s="30">
        <f>+D244/12</f>
        <v>1880516.8333333333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86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104.25" customHeight="1">
      <c r="A254" s="24" t="s">
        <v>230</v>
      </c>
      <c r="B254" s="116"/>
      <c r="C254" s="28">
        <f>D254+E254</f>
        <v>38633798</v>
      </c>
      <c r="D254" s="28">
        <v>38633798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47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45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187</v>
      </c>
      <c r="B260" s="27"/>
      <c r="C260" s="30">
        <f>D260+E260</f>
        <v>3219483.1666666665</v>
      </c>
      <c r="D260" s="30">
        <f>D254/12</f>
        <v>3219483.1666666665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17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4" s="88" customFormat="1" ht="75" customHeight="1">
      <c r="A263" s="158" t="s">
        <v>234</v>
      </c>
      <c r="B263" s="175"/>
      <c r="C263" s="159">
        <f>D263+E263</f>
        <v>0</v>
      </c>
      <c r="D263" s="159">
        <v>0</v>
      </c>
      <c r="E263" s="159">
        <v>0</v>
      </c>
      <c r="F263" s="160">
        <f>G263+H263</f>
        <v>807456</v>
      </c>
      <c r="G263" s="160">
        <v>807456</v>
      </c>
      <c r="H263" s="161">
        <v>0</v>
      </c>
      <c r="I263" s="161">
        <f>J263+K263</f>
        <v>0</v>
      </c>
      <c r="J263" s="161">
        <v>0</v>
      </c>
      <c r="K263" s="161">
        <v>0</v>
      </c>
      <c r="N263" s="176"/>
    </row>
    <row r="264" spans="1:11" s="88" customFormat="1" ht="18" customHeight="1">
      <c r="A264" s="163" t="s">
        <v>4</v>
      </c>
      <c r="B264" s="87"/>
      <c r="C264" s="177"/>
      <c r="D264" s="178"/>
      <c r="E264" s="178"/>
      <c r="F264" s="178"/>
      <c r="G264" s="178"/>
      <c r="H264" s="178"/>
      <c r="I264" s="178"/>
      <c r="J264" s="178"/>
      <c r="K264" s="178"/>
    </row>
    <row r="265" spans="1:11" s="162" customFormat="1" ht="15">
      <c r="A265" s="158" t="s">
        <v>5</v>
      </c>
      <c r="B265" s="164"/>
      <c r="C265" s="165"/>
      <c r="D265" s="166"/>
      <c r="E265" s="166"/>
      <c r="F265" s="166"/>
      <c r="G265" s="166"/>
      <c r="H265" s="166"/>
      <c r="I265" s="166"/>
      <c r="J265" s="166"/>
      <c r="K265" s="166"/>
    </row>
    <row r="266" spans="1:11" s="162" customFormat="1" ht="47.25" customHeight="1">
      <c r="A266" s="167" t="s">
        <v>235</v>
      </c>
      <c r="B266" s="164"/>
      <c r="C266" s="168">
        <v>0</v>
      </c>
      <c r="D266" s="168">
        <v>0</v>
      </c>
      <c r="E266" s="168">
        <v>0</v>
      </c>
      <c r="F266" s="170">
        <f>+G266</f>
        <v>807456</v>
      </c>
      <c r="G266" s="170">
        <v>807456</v>
      </c>
      <c r="H266" s="168">
        <v>0</v>
      </c>
      <c r="I266" s="168">
        <v>0</v>
      </c>
      <c r="J266" s="168">
        <v>0</v>
      </c>
      <c r="K266" s="168">
        <v>0</v>
      </c>
    </row>
    <row r="267" spans="1:11" s="162" customFormat="1" ht="16.5">
      <c r="A267" s="172" t="s">
        <v>12</v>
      </c>
      <c r="B267" s="164"/>
      <c r="C267" s="170"/>
      <c r="D267" s="170"/>
      <c r="E267" s="170"/>
      <c r="F267" s="170"/>
      <c r="G267" s="171"/>
      <c r="H267" s="170"/>
      <c r="I267" s="170"/>
      <c r="J267" s="171"/>
      <c r="K267" s="170"/>
    </row>
    <row r="268" spans="1:11" s="162" customFormat="1" ht="46.5" customHeight="1">
      <c r="A268" s="169" t="s">
        <v>236</v>
      </c>
      <c r="B268" s="164"/>
      <c r="C268" s="173">
        <f>+D268</f>
        <v>0</v>
      </c>
      <c r="D268" s="173">
        <v>0</v>
      </c>
      <c r="E268" s="173">
        <v>0</v>
      </c>
      <c r="F268" s="173">
        <f>G268+H268</f>
        <v>100</v>
      </c>
      <c r="G268" s="174">
        <v>100</v>
      </c>
      <c r="H268" s="173">
        <v>0</v>
      </c>
      <c r="I268" s="173">
        <f>J268+K268</f>
        <v>0</v>
      </c>
      <c r="J268" s="174">
        <v>0</v>
      </c>
      <c r="K268" s="173">
        <v>0</v>
      </c>
    </row>
    <row r="269" spans="1:12" ht="8.25" customHeight="1">
      <c r="A269" s="21"/>
      <c r="B269" s="12"/>
      <c r="C269" s="22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1:12" ht="26.25" customHeight="1">
      <c r="A270" s="11"/>
      <c r="B270" s="12"/>
      <c r="C270" s="13"/>
      <c r="D270" s="13"/>
      <c r="E270" s="13"/>
      <c r="F270" s="13"/>
      <c r="G270" s="13"/>
      <c r="H270" s="13"/>
      <c r="I270" s="179" t="s">
        <v>238</v>
      </c>
      <c r="J270" s="179"/>
      <c r="K270" s="179"/>
      <c r="L270" s="13"/>
    </row>
    <row r="271" spans="1:12" ht="14.25">
      <c r="A271" s="14">
        <v>1</v>
      </c>
      <c r="B271" s="15">
        <v>2</v>
      </c>
      <c r="C271" s="16">
        <v>3</v>
      </c>
      <c r="D271" s="16">
        <v>4</v>
      </c>
      <c r="E271" s="16">
        <v>5</v>
      </c>
      <c r="F271" s="16">
        <v>6</v>
      </c>
      <c r="G271" s="16">
        <v>7</v>
      </c>
      <c r="H271" s="16">
        <v>8</v>
      </c>
      <c r="I271" s="16">
        <v>9</v>
      </c>
      <c r="J271" s="16">
        <v>10</v>
      </c>
      <c r="K271" s="16">
        <v>11</v>
      </c>
      <c r="L271" s="23"/>
    </row>
    <row r="272" spans="1:11" ht="21.75" customHeight="1">
      <c r="A272" s="110" t="s">
        <v>186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1:11" ht="45" customHeight="1">
      <c r="A273" s="24" t="s">
        <v>233</v>
      </c>
      <c r="B273" s="116"/>
      <c r="C273" s="28">
        <f>D273+E273</f>
        <v>2000000</v>
      </c>
      <c r="D273" s="28">
        <v>2000000</v>
      </c>
      <c r="E273" s="28">
        <v>0</v>
      </c>
      <c r="F273" s="69">
        <f>G273+H273</f>
        <v>1000000</v>
      </c>
      <c r="G273" s="69">
        <v>1000000</v>
      </c>
      <c r="H273" s="4">
        <v>0</v>
      </c>
      <c r="I273" s="4">
        <f>J273+K273</f>
        <v>1057000</v>
      </c>
      <c r="J273" s="4">
        <v>1057000</v>
      </c>
      <c r="K273" s="4">
        <v>0</v>
      </c>
    </row>
    <row r="274" spans="1:14" ht="21" customHeight="1">
      <c r="A274" s="1" t="s">
        <v>4</v>
      </c>
      <c r="B274" s="27"/>
      <c r="C274" s="117"/>
      <c r="D274" s="41"/>
      <c r="E274" s="41"/>
      <c r="F274" s="41"/>
      <c r="G274" s="41"/>
      <c r="H274" s="41"/>
      <c r="I274" s="41"/>
      <c r="J274" s="41"/>
      <c r="K274" s="41"/>
      <c r="N274" s="19"/>
    </row>
    <row r="275" spans="1:14" ht="21" customHeight="1">
      <c r="A275" s="24" t="s">
        <v>5</v>
      </c>
      <c r="B275" s="27"/>
      <c r="C275" s="117"/>
      <c r="D275" s="41"/>
      <c r="E275" s="41"/>
      <c r="F275" s="41"/>
      <c r="G275" s="41"/>
      <c r="H275" s="41"/>
      <c r="I275" s="41"/>
      <c r="J275" s="41"/>
      <c r="K275" s="41"/>
      <c r="N275" s="19"/>
    </row>
    <row r="276" spans="1:14" ht="33.75" customHeight="1">
      <c r="A276" s="53" t="s">
        <v>188</v>
      </c>
      <c r="B276" s="27"/>
      <c r="C276" s="29">
        <f>+D276</f>
        <v>59320</v>
      </c>
      <c r="D276" s="29">
        <v>59320</v>
      </c>
      <c r="E276" s="29">
        <v>0</v>
      </c>
      <c r="F276" s="29">
        <f>+G276</f>
        <v>58065</v>
      </c>
      <c r="G276" s="29">
        <v>58065</v>
      </c>
      <c r="H276" s="50">
        <v>0</v>
      </c>
      <c r="I276" s="29">
        <f>J276+K276</f>
        <v>58065</v>
      </c>
      <c r="J276" s="29">
        <v>58065</v>
      </c>
      <c r="K276" s="50">
        <v>0</v>
      </c>
      <c r="N276" s="19"/>
    </row>
    <row r="277" spans="1:14" ht="30.75" customHeight="1">
      <c r="A277" s="53" t="s">
        <v>45</v>
      </c>
      <c r="B277" s="27"/>
      <c r="C277" s="50">
        <v>1</v>
      </c>
      <c r="D277" s="50">
        <v>1</v>
      </c>
      <c r="E277" s="50">
        <v>0</v>
      </c>
      <c r="F277" s="50">
        <f>+G277</f>
        <v>1</v>
      </c>
      <c r="G277" s="50">
        <v>1</v>
      </c>
      <c r="H277" s="50">
        <v>0</v>
      </c>
      <c r="I277" s="50">
        <f>J277+K277</f>
        <v>1</v>
      </c>
      <c r="J277" s="50">
        <v>1</v>
      </c>
      <c r="K277" s="50">
        <v>0</v>
      </c>
      <c r="N277" s="19"/>
    </row>
    <row r="278" spans="1:14" ht="21" customHeight="1">
      <c r="A278" s="45" t="s">
        <v>13</v>
      </c>
      <c r="B278" s="27"/>
      <c r="C278" s="119"/>
      <c r="D278" s="46"/>
      <c r="E278" s="46"/>
      <c r="F278" s="119"/>
      <c r="G278" s="46"/>
      <c r="H278" s="46"/>
      <c r="I278" s="119"/>
      <c r="J278" s="46"/>
      <c r="K278" s="46"/>
      <c r="N278" s="19"/>
    </row>
    <row r="279" spans="1:14" ht="30">
      <c r="A279" s="47" t="s">
        <v>189</v>
      </c>
      <c r="B279" s="27"/>
      <c r="C279" s="30">
        <f>D279+E279</f>
        <v>166666.66666666666</v>
      </c>
      <c r="D279" s="30">
        <f>D273/12</f>
        <v>166666.66666666666</v>
      </c>
      <c r="E279" s="30">
        <v>0</v>
      </c>
      <c r="F279" s="30">
        <f>G279+H279</f>
        <v>83333.33333333333</v>
      </c>
      <c r="G279" s="30">
        <f>G273/12</f>
        <v>83333.33333333333</v>
      </c>
      <c r="H279" s="30">
        <v>0</v>
      </c>
      <c r="I279" s="30">
        <f>J279+K279</f>
        <v>88083.33333333333</v>
      </c>
      <c r="J279" s="8">
        <f>J273/12</f>
        <v>88083.33333333333</v>
      </c>
      <c r="K279" s="30">
        <v>0</v>
      </c>
      <c r="N279" s="19"/>
    </row>
    <row r="280" spans="1:14" ht="20.25" customHeight="1">
      <c r="A280" s="2" t="s">
        <v>12</v>
      </c>
      <c r="B280" s="27"/>
      <c r="C280" s="30"/>
      <c r="D280" s="30"/>
      <c r="E280" s="30"/>
      <c r="F280" s="30"/>
      <c r="G280" s="8"/>
      <c r="H280" s="30"/>
      <c r="I280" s="30"/>
      <c r="J280" s="8"/>
      <c r="K280" s="30"/>
      <c r="N280" s="19"/>
    </row>
    <row r="281" spans="1:14" ht="21" customHeight="1">
      <c r="A281" s="47" t="s">
        <v>11</v>
      </c>
      <c r="B281" s="27"/>
      <c r="C281" s="48">
        <f>+D281</f>
        <v>100</v>
      </c>
      <c r="D281" s="48">
        <v>100</v>
      </c>
      <c r="E281" s="48">
        <v>0</v>
      </c>
      <c r="F281" s="48">
        <f>G281+H281</f>
        <v>100</v>
      </c>
      <c r="G281" s="9">
        <v>100</v>
      </c>
      <c r="H281" s="48">
        <v>0</v>
      </c>
      <c r="I281" s="48">
        <f>J281+K281</f>
        <v>100</v>
      </c>
      <c r="J281" s="9">
        <v>100</v>
      </c>
      <c r="K281" s="48">
        <v>0</v>
      </c>
      <c r="N281" s="19"/>
    </row>
    <row r="282" spans="1:14" ht="24" customHeight="1">
      <c r="A282" s="110" t="s">
        <v>158</v>
      </c>
      <c r="B282" s="120" t="s">
        <v>159</v>
      </c>
      <c r="C282" s="48"/>
      <c r="D282" s="48"/>
      <c r="E282" s="48"/>
      <c r="F282" s="48"/>
      <c r="G282" s="9"/>
      <c r="H282" s="48"/>
      <c r="I282" s="48"/>
      <c r="J282" s="9"/>
      <c r="K282" s="48"/>
      <c r="N282" s="19"/>
    </row>
    <row r="283" spans="1:14" ht="24" customHeight="1">
      <c r="A283" s="2" t="s">
        <v>42</v>
      </c>
      <c r="B283" s="27"/>
      <c r="C283" s="48"/>
      <c r="D283" s="48"/>
      <c r="E283" s="48"/>
      <c r="F283" s="48"/>
      <c r="G283" s="9"/>
      <c r="H283" s="48"/>
      <c r="I283" s="48"/>
      <c r="J283" s="9"/>
      <c r="K283" s="48"/>
      <c r="N283" s="19"/>
    </row>
    <row r="284" spans="1:14" ht="39" customHeight="1">
      <c r="A284" s="181" t="s">
        <v>160</v>
      </c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07"/>
      <c r="N284" s="19"/>
    </row>
    <row r="285" spans="1:14" ht="26.25" customHeight="1">
      <c r="A285" s="180" t="s">
        <v>161</v>
      </c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09"/>
      <c r="N285" s="19"/>
    </row>
    <row r="286" spans="1:14" ht="18" customHeight="1">
      <c r="A286" s="128" t="s">
        <v>6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66" customHeight="1">
      <c r="A287" s="129" t="s">
        <v>162</v>
      </c>
      <c r="B287" s="27"/>
      <c r="C287" s="28">
        <f>+D287+E287</f>
        <v>1743118</v>
      </c>
      <c r="D287" s="30">
        <v>1743118</v>
      </c>
      <c r="E287" s="30">
        <v>0</v>
      </c>
      <c r="F287" s="28">
        <f>G287+H287</f>
        <v>1911000</v>
      </c>
      <c r="G287" s="8">
        <v>1911000</v>
      </c>
      <c r="H287" s="8">
        <v>0</v>
      </c>
      <c r="I287" s="28">
        <f>J287+K287</f>
        <v>2061525</v>
      </c>
      <c r="J287" s="8">
        <v>2061525</v>
      </c>
      <c r="K287" s="8">
        <v>0</v>
      </c>
      <c r="N287" s="19"/>
    </row>
    <row r="288" spans="1:14" ht="18" customHeight="1">
      <c r="A288" s="1" t="s">
        <v>4</v>
      </c>
      <c r="B288" s="27"/>
      <c r="C288" s="130"/>
      <c r="D288" s="48"/>
      <c r="E288" s="48"/>
      <c r="F288" s="130"/>
      <c r="G288" s="9"/>
      <c r="H288" s="48"/>
      <c r="I288" s="130"/>
      <c r="J288" s="9"/>
      <c r="K288" s="48"/>
      <c r="N288" s="19"/>
    </row>
    <row r="289" spans="1:14" ht="18" customHeight="1">
      <c r="A289" s="24" t="s">
        <v>5</v>
      </c>
      <c r="B289" s="27"/>
      <c r="C289" s="130"/>
      <c r="D289" s="48"/>
      <c r="E289" s="48"/>
      <c r="F289" s="130"/>
      <c r="G289" s="9"/>
      <c r="H289" s="48"/>
      <c r="I289" s="130"/>
      <c r="J289" s="9"/>
      <c r="K289" s="48"/>
      <c r="N289" s="19"/>
    </row>
    <row r="290" spans="1:14" ht="23.25" customHeight="1">
      <c r="A290" s="131" t="s">
        <v>168</v>
      </c>
      <c r="B290" s="27"/>
      <c r="C290" s="122">
        <f aca="true" t="shared" si="9" ref="C290:C308">+D290+E290</f>
        <v>250</v>
      </c>
      <c r="D290" s="122">
        <v>250</v>
      </c>
      <c r="E290" s="122">
        <v>0</v>
      </c>
      <c r="F290" s="122">
        <f aca="true" t="shared" si="10" ref="F290:F308">G290+H290</f>
        <v>200</v>
      </c>
      <c r="G290" s="123">
        <v>200</v>
      </c>
      <c r="H290" s="122">
        <v>0</v>
      </c>
      <c r="I290" s="122">
        <f aca="true" t="shared" si="11" ref="I290:I308">J290+K290</f>
        <v>200</v>
      </c>
      <c r="J290" s="123">
        <v>200</v>
      </c>
      <c r="K290" s="122">
        <v>0</v>
      </c>
      <c r="N290" s="19"/>
    </row>
    <row r="291" spans="1:14" ht="28.5" customHeight="1">
      <c r="A291" s="124" t="s">
        <v>163</v>
      </c>
      <c r="B291" s="27"/>
      <c r="C291" s="122">
        <f t="shared" si="9"/>
        <v>679</v>
      </c>
      <c r="D291" s="122">
        <v>679</v>
      </c>
      <c r="E291" s="122">
        <v>0</v>
      </c>
      <c r="F291" s="122">
        <f t="shared" si="10"/>
        <v>680</v>
      </c>
      <c r="G291" s="122">
        <f>+G292+G293+G294+G295+G296</f>
        <v>680</v>
      </c>
      <c r="H291" s="122">
        <v>0</v>
      </c>
      <c r="I291" s="122">
        <f t="shared" si="11"/>
        <v>680</v>
      </c>
      <c r="J291" s="122">
        <f>+J292+J293+J294+J295+J296</f>
        <v>680</v>
      </c>
      <c r="K291" s="122">
        <v>0</v>
      </c>
      <c r="N291" s="19"/>
    </row>
    <row r="292" spans="1:14" ht="17.25" customHeight="1">
      <c r="A292" s="121" t="s">
        <v>164</v>
      </c>
      <c r="B292" s="27"/>
      <c r="C292" s="122">
        <f t="shared" si="9"/>
        <v>309</v>
      </c>
      <c r="D292" s="122">
        <v>309</v>
      </c>
      <c r="E292" s="122">
        <v>0</v>
      </c>
      <c r="F292" s="122">
        <f t="shared" si="10"/>
        <v>280</v>
      </c>
      <c r="G292" s="123">
        <v>280</v>
      </c>
      <c r="H292" s="122">
        <v>0</v>
      </c>
      <c r="I292" s="122">
        <f t="shared" si="11"/>
        <v>280</v>
      </c>
      <c r="J292" s="123">
        <v>280</v>
      </c>
      <c r="K292" s="122">
        <v>0</v>
      </c>
      <c r="N292" s="19"/>
    </row>
    <row r="293" spans="1:14" ht="17.25" customHeight="1">
      <c r="A293" s="121" t="s">
        <v>165</v>
      </c>
      <c r="B293" s="27"/>
      <c r="C293" s="122">
        <f t="shared" si="9"/>
        <v>332</v>
      </c>
      <c r="D293" s="122">
        <f>186+146</f>
        <v>332</v>
      </c>
      <c r="E293" s="122">
        <v>0</v>
      </c>
      <c r="F293" s="122">
        <f t="shared" si="10"/>
        <v>245</v>
      </c>
      <c r="G293" s="123">
        <v>245</v>
      </c>
      <c r="H293" s="122">
        <v>0</v>
      </c>
      <c r="I293" s="122">
        <f t="shared" si="11"/>
        <v>245</v>
      </c>
      <c r="J293" s="123">
        <v>245</v>
      </c>
      <c r="K293" s="122">
        <v>0</v>
      </c>
      <c r="N293" s="19"/>
    </row>
    <row r="294" spans="1:14" ht="17.25" customHeight="1">
      <c r="A294" s="121" t="s">
        <v>166</v>
      </c>
      <c r="B294" s="27"/>
      <c r="C294" s="122">
        <f t="shared" si="9"/>
        <v>2</v>
      </c>
      <c r="D294" s="122">
        <v>2</v>
      </c>
      <c r="E294" s="122">
        <v>0</v>
      </c>
      <c r="F294" s="122">
        <f t="shared" si="10"/>
        <v>2</v>
      </c>
      <c r="G294" s="123">
        <v>2</v>
      </c>
      <c r="H294" s="122">
        <v>0</v>
      </c>
      <c r="I294" s="122">
        <f t="shared" si="11"/>
        <v>2</v>
      </c>
      <c r="J294" s="123">
        <v>2</v>
      </c>
      <c r="K294" s="122">
        <v>0</v>
      </c>
      <c r="N294" s="19"/>
    </row>
    <row r="295" spans="1:14" ht="17.25" customHeight="1">
      <c r="A295" s="121" t="s">
        <v>167</v>
      </c>
      <c r="B295" s="27"/>
      <c r="C295" s="122">
        <f t="shared" si="9"/>
        <v>35</v>
      </c>
      <c r="D295" s="122">
        <f>15+20</f>
        <v>35</v>
      </c>
      <c r="E295" s="122">
        <v>0</v>
      </c>
      <c r="F295" s="122">
        <f t="shared" si="10"/>
        <v>151</v>
      </c>
      <c r="G295" s="123">
        <v>151</v>
      </c>
      <c r="H295" s="122">
        <v>0</v>
      </c>
      <c r="I295" s="122">
        <f t="shared" si="11"/>
        <v>151</v>
      </c>
      <c r="J295" s="123">
        <v>151</v>
      </c>
      <c r="K295" s="122">
        <v>0</v>
      </c>
      <c r="N295" s="19"/>
    </row>
    <row r="296" spans="1:14" ht="48.75" customHeight="1">
      <c r="A296" s="124" t="s">
        <v>175</v>
      </c>
      <c r="B296" s="27"/>
      <c r="C296" s="122">
        <f t="shared" si="9"/>
        <v>1</v>
      </c>
      <c r="D296" s="122">
        <v>1</v>
      </c>
      <c r="E296" s="122">
        <v>0</v>
      </c>
      <c r="F296" s="122">
        <f t="shared" si="10"/>
        <v>2</v>
      </c>
      <c r="G296" s="123">
        <v>2</v>
      </c>
      <c r="H296" s="122">
        <v>0</v>
      </c>
      <c r="I296" s="122">
        <f t="shared" si="11"/>
        <v>2</v>
      </c>
      <c r="J296" s="123">
        <v>2</v>
      </c>
      <c r="K296" s="122">
        <v>0</v>
      </c>
      <c r="N296" s="19"/>
    </row>
    <row r="297" spans="1:14" ht="18" customHeight="1">
      <c r="A297" s="24" t="s">
        <v>13</v>
      </c>
      <c r="B297" s="27"/>
      <c r="C297" s="125"/>
      <c r="D297" s="48"/>
      <c r="E297" s="48"/>
      <c r="F297" s="125"/>
      <c r="G297" s="9"/>
      <c r="H297" s="48"/>
      <c r="I297" s="125"/>
      <c r="J297" s="9"/>
      <c r="K297" s="48"/>
      <c r="N297" s="19"/>
    </row>
    <row r="298" spans="1:14" ht="30.75" customHeight="1">
      <c r="A298" s="124" t="s">
        <v>181</v>
      </c>
      <c r="B298" s="27"/>
      <c r="C298" s="37">
        <f t="shared" si="9"/>
        <v>213.9320078546883</v>
      </c>
      <c r="D298" s="37">
        <f>+D287/D291/12</f>
        <v>213.9320078546883</v>
      </c>
      <c r="E298" s="37">
        <v>0</v>
      </c>
      <c r="F298" s="37">
        <f t="shared" si="10"/>
        <v>234.19117647058826</v>
      </c>
      <c r="G298" s="37">
        <f>+G287/G291/12</f>
        <v>234.19117647058826</v>
      </c>
      <c r="H298" s="37">
        <v>0</v>
      </c>
      <c r="I298" s="37">
        <f t="shared" si="11"/>
        <v>252.6378676470588</v>
      </c>
      <c r="J298" s="37">
        <f>+J287/J291/12</f>
        <v>252.6378676470588</v>
      </c>
      <c r="K298" s="37">
        <v>0</v>
      </c>
      <c r="N298" s="19"/>
    </row>
    <row r="299" spans="1:14" ht="19.5" customHeight="1">
      <c r="A299" s="121" t="s">
        <v>164</v>
      </c>
      <c r="B299" s="27"/>
      <c r="C299" s="37">
        <f t="shared" si="9"/>
        <v>256.9118122977346</v>
      </c>
      <c r="D299" s="37">
        <f>+(443685+508944)/12/D292</f>
        <v>256.9118122977346</v>
      </c>
      <c r="E299" s="37">
        <v>0</v>
      </c>
      <c r="F299" s="37">
        <f t="shared" si="10"/>
        <v>283.82619047619045</v>
      </c>
      <c r="G299" s="37">
        <f>+(485010+468646)/12/G292</f>
        <v>283.82619047619045</v>
      </c>
      <c r="H299" s="37">
        <v>0</v>
      </c>
      <c r="I299" s="37">
        <f t="shared" si="11"/>
        <v>306.4294642857143</v>
      </c>
      <c r="J299" s="37">
        <f>+(523590+506013)/12/J292</f>
        <v>306.4294642857143</v>
      </c>
      <c r="K299" s="37">
        <v>0</v>
      </c>
      <c r="N299" s="19"/>
    </row>
    <row r="300" spans="1:14" ht="19.5" customHeight="1">
      <c r="A300" s="121" t="s">
        <v>165</v>
      </c>
      <c r="B300" s="27"/>
      <c r="C300" s="37">
        <f t="shared" si="9"/>
        <v>178.05170682730923</v>
      </c>
      <c r="D300" s="37">
        <f>+(440128+269230)/12/D293</f>
        <v>178.05170682730923</v>
      </c>
      <c r="E300" s="37">
        <v>0</v>
      </c>
      <c r="F300" s="37">
        <f t="shared" si="10"/>
        <v>191.79455782312925</v>
      </c>
      <c r="G300" s="37">
        <f>+(310406+253470)/12/G293</f>
        <v>191.79455782312925</v>
      </c>
      <c r="H300" s="37">
        <v>0</v>
      </c>
      <c r="I300" s="37">
        <f t="shared" si="11"/>
        <v>206.5159863945578</v>
      </c>
      <c r="J300" s="37">
        <f>+(335102+272055)/12/J293</f>
        <v>206.5159863945578</v>
      </c>
      <c r="K300" s="37">
        <v>0</v>
      </c>
      <c r="N300" s="19"/>
    </row>
    <row r="301" spans="1:14" ht="19.5" customHeight="1">
      <c r="A301" s="121" t="s">
        <v>166</v>
      </c>
      <c r="B301" s="27"/>
      <c r="C301" s="37">
        <f t="shared" si="9"/>
        <v>197.19</v>
      </c>
      <c r="D301" s="157">
        <v>197.19</v>
      </c>
      <c r="E301" s="37">
        <v>0</v>
      </c>
      <c r="F301" s="37">
        <f t="shared" si="10"/>
        <v>215.56</v>
      </c>
      <c r="G301" s="37">
        <v>215.56</v>
      </c>
      <c r="H301" s="37">
        <v>0</v>
      </c>
      <c r="I301" s="37">
        <f t="shared" si="11"/>
        <v>232.70833333333334</v>
      </c>
      <c r="J301" s="37">
        <f>5585/12/J294</f>
        <v>232.70833333333334</v>
      </c>
      <c r="K301" s="37">
        <v>0</v>
      </c>
      <c r="N301" s="19"/>
    </row>
    <row r="302" spans="1:14" ht="19.5" customHeight="1">
      <c r="A302" s="121" t="s">
        <v>167</v>
      </c>
      <c r="B302" s="27"/>
      <c r="C302" s="37">
        <f t="shared" si="9"/>
        <v>178.5404761904762</v>
      </c>
      <c r="D302" s="157">
        <f>+(47326+27661)/12/D295</f>
        <v>178.5404761904762</v>
      </c>
      <c r="E302" s="37">
        <v>0</v>
      </c>
      <c r="F302" s="37">
        <f t="shared" si="10"/>
        <v>212.40949227373068</v>
      </c>
      <c r="G302" s="37">
        <f>+(364728+20158)/12/G295</f>
        <v>212.40949227373068</v>
      </c>
      <c r="H302" s="37">
        <v>0</v>
      </c>
      <c r="I302" s="37">
        <f t="shared" si="11"/>
        <v>229.30960264900662</v>
      </c>
      <c r="J302" s="37">
        <f>+(393745+21764)/12/J295</f>
        <v>229.30960264900662</v>
      </c>
      <c r="K302" s="37">
        <v>0</v>
      </c>
      <c r="N302" s="19"/>
    </row>
    <row r="303" spans="1:14" ht="48.75" customHeight="1">
      <c r="A303" s="124" t="s">
        <v>175</v>
      </c>
      <c r="B303" s="27"/>
      <c r="C303" s="37">
        <f t="shared" si="9"/>
        <v>107.57</v>
      </c>
      <c r="D303" s="37">
        <v>107.57</v>
      </c>
      <c r="E303" s="37">
        <v>0</v>
      </c>
      <c r="F303" s="37">
        <f t="shared" si="10"/>
        <v>134.25</v>
      </c>
      <c r="G303" s="37">
        <f>+(1411+1811)/12/G296</f>
        <v>134.25</v>
      </c>
      <c r="H303" s="37">
        <v>0</v>
      </c>
      <c r="I303" s="37">
        <f t="shared" si="11"/>
        <v>144.95833333333334</v>
      </c>
      <c r="J303" s="37">
        <f>+(1955+1524)/12/J296</f>
        <v>144.95833333333334</v>
      </c>
      <c r="K303" s="37">
        <v>0</v>
      </c>
      <c r="N303" s="19"/>
    </row>
    <row r="304" spans="1:12" ht="8.2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79" t="s">
        <v>238</v>
      </c>
      <c r="J305" s="179"/>
      <c r="K305" s="179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4" ht="20.25" customHeight="1">
      <c r="A307" s="126" t="s">
        <v>12</v>
      </c>
      <c r="B307" s="27"/>
      <c r="C307" s="37"/>
      <c r="D307" s="37"/>
      <c r="E307" s="37"/>
      <c r="F307" s="37"/>
      <c r="G307" s="113"/>
      <c r="H307" s="37"/>
      <c r="I307" s="37"/>
      <c r="J307" s="113"/>
      <c r="K307" s="37"/>
      <c r="N307" s="19"/>
    </row>
    <row r="308" spans="1:14" ht="33" customHeight="1">
      <c r="A308" s="127" t="s">
        <v>169</v>
      </c>
      <c r="B308" s="27"/>
      <c r="C308" s="37">
        <f t="shared" si="9"/>
        <v>100</v>
      </c>
      <c r="D308" s="37">
        <v>100</v>
      </c>
      <c r="E308" s="37">
        <v>0</v>
      </c>
      <c r="F308" s="37">
        <f t="shared" si="10"/>
        <v>100</v>
      </c>
      <c r="G308" s="113">
        <v>100</v>
      </c>
      <c r="H308" s="37">
        <v>0</v>
      </c>
      <c r="I308" s="37">
        <f t="shared" si="11"/>
        <v>100</v>
      </c>
      <c r="J308" s="113">
        <v>100</v>
      </c>
      <c r="K308" s="37">
        <v>0</v>
      </c>
      <c r="N308" s="19"/>
    </row>
    <row r="309" spans="1:12" ht="21.75" customHeight="1">
      <c r="A309" s="110" t="s">
        <v>107</v>
      </c>
      <c r="B309" s="120" t="s">
        <v>108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05"/>
    </row>
    <row r="310" spans="1:14" ht="21.75" customHeight="1">
      <c r="A310" s="2" t="s">
        <v>42</v>
      </c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N310" s="19"/>
    </row>
    <row r="311" spans="1:12" ht="35.25" customHeight="1">
      <c r="A311" s="181" t="s">
        <v>155</v>
      </c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07"/>
    </row>
    <row r="312" spans="1:12" ht="21.75" customHeight="1">
      <c r="A312" s="182" t="s">
        <v>43</v>
      </c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09"/>
    </row>
    <row r="313" spans="1:12" ht="21.75" customHeight="1">
      <c r="A313" s="128" t="s">
        <v>6</v>
      </c>
      <c r="B313" s="115"/>
      <c r="C313" s="28">
        <f>+D313+E313</f>
        <v>73900</v>
      </c>
      <c r="D313" s="28">
        <f>+D314</f>
        <v>73900</v>
      </c>
      <c r="E313" s="28">
        <v>0</v>
      </c>
      <c r="F313" s="28">
        <f>+H313+G313</f>
        <v>70000</v>
      </c>
      <c r="G313" s="28">
        <f>+G314</f>
        <v>70000</v>
      </c>
      <c r="H313" s="28">
        <v>0</v>
      </c>
      <c r="I313" s="28">
        <f>+K313+J313</f>
        <v>0</v>
      </c>
      <c r="J313" s="28">
        <f>+J314</f>
        <v>0</v>
      </c>
      <c r="K313" s="28">
        <v>0</v>
      </c>
      <c r="L313" s="132"/>
    </row>
    <row r="314" spans="1:12" ht="55.5" customHeight="1">
      <c r="A314" s="129" t="s">
        <v>170</v>
      </c>
      <c r="B314" s="116"/>
      <c r="C314" s="30">
        <f>D314+E314</f>
        <v>73900</v>
      </c>
      <c r="D314" s="30">
        <v>73900</v>
      </c>
      <c r="E314" s="30">
        <v>0</v>
      </c>
      <c r="F314" s="30">
        <f>G314+H314</f>
        <v>70000</v>
      </c>
      <c r="G314" s="30">
        <v>70000</v>
      </c>
      <c r="H314" s="30">
        <v>0</v>
      </c>
      <c r="I314" s="30">
        <f>J314+K314</f>
        <v>0</v>
      </c>
      <c r="J314" s="30">
        <v>0</v>
      </c>
      <c r="K314" s="30">
        <v>0</v>
      </c>
      <c r="L314" s="105"/>
    </row>
    <row r="315" spans="1:12" ht="21.75" customHeight="1">
      <c r="A315" s="103" t="s">
        <v>87</v>
      </c>
      <c r="B315" s="104" t="s">
        <v>88</v>
      </c>
      <c r="C315" s="1"/>
      <c r="D315" s="1"/>
      <c r="E315" s="1"/>
      <c r="F315" s="1"/>
      <c r="G315" s="1"/>
      <c r="H315" s="1"/>
      <c r="I315" s="1"/>
      <c r="J315" s="1"/>
      <c r="K315" s="1"/>
      <c r="L315" s="21"/>
    </row>
    <row r="316" spans="1:13" ht="27.75" customHeight="1">
      <c r="A316" s="2" t="s">
        <v>27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1"/>
      <c r="M316" s="66"/>
    </row>
    <row r="317" spans="1:12" ht="35.25" customHeight="1">
      <c r="A317" s="212" t="s">
        <v>156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4"/>
      <c r="L317" s="82"/>
    </row>
    <row r="318" spans="1:12" ht="21.75" customHeight="1">
      <c r="A318" s="204" t="s">
        <v>128</v>
      </c>
      <c r="B318" s="205"/>
      <c r="C318" s="205"/>
      <c r="D318" s="205"/>
      <c r="E318" s="205"/>
      <c r="F318" s="205"/>
      <c r="G318" s="205"/>
      <c r="H318" s="205"/>
      <c r="I318" s="205"/>
      <c r="J318" s="205"/>
      <c r="K318" s="206"/>
      <c r="L318" s="133"/>
    </row>
    <row r="319" spans="1:12" ht="21.75" customHeight="1">
      <c r="A319" s="138" t="s">
        <v>6</v>
      </c>
      <c r="B319" s="139"/>
      <c r="C319" s="10">
        <f>+D319</f>
        <v>25146</v>
      </c>
      <c r="D319" s="10">
        <f>+D320+D330+D343</f>
        <v>25146</v>
      </c>
      <c r="E319" s="10">
        <v>0</v>
      </c>
      <c r="F319" s="10">
        <f>+G319</f>
        <v>20649</v>
      </c>
      <c r="G319" s="10">
        <f>+G320+G330+G343</f>
        <v>20649</v>
      </c>
      <c r="H319" s="10">
        <v>0</v>
      </c>
      <c r="I319" s="10">
        <f>+J319</f>
        <v>21890</v>
      </c>
      <c r="J319" s="10">
        <f>+J320+J330+J343</f>
        <v>21890</v>
      </c>
      <c r="K319" s="10">
        <v>0</v>
      </c>
      <c r="L319" s="140"/>
    </row>
    <row r="320" spans="1:12" ht="43.5" customHeight="1">
      <c r="A320" s="3" t="s">
        <v>137</v>
      </c>
      <c r="B320" s="1"/>
      <c r="C320" s="4">
        <f>D320+E320</f>
        <v>5184</v>
      </c>
      <c r="D320" s="4">
        <v>5184</v>
      </c>
      <c r="E320" s="4">
        <v>0</v>
      </c>
      <c r="F320" s="4">
        <f>G320+H320</f>
        <v>0</v>
      </c>
      <c r="G320" s="4">
        <v>0</v>
      </c>
      <c r="H320" s="4">
        <v>0</v>
      </c>
      <c r="I320" s="4">
        <f>J320+K320</f>
        <v>0</v>
      </c>
      <c r="J320" s="4">
        <v>0</v>
      </c>
      <c r="K320" s="4">
        <v>0</v>
      </c>
      <c r="L320" s="134"/>
    </row>
    <row r="321" spans="1:12" ht="17.25" customHeight="1">
      <c r="A321" s="5" t="s">
        <v>4</v>
      </c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134"/>
    </row>
    <row r="322" spans="1:12" ht="17.25" customHeight="1">
      <c r="A322" s="7" t="s">
        <v>5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30" customHeight="1">
      <c r="A323" s="5" t="s">
        <v>126</v>
      </c>
      <c r="B323" s="1"/>
      <c r="C323" s="135">
        <f>D323+E323</f>
        <v>2</v>
      </c>
      <c r="D323" s="135">
        <v>2</v>
      </c>
      <c r="E323" s="135">
        <v>0</v>
      </c>
      <c r="F323" s="135">
        <f>G323+H323</f>
        <v>0</v>
      </c>
      <c r="G323" s="135">
        <v>0</v>
      </c>
      <c r="H323" s="135">
        <v>0</v>
      </c>
      <c r="I323" s="135">
        <f>J323+K323</f>
        <v>0</v>
      </c>
      <c r="J323" s="135">
        <v>0</v>
      </c>
      <c r="K323" s="135">
        <v>0</v>
      </c>
      <c r="L323" s="134"/>
    </row>
    <row r="324" spans="1:12" ht="47.25" customHeight="1">
      <c r="A324" s="5" t="s">
        <v>89</v>
      </c>
      <c r="B324" s="1"/>
      <c r="C324" s="135">
        <f>+D324</f>
        <v>1</v>
      </c>
      <c r="D324" s="135">
        <v>1</v>
      </c>
      <c r="E324" s="135">
        <v>0</v>
      </c>
      <c r="F324" s="135">
        <f>+G324</f>
        <v>0</v>
      </c>
      <c r="G324" s="135">
        <v>0</v>
      </c>
      <c r="H324" s="135">
        <v>0</v>
      </c>
      <c r="I324" s="135">
        <f>J324+K324</f>
        <v>0</v>
      </c>
      <c r="J324" s="135">
        <v>0</v>
      </c>
      <c r="K324" s="135">
        <v>0</v>
      </c>
      <c r="L324" s="134"/>
    </row>
    <row r="325" spans="1:12" ht="26.25" customHeight="1">
      <c r="A325" s="5" t="s">
        <v>229</v>
      </c>
      <c r="B325" s="1"/>
      <c r="C325" s="135">
        <f>D325+E325</f>
        <v>160</v>
      </c>
      <c r="D325" s="135">
        <v>160</v>
      </c>
      <c r="E325" s="135">
        <v>0</v>
      </c>
      <c r="F325" s="135">
        <f>G325+H325</f>
        <v>0</v>
      </c>
      <c r="G325" s="135">
        <v>0</v>
      </c>
      <c r="H325" s="135">
        <v>0</v>
      </c>
      <c r="I325" s="135">
        <f>J325+K325</f>
        <v>0</v>
      </c>
      <c r="J325" s="135">
        <v>0</v>
      </c>
      <c r="K325" s="135">
        <v>0</v>
      </c>
      <c r="L325" s="134"/>
    </row>
    <row r="326" spans="1:12" ht="17.25" customHeight="1">
      <c r="A326" s="7" t="s">
        <v>13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17.25" customHeight="1">
      <c r="A327" s="5" t="s">
        <v>33</v>
      </c>
      <c r="B327" s="1"/>
      <c r="C327" s="8">
        <f>D327+E327</f>
        <v>10.8</v>
      </c>
      <c r="D327" s="8">
        <f>+D320/3/D325</f>
        <v>10.8</v>
      </c>
      <c r="E327" s="8">
        <v>0</v>
      </c>
      <c r="F327" s="8">
        <f>G327+H327</f>
        <v>0</v>
      </c>
      <c r="G327" s="8">
        <v>0</v>
      </c>
      <c r="H327" s="8">
        <v>0</v>
      </c>
      <c r="I327" s="8">
        <f>J327+K327</f>
        <v>0</v>
      </c>
      <c r="J327" s="8">
        <v>0</v>
      </c>
      <c r="K327" s="8">
        <v>0</v>
      </c>
      <c r="L327" s="134"/>
    </row>
    <row r="328" spans="1:12" ht="17.25" customHeight="1">
      <c r="A328" s="3" t="s">
        <v>12</v>
      </c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134"/>
    </row>
    <row r="329" spans="1:12" ht="21" customHeight="1">
      <c r="A329" s="5" t="s">
        <v>35</v>
      </c>
      <c r="B329" s="1"/>
      <c r="C329" s="6">
        <f>D329+E329</f>
        <v>63.49050826699326</v>
      </c>
      <c r="D329" s="6">
        <f>+D320/8165*100</f>
        <v>63.49050826699326</v>
      </c>
      <c r="E329" s="6">
        <v>0</v>
      </c>
      <c r="F329" s="6">
        <f>G329+H329</f>
        <v>0</v>
      </c>
      <c r="G329" s="6">
        <f>+G320/D320*100</f>
        <v>0</v>
      </c>
      <c r="H329" s="6">
        <v>0</v>
      </c>
      <c r="I329" s="6">
        <f>J329+K329</f>
        <v>0</v>
      </c>
      <c r="J329" s="6">
        <v>0</v>
      </c>
      <c r="K329" s="6">
        <v>0</v>
      </c>
      <c r="L329" s="134"/>
    </row>
    <row r="330" spans="1:12" ht="35.25" customHeight="1">
      <c r="A330" s="3" t="s">
        <v>138</v>
      </c>
      <c r="B330" s="1"/>
      <c r="C330" s="4">
        <f>D330+E330</f>
        <v>11642</v>
      </c>
      <c r="D330" s="4">
        <v>11642</v>
      </c>
      <c r="E330" s="4">
        <v>0</v>
      </c>
      <c r="F330" s="4">
        <f>G330+H330</f>
        <v>14784</v>
      </c>
      <c r="G330" s="4">
        <v>14784</v>
      </c>
      <c r="H330" s="4">
        <v>0</v>
      </c>
      <c r="I330" s="4">
        <f>J330+K330</f>
        <v>15680</v>
      </c>
      <c r="J330" s="4">
        <v>15680</v>
      </c>
      <c r="K330" s="4">
        <v>0</v>
      </c>
      <c r="L330" s="134"/>
    </row>
    <row r="331" spans="1:12" ht="20.25" customHeight="1">
      <c r="A331" s="5" t="s">
        <v>4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4"/>
    </row>
    <row r="332" spans="1:12" ht="20.25" customHeight="1">
      <c r="A332" s="7" t="s">
        <v>5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30.75" customHeight="1">
      <c r="A333" s="5" t="s">
        <v>126</v>
      </c>
      <c r="B333" s="1"/>
      <c r="C333" s="135">
        <f>D333+E333</f>
        <v>4</v>
      </c>
      <c r="D333" s="135">
        <v>4</v>
      </c>
      <c r="E333" s="135">
        <v>0</v>
      </c>
      <c r="F333" s="135">
        <f>G333+H333</f>
        <v>7</v>
      </c>
      <c r="G333" s="135">
        <v>7</v>
      </c>
      <c r="H333" s="135">
        <v>0</v>
      </c>
      <c r="I333" s="135">
        <f>J333+K333</f>
        <v>7</v>
      </c>
      <c r="J333" s="135">
        <v>7</v>
      </c>
      <c r="K333" s="135">
        <v>0</v>
      </c>
      <c r="L333" s="134"/>
    </row>
    <row r="334" spans="1:12" ht="46.5" customHeight="1">
      <c r="A334" s="5" t="s">
        <v>89</v>
      </c>
      <c r="B334" s="1"/>
      <c r="C334" s="135">
        <f>+D334</f>
        <v>1</v>
      </c>
      <c r="D334" s="135">
        <v>1</v>
      </c>
      <c r="E334" s="135">
        <v>0</v>
      </c>
      <c r="F334" s="135">
        <v>0</v>
      </c>
      <c r="G334" s="135">
        <v>0</v>
      </c>
      <c r="H334" s="135">
        <v>0</v>
      </c>
      <c r="I334" s="135">
        <f>+J334</f>
        <v>0</v>
      </c>
      <c r="J334" s="135">
        <v>0</v>
      </c>
      <c r="K334" s="135">
        <v>0</v>
      </c>
      <c r="L334" s="134"/>
    </row>
    <row r="335" spans="1:12" ht="28.5" customHeight="1">
      <c r="A335" s="5" t="s">
        <v>229</v>
      </c>
      <c r="B335" s="1"/>
      <c r="C335" s="135">
        <f>D335+E335</f>
        <v>176</v>
      </c>
      <c r="D335" s="135">
        <v>176</v>
      </c>
      <c r="E335" s="135">
        <v>0</v>
      </c>
      <c r="F335" s="6">
        <f>G335+H335</f>
        <v>140.8</v>
      </c>
      <c r="G335" s="6">
        <v>140.8</v>
      </c>
      <c r="H335" s="135">
        <v>0</v>
      </c>
      <c r="I335" s="135">
        <f>J335+K335</f>
        <v>160</v>
      </c>
      <c r="J335" s="135">
        <v>160</v>
      </c>
      <c r="K335" s="135">
        <v>0</v>
      </c>
      <c r="L335" s="134"/>
    </row>
    <row r="336" spans="1:12" ht="20.25" customHeight="1">
      <c r="A336" s="7" t="s">
        <v>13</v>
      </c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134"/>
    </row>
    <row r="337" spans="1:12" ht="20.25" customHeight="1">
      <c r="A337" s="5" t="s">
        <v>33</v>
      </c>
      <c r="B337" s="1"/>
      <c r="C337" s="8">
        <f>D337+E337</f>
        <v>13.2</v>
      </c>
      <c r="D337" s="8">
        <v>13.2</v>
      </c>
      <c r="E337" s="8">
        <v>0</v>
      </c>
      <c r="F337" s="8">
        <f>G337+H337</f>
        <v>14.999999999999998</v>
      </c>
      <c r="G337" s="8">
        <f>+G330/(G333+G334)/G335</f>
        <v>14.999999999999998</v>
      </c>
      <c r="H337" s="8">
        <v>0</v>
      </c>
      <c r="I337" s="8">
        <f>J337+K337</f>
        <v>14</v>
      </c>
      <c r="J337" s="8">
        <f>+J330/(J333+J334)/J335</f>
        <v>14</v>
      </c>
      <c r="K337" s="8">
        <v>0</v>
      </c>
      <c r="L337" s="134"/>
    </row>
    <row r="338" spans="1:12" ht="8.25" customHeight="1">
      <c r="A338" s="21"/>
      <c r="B338" s="12"/>
      <c r="C338" s="22"/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1:12" ht="26.25" customHeight="1">
      <c r="A339" s="11"/>
      <c r="B339" s="12"/>
      <c r="C339" s="13"/>
      <c r="D339" s="13"/>
      <c r="E339" s="13"/>
      <c r="F339" s="13"/>
      <c r="G339" s="13"/>
      <c r="H339" s="13"/>
      <c r="I339" s="179" t="s">
        <v>238</v>
      </c>
      <c r="J339" s="179"/>
      <c r="K339" s="179"/>
      <c r="L339" s="13"/>
    </row>
    <row r="340" spans="1:12" ht="14.25">
      <c r="A340" s="14">
        <v>1</v>
      </c>
      <c r="B340" s="15">
        <v>2</v>
      </c>
      <c r="C340" s="16">
        <v>3</v>
      </c>
      <c r="D340" s="16">
        <v>4</v>
      </c>
      <c r="E340" s="16">
        <v>5</v>
      </c>
      <c r="F340" s="16">
        <v>6</v>
      </c>
      <c r="G340" s="16">
        <v>7</v>
      </c>
      <c r="H340" s="16">
        <v>8</v>
      </c>
      <c r="I340" s="16">
        <v>9</v>
      </c>
      <c r="J340" s="16">
        <v>10</v>
      </c>
      <c r="K340" s="16">
        <v>11</v>
      </c>
      <c r="L340" s="23"/>
    </row>
    <row r="341" spans="1:12" ht="21" customHeight="1">
      <c r="A341" s="3" t="s">
        <v>12</v>
      </c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134"/>
    </row>
    <row r="342" spans="1:12" ht="17.25" customHeight="1">
      <c r="A342" s="5" t="s">
        <v>35</v>
      </c>
      <c r="B342" s="1"/>
      <c r="C342" s="6">
        <f>D342+E342</f>
        <v>22.79571576824421</v>
      </c>
      <c r="D342" s="9">
        <f>+D330/51071*100</f>
        <v>22.79571576824421</v>
      </c>
      <c r="E342" s="6">
        <v>0</v>
      </c>
      <c r="F342" s="8">
        <f>G342+H342</f>
        <v>126.98848995018037</v>
      </c>
      <c r="G342" s="8">
        <f>+G330/D330*100</f>
        <v>126.98848995018037</v>
      </c>
      <c r="H342" s="6">
        <v>0</v>
      </c>
      <c r="I342" s="6">
        <f>J342+K342</f>
        <v>106.06060606060606</v>
      </c>
      <c r="J342" s="6">
        <f>J330/G330*100</f>
        <v>106.06060606060606</v>
      </c>
      <c r="K342" s="6">
        <v>0</v>
      </c>
      <c r="L342" s="134"/>
    </row>
    <row r="343" spans="1:12" ht="32.25" customHeight="1">
      <c r="A343" s="136" t="s">
        <v>140</v>
      </c>
      <c r="B343" s="1"/>
      <c r="C343" s="4">
        <f>D343+E343</f>
        <v>8320</v>
      </c>
      <c r="D343" s="4">
        <v>8320</v>
      </c>
      <c r="E343" s="4">
        <v>0</v>
      </c>
      <c r="F343" s="4">
        <f>G343+H343</f>
        <v>5865</v>
      </c>
      <c r="G343" s="4">
        <v>5865</v>
      </c>
      <c r="H343" s="4">
        <v>0</v>
      </c>
      <c r="I343" s="4">
        <f>J343+K343</f>
        <v>6210</v>
      </c>
      <c r="J343" s="4">
        <v>6210</v>
      </c>
      <c r="K343" s="4">
        <v>0</v>
      </c>
      <c r="L343" s="134"/>
    </row>
    <row r="344" spans="1:12" ht="23.25" customHeight="1">
      <c r="A344" s="5" t="s">
        <v>4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4"/>
    </row>
    <row r="345" spans="1:12" ht="24" customHeight="1">
      <c r="A345" s="7" t="s">
        <v>5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32.25" customHeight="1">
      <c r="A346" s="92" t="s">
        <v>139</v>
      </c>
      <c r="B346" s="1"/>
      <c r="C346" s="135">
        <f>D346</f>
        <v>5</v>
      </c>
      <c r="D346" s="135">
        <v>5</v>
      </c>
      <c r="E346" s="135">
        <v>0</v>
      </c>
      <c r="F346" s="135">
        <f>+G346</f>
        <v>20</v>
      </c>
      <c r="G346" s="135">
        <v>20</v>
      </c>
      <c r="H346" s="135">
        <v>0</v>
      </c>
      <c r="I346" s="135">
        <f>+J346</f>
        <v>20</v>
      </c>
      <c r="J346" s="135">
        <v>20</v>
      </c>
      <c r="K346" s="135">
        <v>0</v>
      </c>
      <c r="L346" s="134"/>
    </row>
    <row r="347" spans="1:12" ht="45" customHeight="1">
      <c r="A347" s="92" t="s">
        <v>90</v>
      </c>
      <c r="B347" s="1"/>
      <c r="C347" s="135">
        <f>+D347</f>
        <v>2</v>
      </c>
      <c r="D347" s="135">
        <v>2</v>
      </c>
      <c r="E347" s="135">
        <v>0</v>
      </c>
      <c r="F347" s="135">
        <f>+G347</f>
        <v>0</v>
      </c>
      <c r="G347" s="135">
        <v>0</v>
      </c>
      <c r="H347" s="135">
        <v>0</v>
      </c>
      <c r="I347" s="135">
        <f>+J347</f>
        <v>0</v>
      </c>
      <c r="J347" s="135">
        <v>0</v>
      </c>
      <c r="K347" s="135">
        <v>0</v>
      </c>
      <c r="L347" s="134"/>
    </row>
    <row r="348" spans="1:12" ht="28.5" customHeight="1">
      <c r="A348" s="92" t="s">
        <v>91</v>
      </c>
      <c r="B348" s="1"/>
      <c r="C348" s="135">
        <f>+D348</f>
        <v>97</v>
      </c>
      <c r="D348" s="135">
        <v>97</v>
      </c>
      <c r="E348" s="135">
        <v>0</v>
      </c>
      <c r="F348" s="135">
        <f>+G348</f>
        <v>49</v>
      </c>
      <c r="G348" s="135">
        <v>49</v>
      </c>
      <c r="H348" s="135">
        <v>0</v>
      </c>
      <c r="I348" s="135">
        <f>+J348</f>
        <v>49</v>
      </c>
      <c r="J348" s="135">
        <v>49</v>
      </c>
      <c r="K348" s="135">
        <v>0</v>
      </c>
      <c r="L348" s="134"/>
    </row>
    <row r="349" spans="1:12" ht="17.25" customHeight="1">
      <c r="A349" s="7" t="s">
        <v>13</v>
      </c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134"/>
    </row>
    <row r="350" spans="1:12" ht="17.25" customHeight="1">
      <c r="A350" s="5" t="s">
        <v>67</v>
      </c>
      <c r="B350" s="1"/>
      <c r="C350" s="6">
        <f>D350+E350</f>
        <v>80</v>
      </c>
      <c r="D350" s="6">
        <f>+D343/(D346+D347+D348)</f>
        <v>80</v>
      </c>
      <c r="E350" s="6">
        <v>0</v>
      </c>
      <c r="F350" s="6">
        <f>G350+H350</f>
        <v>85</v>
      </c>
      <c r="G350" s="6">
        <f>+G343/(G346+G347+G348)</f>
        <v>85</v>
      </c>
      <c r="H350" s="6">
        <v>0</v>
      </c>
      <c r="I350" s="6">
        <f>J350+K350</f>
        <v>90</v>
      </c>
      <c r="J350" s="6">
        <f>+J343/(J346+J347+J348)</f>
        <v>90</v>
      </c>
      <c r="K350" s="6">
        <v>0</v>
      </c>
      <c r="L350" s="134"/>
    </row>
    <row r="351" spans="1:12" ht="17.25" customHeight="1">
      <c r="A351" s="3" t="s">
        <v>12</v>
      </c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134"/>
    </row>
    <row r="352" spans="1:12" ht="21" customHeight="1">
      <c r="A352" s="5" t="s">
        <v>35</v>
      </c>
      <c r="B352" s="1"/>
      <c r="C352" s="6">
        <f>+D352</f>
        <v>188.66213151927437</v>
      </c>
      <c r="D352" s="6">
        <f>+D343/4410*100</f>
        <v>188.66213151927437</v>
      </c>
      <c r="E352" s="6">
        <v>0</v>
      </c>
      <c r="F352" s="6">
        <f>+G352</f>
        <v>70.49278846153845</v>
      </c>
      <c r="G352" s="6">
        <f>+G343/D343*100</f>
        <v>70.49278846153845</v>
      </c>
      <c r="H352" s="6">
        <v>0</v>
      </c>
      <c r="I352" s="6">
        <f>+J352</f>
        <v>105.88235294117648</v>
      </c>
      <c r="J352" s="6">
        <f>+J343/G343*100</f>
        <v>105.88235294117648</v>
      </c>
      <c r="K352" s="6">
        <v>0</v>
      </c>
      <c r="L352" s="134"/>
    </row>
    <row r="353" spans="1:12" ht="30.75" customHeight="1">
      <c r="A353" s="3" t="s">
        <v>28</v>
      </c>
      <c r="B353" s="27"/>
      <c r="C353" s="36"/>
      <c r="D353" s="36"/>
      <c r="E353" s="36"/>
      <c r="F353" s="36"/>
      <c r="G353" s="36"/>
      <c r="H353" s="36"/>
      <c r="I353" s="36"/>
      <c r="J353" s="36"/>
      <c r="K353" s="36"/>
      <c r="L353" s="61"/>
    </row>
    <row r="354" spans="1:12" ht="30" customHeight="1">
      <c r="A354" s="211" t="s">
        <v>157</v>
      </c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137"/>
    </row>
    <row r="355" spans="1:12" ht="24.75" customHeight="1">
      <c r="A355" s="210" t="s">
        <v>129</v>
      </c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35"/>
    </row>
    <row r="356" spans="1:12" ht="18.75" customHeight="1">
      <c r="A356" s="138" t="s">
        <v>6</v>
      </c>
      <c r="B356" s="139"/>
      <c r="C356" s="10">
        <f>D356+E356</f>
        <v>195830</v>
      </c>
      <c r="D356" s="10">
        <f>+D358+D368+D382</f>
        <v>195830</v>
      </c>
      <c r="E356" s="10">
        <f>+E358+E368+E382</f>
        <v>0</v>
      </c>
      <c r="F356" s="10">
        <f>G356+H356</f>
        <v>172275</v>
      </c>
      <c r="G356" s="10">
        <f>+G358+G368+G382</f>
        <v>172275</v>
      </c>
      <c r="H356" s="10">
        <f>+H358+H368+H382</f>
        <v>0</v>
      </c>
      <c r="I356" s="10">
        <f>J356+K356</f>
        <v>183350</v>
      </c>
      <c r="J356" s="10">
        <f>+J358+J368+J382</f>
        <v>183350</v>
      </c>
      <c r="K356" s="10">
        <f>+K358+K368+K382</f>
        <v>0</v>
      </c>
      <c r="L356" s="140"/>
    </row>
    <row r="357" spans="1:12" ht="18.75" customHeight="1">
      <c r="A357" s="103" t="s">
        <v>92</v>
      </c>
      <c r="B357" s="104" t="s">
        <v>93</v>
      </c>
      <c r="C357" s="139"/>
      <c r="D357" s="139"/>
      <c r="E357" s="139"/>
      <c r="F357" s="139"/>
      <c r="G357" s="139"/>
      <c r="H357" s="139"/>
      <c r="I357" s="139"/>
      <c r="J357" s="139"/>
      <c r="K357" s="139"/>
      <c r="L357" s="140"/>
    </row>
    <row r="358" spans="1:12" ht="36" customHeight="1">
      <c r="A358" s="3" t="s">
        <v>141</v>
      </c>
      <c r="B358" s="1"/>
      <c r="C358" s="4">
        <f>D358+E358</f>
        <v>70910</v>
      </c>
      <c r="D358" s="4">
        <v>70910</v>
      </c>
      <c r="E358" s="4">
        <v>0</v>
      </c>
      <c r="F358" s="4">
        <f>G358+H358</f>
        <v>84000</v>
      </c>
      <c r="G358" s="4">
        <v>84000</v>
      </c>
      <c r="H358" s="4">
        <v>0</v>
      </c>
      <c r="I358" s="4">
        <f>J358+K358</f>
        <v>90000</v>
      </c>
      <c r="J358" s="4">
        <v>90000</v>
      </c>
      <c r="K358" s="4">
        <v>0</v>
      </c>
      <c r="L358" s="18"/>
    </row>
    <row r="359" spans="1:12" ht="21.75" customHeight="1">
      <c r="A359" s="1" t="s">
        <v>4</v>
      </c>
      <c r="B359" s="1"/>
      <c r="C359" s="9"/>
      <c r="D359" s="9"/>
      <c r="E359" s="9"/>
      <c r="F359" s="9"/>
      <c r="G359" s="9"/>
      <c r="H359" s="9"/>
      <c r="I359" s="9"/>
      <c r="J359" s="9"/>
      <c r="K359" s="9"/>
      <c r="L359" s="18"/>
    </row>
    <row r="360" spans="1:12" ht="19.5" customHeight="1">
      <c r="A360" s="24" t="s">
        <v>5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48" customHeight="1">
      <c r="A361" s="5" t="s">
        <v>127</v>
      </c>
      <c r="B361" s="1"/>
      <c r="C361" s="17">
        <f>D361+E361</f>
        <v>35</v>
      </c>
      <c r="D361" s="17">
        <v>35</v>
      </c>
      <c r="E361" s="17">
        <v>0</v>
      </c>
      <c r="F361" s="17">
        <f>G361+H361</f>
        <v>40</v>
      </c>
      <c r="G361" s="17">
        <v>40</v>
      </c>
      <c r="H361" s="17">
        <v>0</v>
      </c>
      <c r="I361" s="17">
        <f>J361+K361</f>
        <v>40</v>
      </c>
      <c r="J361" s="17">
        <v>40</v>
      </c>
      <c r="K361" s="17">
        <v>0</v>
      </c>
      <c r="L361" s="18"/>
    </row>
    <row r="362" spans="1:12" ht="45.75" customHeight="1">
      <c r="A362" s="5" t="s">
        <v>142</v>
      </c>
      <c r="B362" s="1"/>
      <c r="C362" s="17">
        <f>+D362</f>
        <v>1</v>
      </c>
      <c r="D362" s="17">
        <v>1</v>
      </c>
      <c r="E362" s="17">
        <v>0</v>
      </c>
      <c r="F362" s="17">
        <f>+G362</f>
        <v>0</v>
      </c>
      <c r="G362" s="17">
        <v>0</v>
      </c>
      <c r="H362" s="17">
        <v>0</v>
      </c>
      <c r="I362" s="17">
        <f>+J362</f>
        <v>0</v>
      </c>
      <c r="J362" s="17">
        <v>0</v>
      </c>
      <c r="K362" s="17">
        <v>0</v>
      </c>
      <c r="L362" s="18"/>
    </row>
    <row r="363" spans="1:12" ht="29.25" customHeight="1">
      <c r="A363" s="114" t="s">
        <v>228</v>
      </c>
      <c r="B363" s="1"/>
      <c r="C363" s="135">
        <f>D363+E363</f>
        <v>141</v>
      </c>
      <c r="D363" s="135">
        <v>141</v>
      </c>
      <c r="E363" s="135">
        <v>0</v>
      </c>
      <c r="F363" s="135">
        <f>G363+H363</f>
        <v>150</v>
      </c>
      <c r="G363" s="135">
        <v>150</v>
      </c>
      <c r="H363" s="135">
        <v>0</v>
      </c>
      <c r="I363" s="135">
        <f>J363+K363</f>
        <v>150</v>
      </c>
      <c r="J363" s="135">
        <v>150</v>
      </c>
      <c r="K363" s="135">
        <v>0</v>
      </c>
      <c r="L363" s="18"/>
    </row>
    <row r="364" spans="1:12" ht="21.75" customHeight="1">
      <c r="A364" s="128" t="s">
        <v>13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18.75" customHeight="1">
      <c r="A365" s="112" t="s">
        <v>34</v>
      </c>
      <c r="B365" s="1"/>
      <c r="C365" s="8">
        <f>D365+E365</f>
        <v>14</v>
      </c>
      <c r="D365" s="8">
        <v>14</v>
      </c>
      <c r="E365" s="8">
        <v>0</v>
      </c>
      <c r="F365" s="8">
        <f>G365+H365</f>
        <v>14</v>
      </c>
      <c r="G365" s="8">
        <f>+G358/(G361+G362)/G363</f>
        <v>14</v>
      </c>
      <c r="H365" s="8">
        <v>0</v>
      </c>
      <c r="I365" s="8">
        <f>J365+K365</f>
        <v>15</v>
      </c>
      <c r="J365" s="8">
        <f>+J358/(J361+J362)/J363</f>
        <v>15</v>
      </c>
      <c r="K365" s="8">
        <v>0</v>
      </c>
      <c r="L365" s="18"/>
    </row>
    <row r="366" spans="1:12" ht="18.75" customHeight="1">
      <c r="A366" s="2" t="s">
        <v>12</v>
      </c>
      <c r="B366" s="1"/>
      <c r="C366" s="9"/>
      <c r="D366" s="9"/>
      <c r="E366" s="9"/>
      <c r="F366" s="9"/>
      <c r="G366" s="9"/>
      <c r="H366" s="9"/>
      <c r="I366" s="9"/>
      <c r="J366" s="9"/>
      <c r="K366" s="9"/>
      <c r="L366" s="18"/>
    </row>
    <row r="367" spans="1:12" ht="18.75" customHeight="1">
      <c r="A367" s="5" t="s">
        <v>35</v>
      </c>
      <c r="B367" s="1"/>
      <c r="C367" s="9">
        <f>D367+E367</f>
        <v>71.84397163120568</v>
      </c>
      <c r="D367" s="9">
        <f>D358/98700*100</f>
        <v>71.84397163120568</v>
      </c>
      <c r="E367" s="9">
        <v>0</v>
      </c>
      <c r="F367" s="9">
        <f>G367+H367</f>
        <v>118.46001974333662</v>
      </c>
      <c r="G367" s="9">
        <f>G358/D358*100</f>
        <v>118.46001974333662</v>
      </c>
      <c r="H367" s="9">
        <v>0</v>
      </c>
      <c r="I367" s="9">
        <f>J367+K367</f>
        <v>107.14285714285714</v>
      </c>
      <c r="J367" s="9">
        <f>J358/G358*100</f>
        <v>107.14285714285714</v>
      </c>
      <c r="K367" s="9">
        <v>0</v>
      </c>
      <c r="L367" s="18"/>
    </row>
    <row r="368" spans="1:12" ht="50.25" customHeight="1">
      <c r="A368" s="3" t="s">
        <v>145</v>
      </c>
      <c r="B368" s="1"/>
      <c r="C368" s="4">
        <f>D368+E368</f>
        <v>19920</v>
      </c>
      <c r="D368" s="4">
        <v>19920</v>
      </c>
      <c r="E368" s="4">
        <v>0</v>
      </c>
      <c r="F368" s="4">
        <f>G368+H368</f>
        <v>18275</v>
      </c>
      <c r="G368" s="4">
        <v>18275</v>
      </c>
      <c r="H368" s="4">
        <v>0</v>
      </c>
      <c r="I368" s="4">
        <f>J368+K368</f>
        <v>19350</v>
      </c>
      <c r="J368" s="4">
        <v>19350</v>
      </c>
      <c r="K368" s="4">
        <v>0</v>
      </c>
      <c r="L368" s="18"/>
    </row>
    <row r="369" spans="1:12" ht="20.25" customHeight="1">
      <c r="A369" s="1" t="s">
        <v>4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24" t="s">
        <v>5</v>
      </c>
      <c r="B370" s="1"/>
      <c r="C370" s="9"/>
      <c r="D370" s="9"/>
      <c r="E370" s="9"/>
      <c r="F370" s="9"/>
      <c r="G370" s="9"/>
      <c r="H370" s="9"/>
      <c r="I370" s="9"/>
      <c r="J370" s="9"/>
      <c r="K370" s="9"/>
      <c r="L370" s="18"/>
    </row>
    <row r="371" spans="1:12" ht="48" customHeight="1">
      <c r="A371" s="25" t="s">
        <v>143</v>
      </c>
      <c r="B371" s="1"/>
      <c r="C371" s="17">
        <f>+D371</f>
        <v>38</v>
      </c>
      <c r="D371" s="17">
        <v>38</v>
      </c>
      <c r="E371" s="17">
        <v>0</v>
      </c>
      <c r="F371" s="17">
        <f>G371+H371</f>
        <v>45</v>
      </c>
      <c r="G371" s="17">
        <v>45</v>
      </c>
      <c r="H371" s="17">
        <v>0</v>
      </c>
      <c r="I371" s="17">
        <f>J371+K371</f>
        <v>45</v>
      </c>
      <c r="J371" s="17">
        <v>45</v>
      </c>
      <c r="K371" s="17">
        <v>0</v>
      </c>
      <c r="L371" s="18"/>
    </row>
    <row r="372" spans="1:12" ht="8.25" customHeight="1">
      <c r="A372" s="21"/>
      <c r="B372" s="12"/>
      <c r="C372" s="22"/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1:12" ht="26.25" customHeight="1">
      <c r="A373" s="11"/>
      <c r="B373" s="12"/>
      <c r="C373" s="13"/>
      <c r="D373" s="13"/>
      <c r="E373" s="13"/>
      <c r="F373" s="13"/>
      <c r="G373" s="13"/>
      <c r="H373" s="13"/>
      <c r="I373" s="179" t="s">
        <v>238</v>
      </c>
      <c r="J373" s="179"/>
      <c r="K373" s="179"/>
      <c r="L373" s="13"/>
    </row>
    <row r="374" spans="1:12" ht="14.25">
      <c r="A374" s="14">
        <v>1</v>
      </c>
      <c r="B374" s="15">
        <v>2</v>
      </c>
      <c r="C374" s="16">
        <v>3</v>
      </c>
      <c r="D374" s="16">
        <v>4</v>
      </c>
      <c r="E374" s="16">
        <v>5</v>
      </c>
      <c r="F374" s="16">
        <v>6</v>
      </c>
      <c r="G374" s="16">
        <v>7</v>
      </c>
      <c r="H374" s="16">
        <v>8</v>
      </c>
      <c r="I374" s="16">
        <v>9</v>
      </c>
      <c r="J374" s="16">
        <v>10</v>
      </c>
      <c r="K374" s="16">
        <v>11</v>
      </c>
      <c r="L374" s="23"/>
    </row>
    <row r="375" spans="1:12" ht="48.75" customHeight="1">
      <c r="A375" s="25" t="s">
        <v>144</v>
      </c>
      <c r="B375" s="1"/>
      <c r="C375" s="17">
        <f>+D375</f>
        <v>1</v>
      </c>
      <c r="D375" s="17">
        <v>1</v>
      </c>
      <c r="E375" s="17">
        <v>0</v>
      </c>
      <c r="F375" s="17">
        <f>G375+H375</f>
        <v>0</v>
      </c>
      <c r="G375" s="17">
        <v>0</v>
      </c>
      <c r="H375" s="17">
        <v>0</v>
      </c>
      <c r="I375" s="17">
        <f>J375+K375</f>
        <v>0</v>
      </c>
      <c r="J375" s="17">
        <v>0</v>
      </c>
      <c r="K375" s="17">
        <v>0</v>
      </c>
      <c r="L375" s="18"/>
    </row>
    <row r="376" spans="1:12" ht="53.25" customHeight="1">
      <c r="A376" s="25" t="s">
        <v>94</v>
      </c>
      <c r="B376" s="1"/>
      <c r="C376" s="17">
        <f>+D376</f>
        <v>210</v>
      </c>
      <c r="D376" s="17">
        <v>210</v>
      </c>
      <c r="E376" s="17">
        <v>0</v>
      </c>
      <c r="F376" s="17">
        <f>+G376</f>
        <v>170</v>
      </c>
      <c r="G376" s="17">
        <v>170</v>
      </c>
      <c r="H376" s="17">
        <v>0</v>
      </c>
      <c r="I376" s="17">
        <f>+J376</f>
        <v>170</v>
      </c>
      <c r="J376" s="17">
        <v>170</v>
      </c>
      <c r="K376" s="17">
        <v>0</v>
      </c>
      <c r="L376" s="18"/>
    </row>
    <row r="377" spans="1:12" ht="22.5" customHeight="1">
      <c r="A377" s="7" t="s">
        <v>13</v>
      </c>
      <c r="B377" s="1"/>
      <c r="C377" s="9"/>
      <c r="D377" s="9"/>
      <c r="E377" s="9"/>
      <c r="F377" s="9"/>
      <c r="G377" s="9"/>
      <c r="H377" s="9"/>
      <c r="I377" s="9"/>
      <c r="J377" s="9"/>
      <c r="K377" s="9"/>
      <c r="L377" s="18"/>
    </row>
    <row r="378" spans="1:12" ht="20.25" customHeight="1">
      <c r="A378" s="5" t="s">
        <v>67</v>
      </c>
      <c r="B378" s="1"/>
      <c r="C378" s="9">
        <f>D378+E378</f>
        <v>80</v>
      </c>
      <c r="D378" s="9">
        <f>+D368/(D371+D375+D376)</f>
        <v>80</v>
      </c>
      <c r="E378" s="9">
        <v>0</v>
      </c>
      <c r="F378" s="9">
        <f>G378+H378</f>
        <v>85</v>
      </c>
      <c r="G378" s="9">
        <f>+G368/(G371+G375+G376)</f>
        <v>85</v>
      </c>
      <c r="H378" s="9">
        <v>0</v>
      </c>
      <c r="I378" s="9">
        <f>J378+K378</f>
        <v>90</v>
      </c>
      <c r="J378" s="9">
        <f>+J368/(J371+J375+J376)</f>
        <v>90</v>
      </c>
      <c r="K378" s="9">
        <v>0</v>
      </c>
      <c r="L378" s="18"/>
    </row>
    <row r="379" spans="1:12" ht="19.5" customHeight="1">
      <c r="A379" s="3" t="s">
        <v>12</v>
      </c>
      <c r="B379" s="1"/>
      <c r="C379" s="9"/>
      <c r="D379" s="9"/>
      <c r="E379" s="9"/>
      <c r="F379" s="9"/>
      <c r="G379" s="9"/>
      <c r="H379" s="9"/>
      <c r="I379" s="9"/>
      <c r="J379" s="9"/>
      <c r="K379" s="9"/>
      <c r="L379" s="18"/>
    </row>
    <row r="380" spans="1:12" ht="18.75" customHeight="1">
      <c r="A380" s="5" t="s">
        <v>35</v>
      </c>
      <c r="B380" s="1"/>
      <c r="C380" s="9">
        <f>+D380</f>
        <v>112.4788255223038</v>
      </c>
      <c r="D380" s="9">
        <f>+D368/17710*100</f>
        <v>112.4788255223038</v>
      </c>
      <c r="E380" s="9">
        <v>0</v>
      </c>
      <c r="F380" s="9">
        <f>+G380</f>
        <v>91.74196787148594</v>
      </c>
      <c r="G380" s="9">
        <f>+G368/D368*100</f>
        <v>91.74196787148594</v>
      </c>
      <c r="H380" s="9">
        <v>0</v>
      </c>
      <c r="I380" s="9">
        <f>+J380</f>
        <v>105.88235294117648</v>
      </c>
      <c r="J380" s="9">
        <f>+J368/G368*100</f>
        <v>105.88235294117648</v>
      </c>
      <c r="K380" s="9">
        <v>0</v>
      </c>
      <c r="L380" s="18"/>
    </row>
    <row r="381" spans="1:12" ht="22.5" customHeight="1">
      <c r="A381" s="26" t="s">
        <v>95</v>
      </c>
      <c r="B381" s="104" t="s">
        <v>96</v>
      </c>
      <c r="C381" s="8"/>
      <c r="D381" s="8"/>
      <c r="E381" s="8"/>
      <c r="F381" s="8"/>
      <c r="G381" s="8"/>
      <c r="H381" s="8"/>
      <c r="I381" s="8"/>
      <c r="J381" s="8"/>
      <c r="K381" s="8"/>
      <c r="L381" s="134"/>
    </row>
    <row r="382" spans="1:11" ht="45.75" customHeight="1">
      <c r="A382" s="3" t="s">
        <v>146</v>
      </c>
      <c r="B382" s="27"/>
      <c r="C382" s="28">
        <f>D382+E382</f>
        <v>105000</v>
      </c>
      <c r="D382" s="28">
        <v>105000</v>
      </c>
      <c r="E382" s="28">
        <v>0</v>
      </c>
      <c r="F382" s="28">
        <f>+G382</f>
        <v>70000</v>
      </c>
      <c r="G382" s="28">
        <v>70000</v>
      </c>
      <c r="H382" s="28">
        <v>0</v>
      </c>
      <c r="I382" s="28">
        <f>J382+K382</f>
        <v>74000</v>
      </c>
      <c r="J382" s="28">
        <v>74000</v>
      </c>
      <c r="K382" s="28">
        <v>0</v>
      </c>
    </row>
    <row r="383" spans="1:11" ht="21.75" customHeight="1">
      <c r="A383" s="5" t="s">
        <v>4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8" customHeight="1">
      <c r="A384" s="7" t="s">
        <v>5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ht="45" customHeight="1">
      <c r="A385" s="5" t="s">
        <v>147</v>
      </c>
      <c r="B385" s="27"/>
      <c r="C385" s="29">
        <f>D385+E385</f>
        <v>14</v>
      </c>
      <c r="D385" s="29">
        <v>14</v>
      </c>
      <c r="E385" s="29">
        <v>0</v>
      </c>
      <c r="F385" s="29">
        <f>G385+H385</f>
        <v>10</v>
      </c>
      <c r="G385" s="29">
        <v>10</v>
      </c>
      <c r="H385" s="29">
        <v>0</v>
      </c>
      <c r="I385" s="29">
        <f>J385+K385</f>
        <v>10</v>
      </c>
      <c r="J385" s="29">
        <v>10</v>
      </c>
      <c r="K385" s="29">
        <v>0</v>
      </c>
    </row>
    <row r="386" spans="1:11" ht="46.5" customHeight="1">
      <c r="A386" s="5" t="s">
        <v>148</v>
      </c>
      <c r="B386" s="27"/>
      <c r="C386" s="29">
        <f>D386+E386</f>
        <v>1</v>
      </c>
      <c r="D386" s="29">
        <v>1</v>
      </c>
      <c r="E386" s="29">
        <v>0</v>
      </c>
      <c r="F386" s="29">
        <f>G386+H386</f>
        <v>0</v>
      </c>
      <c r="G386" s="29">
        <v>0</v>
      </c>
      <c r="H386" s="29">
        <v>0</v>
      </c>
      <c r="I386" s="29">
        <f>J386+K386</f>
        <v>0</v>
      </c>
      <c r="J386" s="29">
        <v>0</v>
      </c>
      <c r="K386" s="29">
        <v>0</v>
      </c>
    </row>
    <row r="387" spans="1:11" ht="20.25" customHeight="1">
      <c r="A387" s="3" t="s">
        <v>13</v>
      </c>
      <c r="B387" s="27"/>
      <c r="C387" s="141"/>
      <c r="D387" s="141"/>
      <c r="E387" s="141"/>
      <c r="F387" s="141"/>
      <c r="G387" s="141" t="s">
        <v>77</v>
      </c>
      <c r="H387" s="141"/>
      <c r="I387" s="141"/>
      <c r="J387" s="141"/>
      <c r="K387" s="141"/>
    </row>
    <row r="388" spans="1:11" ht="20.25" customHeight="1">
      <c r="A388" s="115" t="s">
        <v>30</v>
      </c>
      <c r="B388" s="27"/>
      <c r="C388" s="30">
        <f>D388+E388</f>
        <v>7000</v>
      </c>
      <c r="D388" s="30">
        <f>+D382/(D385+D386)</f>
        <v>7000</v>
      </c>
      <c r="E388" s="30">
        <v>0</v>
      </c>
      <c r="F388" s="30">
        <f>+G388</f>
        <v>7000</v>
      </c>
      <c r="G388" s="30">
        <f>+G382/(G385+G386)</f>
        <v>7000</v>
      </c>
      <c r="H388" s="30">
        <v>0</v>
      </c>
      <c r="I388" s="30">
        <f>J388+K388</f>
        <v>7400</v>
      </c>
      <c r="J388" s="30">
        <f>+J382/(J385+J386)</f>
        <v>7400</v>
      </c>
      <c r="K388" s="30">
        <v>0</v>
      </c>
    </row>
    <row r="389" spans="1:11" ht="19.5" customHeight="1">
      <c r="A389" s="3" t="s">
        <v>12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ht="16.5">
      <c r="A390" s="5" t="s">
        <v>35</v>
      </c>
      <c r="B390" s="27"/>
      <c r="C390" s="142">
        <f>D390+E390</f>
        <v>119.31818181818181</v>
      </c>
      <c r="D390" s="142">
        <f>D382/88000*100</f>
        <v>119.31818181818181</v>
      </c>
      <c r="E390" s="142">
        <v>0</v>
      </c>
      <c r="F390" s="142">
        <f>G390+H390</f>
        <v>66.66666666666666</v>
      </c>
      <c r="G390" s="142">
        <f>G382/D382*100</f>
        <v>66.66666666666666</v>
      </c>
      <c r="H390" s="142">
        <v>0</v>
      </c>
      <c r="I390" s="142">
        <f>J390+K390</f>
        <v>105.71428571428572</v>
      </c>
      <c r="J390" s="142">
        <f>J382/G382*100</f>
        <v>105.71428571428572</v>
      </c>
      <c r="K390" s="142">
        <v>0</v>
      </c>
    </row>
    <row r="391" spans="1:12" ht="19.5" customHeight="1">
      <c r="A391" s="21"/>
      <c r="B391" s="1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ht="35.25" customHeight="1"/>
    <row r="393" spans="1:14" ht="39.75" customHeight="1">
      <c r="A393" s="31" t="s">
        <v>223</v>
      </c>
      <c r="B393" s="31"/>
      <c r="C393" s="32"/>
      <c r="D393" s="33"/>
      <c r="E393" s="32"/>
      <c r="F393" s="32"/>
      <c r="G393" s="32" t="s">
        <v>224</v>
      </c>
      <c r="H393" s="32"/>
      <c r="I393" s="32"/>
      <c r="N393" s="19"/>
    </row>
    <row r="394" spans="1:14" ht="17.25" customHeight="1">
      <c r="A394" s="31"/>
      <c r="B394" s="31"/>
      <c r="C394" s="32"/>
      <c r="D394" s="32"/>
      <c r="E394" s="32"/>
      <c r="F394" s="32"/>
      <c r="G394" s="32"/>
      <c r="H394" s="32"/>
      <c r="I394" s="34"/>
      <c r="N394" s="19"/>
    </row>
    <row r="395" spans="1:14" ht="19.5" customHeight="1">
      <c r="A395" s="85" t="s">
        <v>225</v>
      </c>
      <c r="B395" s="31"/>
      <c r="C395" s="32"/>
      <c r="D395" s="32"/>
      <c r="E395" s="32"/>
      <c r="F395" s="32"/>
      <c r="G395" s="32"/>
      <c r="H395" s="32"/>
      <c r="I395" s="34"/>
      <c r="N395" s="19"/>
    </row>
    <row r="396" spans="1:14" ht="24" customHeight="1">
      <c r="A396" s="85" t="s">
        <v>226</v>
      </c>
      <c r="B396" s="31"/>
      <c r="C396" s="32"/>
      <c r="D396" s="32"/>
      <c r="E396" s="32"/>
      <c r="F396" s="32"/>
      <c r="G396" s="32"/>
      <c r="H396" s="32"/>
      <c r="N396" s="19"/>
    </row>
    <row r="397" ht="12.75">
      <c r="N397" s="19"/>
    </row>
    <row r="398" spans="1:14" ht="19.5" customHeight="1">
      <c r="A398" s="31"/>
      <c r="B398" s="31"/>
      <c r="C398" s="32"/>
      <c r="D398" s="32"/>
      <c r="E398" s="32"/>
      <c r="F398" s="32"/>
      <c r="G398" s="32"/>
      <c r="H398" s="32"/>
      <c r="N398" s="19"/>
    </row>
    <row r="399" spans="1:8" ht="18.75">
      <c r="A399" s="85"/>
      <c r="B399" s="31"/>
      <c r="C399" s="32"/>
      <c r="D399" s="32"/>
      <c r="E399" s="32"/>
      <c r="F399" s="32"/>
      <c r="G399" s="32"/>
      <c r="H399" s="32"/>
    </row>
    <row r="400" spans="1:8" ht="18.75">
      <c r="A400" s="85"/>
      <c r="B400" s="31"/>
      <c r="C400" s="32"/>
      <c r="D400" s="32"/>
      <c r="E400" s="32"/>
      <c r="F400" s="32"/>
      <c r="G400" s="32"/>
      <c r="H400" s="32"/>
    </row>
  </sheetData>
  <sheetProtection/>
  <mergeCells count="55">
    <mergeCell ref="I373:K373"/>
    <mergeCell ref="A355:K355"/>
    <mergeCell ref="A354:K354"/>
    <mergeCell ref="A206:K206"/>
    <mergeCell ref="I151:K151"/>
    <mergeCell ref="I181:K181"/>
    <mergeCell ref="A317:K317"/>
    <mergeCell ref="A177:K177"/>
    <mergeCell ref="A318:K318"/>
    <mergeCell ref="A284:K284"/>
    <mergeCell ref="A16:K16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M23:M24"/>
    <mergeCell ref="M29:M30"/>
    <mergeCell ref="A133:K133"/>
    <mergeCell ref="A164:K164"/>
    <mergeCell ref="A87:K87"/>
    <mergeCell ref="A88:K88"/>
    <mergeCell ref="A28:A30"/>
    <mergeCell ref="A134:K134"/>
    <mergeCell ref="I36:K36"/>
    <mergeCell ref="C7:E8"/>
    <mergeCell ref="F9:F10"/>
    <mergeCell ref="D9:E9"/>
    <mergeCell ref="I9:I10"/>
    <mergeCell ref="I123:K123"/>
    <mergeCell ref="I339:K339"/>
    <mergeCell ref="A205:K205"/>
    <mergeCell ref="A15:K15"/>
    <mergeCell ref="A17:A19"/>
    <mergeCell ref="C9:C10"/>
    <mergeCell ref="I270:K270"/>
    <mergeCell ref="I305:K305"/>
    <mergeCell ref="A285:K285"/>
    <mergeCell ref="A311:K311"/>
    <mergeCell ref="A312:K312"/>
    <mergeCell ref="I241:K241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69" max="10" man="1"/>
    <brk id="304" max="10" man="1"/>
    <brk id="338" max="10" man="1"/>
    <brk id="3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2020-04-29T11:17:07Z</cp:lastPrinted>
  <dcterms:created xsi:type="dcterms:W3CDTF">1996-10-08T23:32:33Z</dcterms:created>
  <dcterms:modified xsi:type="dcterms:W3CDTF">2020-05-04T05:40:04Z</dcterms:modified>
  <cp:category/>
  <cp:version/>
  <cp:contentType/>
  <cp:contentStatus/>
</cp:coreProperties>
</file>