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Травень\бюджет\Доопрацьоване\"/>
    </mc:Choice>
  </mc:AlternateContent>
  <bookViews>
    <workbookView xWindow="0" yWindow="0" windowWidth="19200" windowHeight="11460" tabRatio="495" activeTab="1"/>
  </bookViews>
  <sheets>
    <sheet name="дод 2" sheetId="1" r:id="rId1"/>
    <sheet name="дод 3" sheetId="3" r:id="rId2"/>
  </sheets>
  <definedNames>
    <definedName name="_xlnm.Print_Titles" localSheetId="0">'дод 2'!$15:$17</definedName>
    <definedName name="_xlnm.Print_Titles" localSheetId="1">'дод 3'!$16:$18</definedName>
    <definedName name="_xlnm.Print_Area" localSheetId="0">'дод 2'!$A$1:$P$216</definedName>
    <definedName name="_xlnm.Print_Area" localSheetId="1">'дод 3'!$A$1:$O$165</definedName>
  </definedNames>
  <calcPr calcId="162913"/>
</workbook>
</file>

<file path=xl/calcChain.xml><?xml version="1.0" encoding="utf-8"?>
<calcChain xmlns="http://schemas.openxmlformats.org/spreadsheetml/2006/main">
  <c r="F19" i="1" l="1"/>
  <c r="F146" i="1" l="1"/>
  <c r="F59" i="1"/>
  <c r="F147" i="1"/>
  <c r="F119" i="1"/>
  <c r="O146" i="1"/>
  <c r="K146" i="1"/>
  <c r="F20" i="1" l="1"/>
  <c r="F84" i="1" l="1"/>
  <c r="F95" i="1"/>
  <c r="E95" i="1"/>
  <c r="O19" i="1"/>
  <c r="N19" i="1"/>
  <c r="M19" i="1"/>
  <c r="L19" i="1"/>
  <c r="K19" i="1"/>
  <c r="J19" i="1"/>
  <c r="I19" i="1"/>
  <c r="H19" i="1"/>
  <c r="G19" i="1"/>
  <c r="O152" i="3"/>
  <c r="N152" i="3"/>
  <c r="M152" i="3"/>
  <c r="L152" i="3"/>
  <c r="K152" i="3"/>
  <c r="J152" i="3"/>
  <c r="I152" i="3"/>
  <c r="H152" i="3"/>
  <c r="G152" i="3"/>
  <c r="F152" i="3"/>
  <c r="E152" i="3"/>
  <c r="D152" i="3"/>
  <c r="P52" i="1"/>
  <c r="J52" i="1"/>
  <c r="E52" i="1"/>
  <c r="O141" i="1" l="1"/>
  <c r="K141" i="1"/>
  <c r="O59" i="1"/>
  <c r="K59" i="1"/>
  <c r="O176" i="1" l="1"/>
  <c r="K176" i="1"/>
  <c r="F64" i="1"/>
  <c r="F37" i="1"/>
  <c r="O35" i="1"/>
  <c r="K35" i="1"/>
  <c r="F35" i="1"/>
  <c r="F29" i="1"/>
  <c r="G20" i="1" l="1"/>
  <c r="G188" i="1"/>
  <c r="F188" i="1"/>
  <c r="O149" i="1"/>
  <c r="K149" i="1"/>
  <c r="F114" i="1"/>
  <c r="O137" i="1" l="1"/>
  <c r="N137" i="1"/>
  <c r="M137" i="1"/>
  <c r="L137" i="1"/>
  <c r="K137" i="1"/>
  <c r="I137" i="1"/>
  <c r="H137" i="1"/>
  <c r="G137" i="1"/>
  <c r="F137" i="1"/>
  <c r="O109" i="3"/>
  <c r="N109" i="3"/>
  <c r="M109" i="3"/>
  <c r="L109" i="3"/>
  <c r="K109" i="3"/>
  <c r="J109" i="3"/>
  <c r="I109" i="3"/>
  <c r="H109" i="3"/>
  <c r="G109" i="3"/>
  <c r="F109" i="3"/>
  <c r="E109" i="3"/>
  <c r="D109" i="3"/>
  <c r="J150" i="1"/>
  <c r="E150" i="1"/>
  <c r="P150" i="1" s="1"/>
  <c r="D150" i="1"/>
  <c r="C150" i="1"/>
  <c r="B150" i="1"/>
  <c r="K84" i="1" l="1"/>
  <c r="O145" i="1"/>
  <c r="K145" i="1"/>
  <c r="I145" i="1"/>
  <c r="O143" i="1"/>
  <c r="K143" i="1"/>
  <c r="G101" i="1"/>
  <c r="F101" i="1"/>
  <c r="F90" i="1" l="1"/>
  <c r="G83" i="1"/>
  <c r="F83" i="1"/>
  <c r="E205" i="1" l="1"/>
  <c r="G199" i="1"/>
  <c r="F199" i="1"/>
  <c r="G191" i="1"/>
  <c r="F191" i="1"/>
  <c r="G183" i="1"/>
  <c r="F183" i="1"/>
  <c r="O175" i="1"/>
  <c r="K175" i="1"/>
  <c r="G166" i="1"/>
  <c r="F166" i="1"/>
  <c r="F160" i="1"/>
  <c r="H146" i="1"/>
  <c r="G139" i="1"/>
  <c r="F139" i="1"/>
  <c r="F131" i="1"/>
  <c r="F130" i="1"/>
  <c r="O129" i="1"/>
  <c r="K129" i="1"/>
  <c r="F129" i="1"/>
  <c r="G128" i="1"/>
  <c r="F128" i="1"/>
  <c r="G123" i="1"/>
  <c r="F123" i="1"/>
  <c r="F118" i="1"/>
  <c r="H118" i="1"/>
  <c r="F110" i="1"/>
  <c r="F103" i="1"/>
  <c r="F93" i="1"/>
  <c r="F92" i="1"/>
  <c r="O82" i="1"/>
  <c r="N82" i="1"/>
  <c r="M82" i="1"/>
  <c r="L82" i="1"/>
  <c r="K82" i="1"/>
  <c r="I82" i="1"/>
  <c r="H82" i="1"/>
  <c r="G82" i="1"/>
  <c r="N48" i="3"/>
  <c r="M48" i="3"/>
  <c r="L48" i="3"/>
  <c r="K48" i="3"/>
  <c r="J48" i="3"/>
  <c r="H48" i="3"/>
  <c r="G48" i="3"/>
  <c r="F48" i="3"/>
  <c r="E48" i="3"/>
  <c r="D91" i="1"/>
  <c r="J91" i="1"/>
  <c r="I48" i="3" s="1"/>
  <c r="E91" i="1"/>
  <c r="P91" i="1" s="1"/>
  <c r="O48" i="3" s="1"/>
  <c r="O84" i="1"/>
  <c r="M105" i="3"/>
  <c r="L105" i="3"/>
  <c r="K105" i="3"/>
  <c r="H105" i="3"/>
  <c r="G105" i="3"/>
  <c r="F105" i="3"/>
  <c r="E105" i="3"/>
  <c r="N54" i="1"/>
  <c r="M54" i="1"/>
  <c r="I54" i="1"/>
  <c r="J74" i="1"/>
  <c r="P74" i="1" s="1"/>
  <c r="E74" i="1"/>
  <c r="D74" i="1"/>
  <c r="C74" i="1"/>
  <c r="F73" i="1"/>
  <c r="F67" i="1"/>
  <c r="F63" i="1"/>
  <c r="F62" i="1"/>
  <c r="O61" i="1"/>
  <c r="K61" i="1"/>
  <c r="F61" i="1"/>
  <c r="O60" i="1"/>
  <c r="K60" i="1"/>
  <c r="F60" i="1"/>
  <c r="H59" i="1"/>
  <c r="F57" i="1"/>
  <c r="G56" i="1"/>
  <c r="F56" i="1"/>
  <c r="D48" i="3" l="1"/>
  <c r="F47" i="1"/>
  <c r="O47" i="1"/>
  <c r="K47" i="1"/>
  <c r="F161" i="1"/>
  <c r="F144" i="1"/>
  <c r="E136" i="3" l="1"/>
  <c r="F136" i="3"/>
  <c r="G136" i="3"/>
  <c r="H136" i="3"/>
  <c r="J136" i="3"/>
  <c r="K136" i="3"/>
  <c r="L136" i="3"/>
  <c r="M136" i="3"/>
  <c r="N136" i="3"/>
  <c r="J160" i="1"/>
  <c r="E160" i="1"/>
  <c r="C160" i="1"/>
  <c r="D160" i="1"/>
  <c r="B160" i="1"/>
  <c r="P160" i="1" l="1"/>
  <c r="F106" i="1"/>
  <c r="F104" i="1"/>
  <c r="O148" i="1" l="1"/>
  <c r="K148" i="1"/>
  <c r="F46" i="1"/>
  <c r="F44" i="1"/>
  <c r="E139" i="3" l="1"/>
  <c r="F139" i="3"/>
  <c r="G139" i="3"/>
  <c r="H139" i="3"/>
  <c r="J139" i="3"/>
  <c r="K139" i="3"/>
  <c r="L139" i="3"/>
  <c r="M139" i="3"/>
  <c r="N139" i="3"/>
  <c r="J161" i="1"/>
  <c r="E161" i="1"/>
  <c r="C161" i="1"/>
  <c r="D161" i="1"/>
  <c r="B161" i="1"/>
  <c r="P161" i="1" l="1"/>
  <c r="E117" i="3" l="1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39" i="1"/>
  <c r="E40" i="1"/>
  <c r="D118" i="3" s="1"/>
  <c r="J38" i="1"/>
  <c r="J39" i="1"/>
  <c r="I117" i="3" s="1"/>
  <c r="J40" i="1"/>
  <c r="I118" i="3" s="1"/>
  <c r="C39" i="1"/>
  <c r="D39" i="1"/>
  <c r="C40" i="1"/>
  <c r="D40" i="1"/>
  <c r="B40" i="1"/>
  <c r="B39" i="1"/>
  <c r="P40" i="1" l="1"/>
  <c r="O118" i="3" s="1"/>
  <c r="P39" i="1"/>
  <c r="O117" i="3" s="1"/>
  <c r="D117" i="3"/>
  <c r="O174" i="1" l="1"/>
  <c r="K174" i="1"/>
  <c r="O170" i="1" l="1"/>
  <c r="K170" i="1"/>
  <c r="O147" i="1"/>
  <c r="K147" i="1"/>
  <c r="G60" i="1" l="1"/>
  <c r="G59" i="1"/>
  <c r="O58" i="1"/>
  <c r="O57" i="1"/>
  <c r="K58" i="1"/>
  <c r="K57" i="1"/>
  <c r="F58" i="1"/>
  <c r="G58" i="1"/>
  <c r="G57" i="1"/>
  <c r="G54" i="1" l="1"/>
  <c r="F86" i="1"/>
  <c r="O185" i="1"/>
  <c r="L185" i="1"/>
  <c r="O97" i="1" l="1"/>
  <c r="F133" i="1"/>
  <c r="O109" i="1"/>
  <c r="K109" i="1"/>
  <c r="O67" i="1"/>
  <c r="K67" i="1"/>
  <c r="F54" i="1"/>
  <c r="O34" i="1"/>
  <c r="K34" i="1"/>
  <c r="F34" i="1"/>
  <c r="F32" i="1"/>
  <c r="F33" i="1"/>
  <c r="F30" i="1"/>
  <c r="O118" i="1"/>
  <c r="K118" i="1"/>
  <c r="K97" i="1"/>
  <c r="F109" i="1"/>
  <c r="F138" i="1" l="1"/>
  <c r="G138" i="1"/>
  <c r="H138" i="1"/>
  <c r="I138" i="1"/>
  <c r="K138" i="1"/>
  <c r="L138" i="1"/>
  <c r="M138" i="1"/>
  <c r="N138" i="1"/>
  <c r="O138" i="1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J156" i="1"/>
  <c r="I120" i="3" s="1"/>
  <c r="I115" i="3" s="1"/>
  <c r="E156" i="1"/>
  <c r="D120" i="3" s="1"/>
  <c r="D115" i="3" s="1"/>
  <c r="J155" i="1"/>
  <c r="I119" i="3" s="1"/>
  <c r="E155" i="1"/>
  <c r="C155" i="1"/>
  <c r="D155" i="1"/>
  <c r="B155" i="1"/>
  <c r="E115" i="3"/>
  <c r="F115" i="3"/>
  <c r="G115" i="3"/>
  <c r="H115" i="3"/>
  <c r="J115" i="3"/>
  <c r="K115" i="3"/>
  <c r="L115" i="3"/>
  <c r="M115" i="3"/>
  <c r="N115" i="3"/>
  <c r="P155" i="1" l="1"/>
  <c r="O119" i="3" s="1"/>
  <c r="P156" i="1"/>
  <c r="O120" i="3" s="1"/>
  <c r="O115" i="3" s="1"/>
  <c r="D119" i="3"/>
  <c r="N110" i="3"/>
  <c r="M110" i="3"/>
  <c r="L110" i="3"/>
  <c r="K110" i="3"/>
  <c r="J110" i="3"/>
  <c r="H110" i="3"/>
  <c r="G110" i="3"/>
  <c r="F110" i="3"/>
  <c r="E110" i="3"/>
  <c r="N81" i="1"/>
  <c r="M81" i="1"/>
  <c r="L81" i="1"/>
  <c r="I81" i="1"/>
  <c r="H81" i="1"/>
  <c r="J96" i="1"/>
  <c r="E96" i="1"/>
  <c r="D96" i="1"/>
  <c r="C96" i="1"/>
  <c r="B96" i="1"/>
  <c r="D177" i="1"/>
  <c r="C177" i="1"/>
  <c r="B177" i="1"/>
  <c r="D151" i="1"/>
  <c r="C151" i="1"/>
  <c r="B151" i="1"/>
  <c r="P96" i="1" l="1"/>
  <c r="N168" i="1"/>
  <c r="M168" i="1"/>
  <c r="L168" i="1"/>
  <c r="I168" i="1"/>
  <c r="H168" i="1"/>
  <c r="J177" i="1"/>
  <c r="E177" i="1"/>
  <c r="O173" i="1"/>
  <c r="N105" i="3" s="1"/>
  <c r="K173" i="1"/>
  <c r="J105" i="3" s="1"/>
  <c r="J151" i="1"/>
  <c r="E151" i="1"/>
  <c r="D110" i="3" s="1"/>
  <c r="F143" i="1"/>
  <c r="P177" i="1" l="1"/>
  <c r="I110" i="3"/>
  <c r="P151" i="1"/>
  <c r="O110" i="3" s="1"/>
  <c r="O171" i="1" l="1"/>
  <c r="L45" i="1" l="1"/>
  <c r="N130" i="3" l="1"/>
  <c r="M130" i="3"/>
  <c r="L130" i="3"/>
  <c r="J130" i="3"/>
  <c r="H130" i="3"/>
  <c r="G130" i="3"/>
  <c r="F130" i="3"/>
  <c r="E130" i="3"/>
  <c r="N113" i="3" l="1"/>
  <c r="N103" i="3" s="1"/>
  <c r="N99" i="3" s="1"/>
  <c r="M113" i="3"/>
  <c r="M103" i="3" s="1"/>
  <c r="M99" i="3" s="1"/>
  <c r="L113" i="3"/>
  <c r="L103" i="3" s="1"/>
  <c r="L99" i="3" s="1"/>
  <c r="K113" i="3"/>
  <c r="K103" i="3" s="1"/>
  <c r="K99" i="3" s="1"/>
  <c r="J113" i="3"/>
  <c r="H113" i="3"/>
  <c r="H103" i="3" s="1"/>
  <c r="H99" i="3" s="1"/>
  <c r="G113" i="3"/>
  <c r="G103" i="3" s="1"/>
  <c r="G99" i="3" s="1"/>
  <c r="F113" i="3"/>
  <c r="F103" i="3" s="1"/>
  <c r="F99" i="3" s="1"/>
  <c r="E113" i="3"/>
  <c r="E103" i="3" s="1"/>
  <c r="E99" i="3" s="1"/>
  <c r="M112" i="3"/>
  <c r="L112" i="3"/>
  <c r="K112" i="3"/>
  <c r="H112" i="3"/>
  <c r="G112" i="3"/>
  <c r="F112" i="3"/>
  <c r="E112" i="3"/>
  <c r="K190" i="1" l="1"/>
  <c r="L182" i="1"/>
  <c r="L203" i="1" l="1"/>
  <c r="J180" i="1"/>
  <c r="E180" i="1"/>
  <c r="O162" i="1"/>
  <c r="L159" i="1"/>
  <c r="O153" i="1"/>
  <c r="J153" i="1" s="1"/>
  <c r="K153" i="1"/>
  <c r="E154" i="1"/>
  <c r="E138" i="1" s="1"/>
  <c r="E153" i="1"/>
  <c r="J154" i="1"/>
  <c r="J138" i="1" s="1"/>
  <c r="O130" i="1"/>
  <c r="K130" i="1"/>
  <c r="K127" i="1" s="1"/>
  <c r="F85" i="1"/>
  <c r="F82" i="1" s="1"/>
  <c r="F81" i="1"/>
  <c r="P180" i="1" l="1"/>
  <c r="P153" i="1"/>
  <c r="K130" i="3"/>
  <c r="P154" i="1"/>
  <c r="P138" i="1" s="1"/>
  <c r="O55" i="1"/>
  <c r="N55" i="1"/>
  <c r="M55" i="1"/>
  <c r="L55" i="1"/>
  <c r="I55" i="1"/>
  <c r="H55" i="1"/>
  <c r="G55" i="1"/>
  <c r="E79" i="1"/>
  <c r="J79" i="1"/>
  <c r="L78" i="1"/>
  <c r="L54" i="1" s="1"/>
  <c r="O73" i="1"/>
  <c r="K73" i="1"/>
  <c r="P79" i="1" l="1"/>
  <c r="J76" i="1"/>
  <c r="E76" i="1"/>
  <c r="D113" i="3" s="1"/>
  <c r="D103" i="3" s="1"/>
  <c r="D99" i="3" s="1"/>
  <c r="P76" i="1" l="1"/>
  <c r="O113" i="3" s="1"/>
  <c r="O103" i="3" s="1"/>
  <c r="O99" i="3" s="1"/>
  <c r="I113" i="3"/>
  <c r="I103" i="3" s="1"/>
  <c r="I99" i="3" s="1"/>
  <c r="J103" i="3"/>
  <c r="J99" i="3" s="1"/>
  <c r="O75" i="1"/>
  <c r="K75" i="1"/>
  <c r="E75" i="1"/>
  <c r="F55" i="1"/>
  <c r="F48" i="1"/>
  <c r="F36" i="1"/>
  <c r="F24" i="1"/>
  <c r="N112" i="3" l="1"/>
  <c r="O54" i="1"/>
  <c r="J112" i="3"/>
  <c r="K54" i="1"/>
  <c r="J75" i="1"/>
  <c r="P75" i="1" s="1"/>
  <c r="O142" i="1"/>
  <c r="K142" i="1"/>
  <c r="J178" i="1" l="1"/>
  <c r="I112" i="3" s="1"/>
  <c r="E178" i="1"/>
  <c r="D112" i="3" s="1"/>
  <c r="O172" i="1"/>
  <c r="K172" i="1"/>
  <c r="P178" i="1" l="1"/>
  <c r="O112" i="3" s="1"/>
  <c r="O41" i="1" l="1"/>
  <c r="K41" i="1"/>
  <c r="F41" i="1"/>
  <c r="F115" i="1" l="1"/>
  <c r="K168" i="1"/>
  <c r="G169" i="1"/>
  <c r="G168" i="1" s="1"/>
  <c r="F169" i="1"/>
  <c r="F168" i="1" s="1"/>
  <c r="I157" i="1"/>
  <c r="F157" i="1"/>
  <c r="G81" i="1"/>
  <c r="N133" i="3" l="1"/>
  <c r="N132" i="3" s="1"/>
  <c r="M133" i="3"/>
  <c r="M132" i="3" s="1"/>
  <c r="L133" i="3"/>
  <c r="L132" i="3" s="1"/>
  <c r="K133" i="3"/>
  <c r="K132" i="3" s="1"/>
  <c r="J133" i="3"/>
  <c r="J132" i="3" s="1"/>
  <c r="H133" i="3"/>
  <c r="H132" i="3" s="1"/>
  <c r="G133" i="3"/>
  <c r="G132" i="3" s="1"/>
  <c r="F133" i="3"/>
  <c r="F132" i="3" s="1"/>
  <c r="E133" i="3"/>
  <c r="E132" i="3" s="1"/>
  <c r="J98" i="1"/>
  <c r="I133" i="3" s="1"/>
  <c r="I132" i="3" s="1"/>
  <c r="E98" i="1"/>
  <c r="D133" i="3" s="1"/>
  <c r="D132" i="3" s="1"/>
  <c r="P98" i="1" l="1"/>
  <c r="D103" i="1"/>
  <c r="O133" i="3" l="1"/>
  <c r="O132" i="3" s="1"/>
  <c r="C175" i="1" l="1"/>
  <c r="D175" i="1"/>
  <c r="B175" i="1"/>
  <c r="E107" i="3"/>
  <c r="F107" i="3"/>
  <c r="G107" i="3"/>
  <c r="H107" i="3"/>
  <c r="J107" i="3"/>
  <c r="K107" i="3"/>
  <c r="L107" i="3"/>
  <c r="M107" i="3"/>
  <c r="N107" i="3"/>
  <c r="D107" i="3"/>
  <c r="J175" i="1"/>
  <c r="I107" i="3" s="1"/>
  <c r="P175" i="1" l="1"/>
  <c r="O107" i="3" s="1"/>
  <c r="E38" i="3"/>
  <c r="F38" i="3"/>
  <c r="G38" i="3"/>
  <c r="H38" i="3"/>
  <c r="I38" i="3"/>
  <c r="J38" i="3"/>
  <c r="K38" i="3"/>
  <c r="L38" i="3"/>
  <c r="M38" i="3"/>
  <c r="N38" i="3"/>
  <c r="E70" i="1"/>
  <c r="P70" i="1" s="1"/>
  <c r="O38" i="3" s="1"/>
  <c r="K55" i="1"/>
  <c r="J58" i="1"/>
  <c r="I25" i="3" s="1"/>
  <c r="E25" i="3"/>
  <c r="F25" i="3"/>
  <c r="G25" i="3"/>
  <c r="H25" i="3"/>
  <c r="J25" i="3"/>
  <c r="K25" i="3"/>
  <c r="L25" i="3"/>
  <c r="M25" i="3"/>
  <c r="N25" i="3"/>
  <c r="E58" i="1"/>
  <c r="D25" i="3" s="1"/>
  <c r="P58" i="1" l="1"/>
  <c r="O25" i="3" s="1"/>
  <c r="D38" i="3"/>
  <c r="O43" i="1"/>
  <c r="K43" i="1"/>
  <c r="F142" i="1" l="1"/>
  <c r="I142" i="1"/>
  <c r="D120" i="1" l="1"/>
  <c r="E151" i="3"/>
  <c r="F151" i="3"/>
  <c r="G151" i="3"/>
  <c r="H151" i="3"/>
  <c r="K151" i="3"/>
  <c r="L151" i="3"/>
  <c r="M151" i="3"/>
  <c r="F131" i="3"/>
  <c r="G131" i="3"/>
  <c r="H131" i="3"/>
  <c r="J131" i="3"/>
  <c r="K131" i="3"/>
  <c r="L131" i="3"/>
  <c r="M131" i="3"/>
  <c r="N131" i="3"/>
  <c r="F97" i="3"/>
  <c r="G97" i="3"/>
  <c r="H97" i="3"/>
  <c r="J97" i="3"/>
  <c r="K97" i="3"/>
  <c r="L97" i="3"/>
  <c r="M97" i="3"/>
  <c r="N97" i="3"/>
  <c r="F20" i="3"/>
  <c r="G20" i="3"/>
  <c r="H20" i="3"/>
  <c r="J20" i="3"/>
  <c r="K20" i="3"/>
  <c r="L20" i="3"/>
  <c r="M20" i="3"/>
  <c r="N20" i="3"/>
  <c r="G100" i="1"/>
  <c r="H100" i="1"/>
  <c r="I100" i="1"/>
  <c r="L100" i="1"/>
  <c r="M100" i="1"/>
  <c r="N100" i="1"/>
  <c r="G198" i="1"/>
  <c r="H198" i="1"/>
  <c r="I198" i="1"/>
  <c r="K198" i="1"/>
  <c r="L198" i="1"/>
  <c r="M198" i="1"/>
  <c r="N198" i="1"/>
  <c r="O198" i="1"/>
  <c r="G190" i="1"/>
  <c r="H190" i="1"/>
  <c r="L190" i="1"/>
  <c r="M190" i="1"/>
  <c r="N190" i="1"/>
  <c r="O190" i="1"/>
  <c r="G182" i="1"/>
  <c r="H182" i="1"/>
  <c r="I182" i="1"/>
  <c r="K182" i="1"/>
  <c r="M182" i="1"/>
  <c r="N182" i="1"/>
  <c r="O182" i="1"/>
  <c r="G127" i="1"/>
  <c r="H127" i="1"/>
  <c r="I127" i="1"/>
  <c r="L127" i="1"/>
  <c r="M127" i="1"/>
  <c r="N127" i="1"/>
  <c r="G122" i="1"/>
  <c r="H122" i="1"/>
  <c r="I122" i="1"/>
  <c r="K122" i="1"/>
  <c r="L122" i="1"/>
  <c r="M122" i="1"/>
  <c r="N122" i="1"/>
  <c r="O122" i="1"/>
  <c r="G80" i="1"/>
  <c r="H80" i="1"/>
  <c r="I80" i="1"/>
  <c r="L80" i="1"/>
  <c r="M80" i="1"/>
  <c r="N80" i="1"/>
  <c r="G208" i="1"/>
  <c r="H208" i="1"/>
  <c r="I208" i="1"/>
  <c r="K208" i="1"/>
  <c r="L208" i="1"/>
  <c r="M208" i="1"/>
  <c r="N208" i="1"/>
  <c r="O208" i="1"/>
  <c r="F208" i="1" l="1"/>
  <c r="H64" i="1" l="1"/>
  <c r="H54" i="1" s="1"/>
  <c r="O163" i="1"/>
  <c r="N151" i="3" s="1"/>
  <c r="K163" i="1"/>
  <c r="J151" i="3" s="1"/>
  <c r="F193" i="1" l="1"/>
  <c r="I193" i="1"/>
  <c r="I190" i="1" s="1"/>
  <c r="F196" i="1" l="1"/>
  <c r="E131" i="3" s="1"/>
  <c r="O158" i="1"/>
  <c r="K158" i="1"/>
  <c r="F190" i="1" l="1"/>
  <c r="F182" i="1"/>
  <c r="F122" i="1"/>
  <c r="F80" i="1"/>
  <c r="E20" i="3" l="1"/>
  <c r="O127" i="1"/>
  <c r="D163" i="1" l="1"/>
  <c r="F42" i="1" l="1"/>
  <c r="F204" i="1" l="1"/>
  <c r="F198" i="1" s="1"/>
  <c r="F127" i="1" l="1"/>
  <c r="O88" i="1" l="1"/>
  <c r="O81" i="1" s="1"/>
  <c r="K88" i="1"/>
  <c r="K81" i="1" s="1"/>
  <c r="O80" i="1" l="1"/>
  <c r="K80" i="1"/>
  <c r="E142" i="3"/>
  <c r="F142" i="3"/>
  <c r="G142" i="3"/>
  <c r="H142" i="3"/>
  <c r="J142" i="3"/>
  <c r="K142" i="3"/>
  <c r="L142" i="3"/>
  <c r="M142" i="3"/>
  <c r="N142" i="3"/>
  <c r="J135" i="1"/>
  <c r="E135" i="1"/>
  <c r="C135" i="1"/>
  <c r="D135" i="1"/>
  <c r="B135" i="1"/>
  <c r="P135" i="1" l="1"/>
  <c r="E21" i="3"/>
  <c r="F21" i="3"/>
  <c r="G21" i="3"/>
  <c r="H21" i="3"/>
  <c r="J21" i="3"/>
  <c r="K21" i="3"/>
  <c r="L21" i="3"/>
  <c r="M21" i="3"/>
  <c r="N21" i="3"/>
  <c r="E24" i="3"/>
  <c r="F24" i="3"/>
  <c r="G24" i="3"/>
  <c r="H24" i="3"/>
  <c r="K24" i="3"/>
  <c r="L24" i="3"/>
  <c r="M24" i="3"/>
  <c r="N24" i="3"/>
  <c r="E26" i="3"/>
  <c r="F26" i="3"/>
  <c r="G26" i="3"/>
  <c r="H26" i="3"/>
  <c r="K26" i="3"/>
  <c r="L26" i="3"/>
  <c r="M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9" i="3"/>
  <c r="F49" i="3"/>
  <c r="G49" i="3"/>
  <c r="H49" i="3"/>
  <c r="J49" i="3"/>
  <c r="K49" i="3"/>
  <c r="L49" i="3"/>
  <c r="M49" i="3"/>
  <c r="N49" i="3"/>
  <c r="E50" i="3"/>
  <c r="E40" i="3" s="1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4" i="3"/>
  <c r="F54" i="3"/>
  <c r="G54" i="3"/>
  <c r="H54" i="3"/>
  <c r="K54" i="3"/>
  <c r="L54" i="3"/>
  <c r="M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101" i="3"/>
  <c r="E100" i="3" s="1"/>
  <c r="F101" i="3"/>
  <c r="F100" i="3" s="1"/>
  <c r="G101" i="3"/>
  <c r="G100" i="3" s="1"/>
  <c r="H101" i="3"/>
  <c r="H100" i="3" s="1"/>
  <c r="J101" i="3"/>
  <c r="J100" i="3" s="1"/>
  <c r="K101" i="3"/>
  <c r="K100" i="3" s="1"/>
  <c r="L101" i="3"/>
  <c r="L100" i="3" s="1"/>
  <c r="M101" i="3"/>
  <c r="M100" i="3" s="1"/>
  <c r="N101" i="3"/>
  <c r="N100" i="3" s="1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1" i="3"/>
  <c r="F111" i="3"/>
  <c r="G111" i="3"/>
  <c r="H111" i="3"/>
  <c r="J111" i="3"/>
  <c r="K111" i="3"/>
  <c r="L111" i="3"/>
  <c r="M111" i="3"/>
  <c r="N111" i="3"/>
  <c r="E116" i="3"/>
  <c r="E114" i="3" s="1"/>
  <c r="F116" i="3"/>
  <c r="F114" i="3" s="1"/>
  <c r="G116" i="3"/>
  <c r="G114" i="3" s="1"/>
  <c r="H116" i="3"/>
  <c r="H114" i="3" s="1"/>
  <c r="J116" i="3"/>
  <c r="J114" i="3" s="1"/>
  <c r="K116" i="3"/>
  <c r="K114" i="3" s="1"/>
  <c r="L116" i="3"/>
  <c r="L114" i="3" s="1"/>
  <c r="M116" i="3"/>
  <c r="M114" i="3" s="1"/>
  <c r="N116" i="3"/>
  <c r="N114" i="3" s="1"/>
  <c r="E122" i="3"/>
  <c r="E121" i="3" s="1"/>
  <c r="F122" i="3"/>
  <c r="F121" i="3" s="1"/>
  <c r="G122" i="3"/>
  <c r="G121" i="3" s="1"/>
  <c r="H122" i="3"/>
  <c r="H121" i="3" s="1"/>
  <c r="J122" i="3"/>
  <c r="J121" i="3" s="1"/>
  <c r="K122" i="3"/>
  <c r="K121" i="3" s="1"/>
  <c r="L122" i="3"/>
  <c r="L121" i="3" s="1"/>
  <c r="M122" i="3"/>
  <c r="M121" i="3" s="1"/>
  <c r="N122" i="3"/>
  <c r="N121" i="3" s="1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F129" i="3"/>
  <c r="G129" i="3"/>
  <c r="H129" i="3"/>
  <c r="J129" i="3"/>
  <c r="K129" i="3"/>
  <c r="L129" i="3"/>
  <c r="M129" i="3"/>
  <c r="N129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1" i="3"/>
  <c r="E140" i="3" s="1"/>
  <c r="F141" i="3"/>
  <c r="F140" i="3" s="1"/>
  <c r="G141" i="3"/>
  <c r="H141" i="3"/>
  <c r="J141" i="3"/>
  <c r="K141" i="3"/>
  <c r="K140" i="3" s="1"/>
  <c r="L141" i="3"/>
  <c r="M141" i="3"/>
  <c r="M140" i="3" s="1"/>
  <c r="N141" i="3"/>
  <c r="E144" i="3"/>
  <c r="E143" i="3" s="1"/>
  <c r="F144" i="3"/>
  <c r="F143" i="3" s="1"/>
  <c r="G144" i="3"/>
  <c r="G143" i="3" s="1"/>
  <c r="H144" i="3"/>
  <c r="H143" i="3" s="1"/>
  <c r="J144" i="3"/>
  <c r="J143" i="3" s="1"/>
  <c r="K144" i="3"/>
  <c r="K143" i="3" s="1"/>
  <c r="L144" i="3"/>
  <c r="L143" i="3" s="1"/>
  <c r="M144" i="3"/>
  <c r="M143" i="3" s="1"/>
  <c r="N144" i="3"/>
  <c r="N143" i="3" s="1"/>
  <c r="E145" i="3"/>
  <c r="F145" i="3"/>
  <c r="G145" i="3"/>
  <c r="H145" i="3"/>
  <c r="J145" i="3"/>
  <c r="K145" i="3"/>
  <c r="L145" i="3"/>
  <c r="M145" i="3"/>
  <c r="N145" i="3"/>
  <c r="D146" i="3"/>
  <c r="E146" i="3"/>
  <c r="F146" i="3"/>
  <c r="G146" i="3"/>
  <c r="H146" i="3"/>
  <c r="J146" i="3"/>
  <c r="K146" i="3"/>
  <c r="L146" i="3"/>
  <c r="M146" i="3"/>
  <c r="N146" i="3"/>
  <c r="E149" i="3"/>
  <c r="E148" i="3" s="1"/>
  <c r="F149" i="3"/>
  <c r="F148" i="3" s="1"/>
  <c r="G149" i="3"/>
  <c r="G148" i="3" s="1"/>
  <c r="H149" i="3"/>
  <c r="H148" i="3" s="1"/>
  <c r="J149" i="3"/>
  <c r="J148" i="3" s="1"/>
  <c r="K149" i="3"/>
  <c r="K148" i="3" s="1"/>
  <c r="L149" i="3"/>
  <c r="L148" i="3" s="1"/>
  <c r="M149" i="3"/>
  <c r="M148" i="3" s="1"/>
  <c r="N149" i="3"/>
  <c r="N148" i="3" s="1"/>
  <c r="E150" i="3"/>
  <c r="F150" i="3"/>
  <c r="G150" i="3"/>
  <c r="H150" i="3"/>
  <c r="J150" i="3"/>
  <c r="K150" i="3"/>
  <c r="L150" i="3"/>
  <c r="M150" i="3"/>
  <c r="N150" i="3"/>
  <c r="O179" i="1"/>
  <c r="O168" i="1" s="1"/>
  <c r="J57" i="1"/>
  <c r="I24" i="3" s="1"/>
  <c r="J200" i="1"/>
  <c r="J201" i="1"/>
  <c r="J202" i="1"/>
  <c r="I141" i="3" s="1"/>
  <c r="J203" i="1"/>
  <c r="J204" i="1"/>
  <c r="I145" i="3" s="1"/>
  <c r="J205" i="1"/>
  <c r="I146" i="3" s="1"/>
  <c r="J206" i="1"/>
  <c r="I149" i="3" s="1"/>
  <c r="I148" i="3" s="1"/>
  <c r="J199" i="1"/>
  <c r="J192" i="1"/>
  <c r="I101" i="3" s="1"/>
  <c r="I100" i="3" s="1"/>
  <c r="J193" i="1"/>
  <c r="J194" i="1"/>
  <c r="I126" i="3" s="1"/>
  <c r="J195" i="1"/>
  <c r="I127" i="3" s="1"/>
  <c r="J196" i="1"/>
  <c r="J191" i="1"/>
  <c r="J188" i="1"/>
  <c r="J170" i="1"/>
  <c r="J171" i="1"/>
  <c r="I96" i="3" s="1"/>
  <c r="J172" i="1"/>
  <c r="J173" i="1"/>
  <c r="I105" i="3" s="1"/>
  <c r="J174" i="1"/>
  <c r="I106" i="3" s="1"/>
  <c r="J176" i="1"/>
  <c r="J183" i="1"/>
  <c r="J184" i="1"/>
  <c r="J185" i="1"/>
  <c r="J169" i="1"/>
  <c r="J166" i="1"/>
  <c r="J140" i="1"/>
  <c r="J141" i="1"/>
  <c r="J142" i="1"/>
  <c r="I91" i="3" s="1"/>
  <c r="J143" i="1"/>
  <c r="I92" i="3" s="1"/>
  <c r="J144" i="1"/>
  <c r="I93" i="3" s="1"/>
  <c r="J145" i="1"/>
  <c r="J146" i="1"/>
  <c r="J147" i="1"/>
  <c r="J148" i="1"/>
  <c r="J149" i="1"/>
  <c r="J152" i="1"/>
  <c r="I111" i="3" s="1"/>
  <c r="J157" i="1"/>
  <c r="J158" i="1"/>
  <c r="J162" i="1"/>
  <c r="J163" i="1"/>
  <c r="J139" i="1"/>
  <c r="J130" i="1"/>
  <c r="I78" i="3" s="1"/>
  <c r="J131" i="1"/>
  <c r="J132" i="1"/>
  <c r="J133" i="1"/>
  <c r="J134" i="1"/>
  <c r="J128" i="1"/>
  <c r="J124" i="1"/>
  <c r="I62" i="3" s="1"/>
  <c r="J125" i="1"/>
  <c r="I63" i="3" s="1"/>
  <c r="J123" i="1"/>
  <c r="J103" i="1"/>
  <c r="I55" i="3" s="1"/>
  <c r="J104" i="1"/>
  <c r="J105" i="1"/>
  <c r="I57" i="3" s="1"/>
  <c r="J106" i="1"/>
  <c r="J107" i="1"/>
  <c r="I59" i="3" s="1"/>
  <c r="J108" i="1"/>
  <c r="I60" i="3" s="1"/>
  <c r="J109" i="1"/>
  <c r="I61" i="3" s="1"/>
  <c r="J110" i="1"/>
  <c r="I67" i="3" s="1"/>
  <c r="J111" i="1"/>
  <c r="I68" i="3" s="1"/>
  <c r="J112" i="1"/>
  <c r="I69" i="3" s="1"/>
  <c r="J113" i="1"/>
  <c r="I70" i="3" s="1"/>
  <c r="J114" i="1"/>
  <c r="I71" i="3" s="1"/>
  <c r="J115" i="1"/>
  <c r="I72" i="3" s="1"/>
  <c r="J116" i="1"/>
  <c r="I73" i="3" s="1"/>
  <c r="J117" i="1"/>
  <c r="J118" i="1"/>
  <c r="J119" i="1"/>
  <c r="J120" i="1"/>
  <c r="J101" i="1"/>
  <c r="J84" i="1"/>
  <c r="I41" i="3" s="1"/>
  <c r="J85" i="1"/>
  <c r="J86" i="1"/>
  <c r="I43" i="3" s="1"/>
  <c r="J87" i="1"/>
  <c r="I44" i="3" s="1"/>
  <c r="J88" i="1"/>
  <c r="I45" i="3" s="1"/>
  <c r="J89" i="1"/>
  <c r="I46" i="3" s="1"/>
  <c r="J90" i="1"/>
  <c r="I47" i="3" s="1"/>
  <c r="J92" i="1"/>
  <c r="I49" i="3" s="1"/>
  <c r="J93" i="1"/>
  <c r="I50" i="3" s="1"/>
  <c r="J94" i="1"/>
  <c r="I51" i="3" s="1"/>
  <c r="J95" i="1"/>
  <c r="I52" i="3" s="1"/>
  <c r="J83" i="1"/>
  <c r="J60" i="1"/>
  <c r="J61" i="1"/>
  <c r="I28" i="3" s="1"/>
  <c r="J62" i="1"/>
  <c r="I29" i="3" s="1"/>
  <c r="J63" i="1"/>
  <c r="I30" i="3" s="1"/>
  <c r="J64" i="1"/>
  <c r="I32" i="3" s="1"/>
  <c r="J65" i="1"/>
  <c r="I33" i="3" s="1"/>
  <c r="J66" i="1"/>
  <c r="I34" i="3" s="1"/>
  <c r="J67" i="1"/>
  <c r="I35" i="3" s="1"/>
  <c r="J68" i="1"/>
  <c r="I36" i="3" s="1"/>
  <c r="J69" i="1"/>
  <c r="I37" i="3" s="1"/>
  <c r="J71" i="1"/>
  <c r="J72" i="1"/>
  <c r="J73" i="1"/>
  <c r="J77" i="1"/>
  <c r="J78" i="1"/>
  <c r="J56" i="1"/>
  <c r="J21" i="1"/>
  <c r="J22" i="1"/>
  <c r="J23" i="1"/>
  <c r="J24" i="1"/>
  <c r="I64" i="3" s="1"/>
  <c r="J25" i="1"/>
  <c r="I65" i="3" s="1"/>
  <c r="J26" i="1"/>
  <c r="J27" i="1"/>
  <c r="J28" i="1"/>
  <c r="J29" i="1"/>
  <c r="J30" i="1"/>
  <c r="J31" i="1"/>
  <c r="J32" i="1"/>
  <c r="I83" i="3" s="1"/>
  <c r="J33" i="1"/>
  <c r="I84" i="3" s="1"/>
  <c r="J34" i="1"/>
  <c r="J35" i="1"/>
  <c r="I86" i="3" s="1"/>
  <c r="J36" i="1"/>
  <c r="I87" i="3" s="1"/>
  <c r="J37" i="1"/>
  <c r="I88" i="3" s="1"/>
  <c r="I116" i="3"/>
  <c r="I114" i="3" s="1"/>
  <c r="J41" i="1"/>
  <c r="I122" i="3" s="1"/>
  <c r="I121" i="3" s="1"/>
  <c r="J42" i="1"/>
  <c r="J43" i="1"/>
  <c r="J44" i="1"/>
  <c r="I129" i="3" s="1"/>
  <c r="J45" i="1"/>
  <c r="J46" i="1"/>
  <c r="J47" i="1"/>
  <c r="I136" i="3" s="1"/>
  <c r="J48" i="1"/>
  <c r="I137" i="3" s="1"/>
  <c r="J49" i="1"/>
  <c r="J50" i="1"/>
  <c r="J51" i="1"/>
  <c r="I144" i="3" s="1"/>
  <c r="I143" i="3" s="1"/>
  <c r="J20" i="1"/>
  <c r="J137" i="1" l="1"/>
  <c r="M40" i="3"/>
  <c r="K40" i="3"/>
  <c r="H40" i="3"/>
  <c r="F40" i="3"/>
  <c r="J82" i="1"/>
  <c r="N40" i="3"/>
  <c r="L40" i="3"/>
  <c r="J40" i="3"/>
  <c r="G40" i="3"/>
  <c r="I139" i="3"/>
  <c r="I138" i="3" s="1"/>
  <c r="I94" i="3"/>
  <c r="I21" i="3"/>
  <c r="L102" i="3"/>
  <c r="G102" i="3"/>
  <c r="E102" i="3"/>
  <c r="N102" i="3"/>
  <c r="J102" i="3"/>
  <c r="M102" i="3"/>
  <c r="K102" i="3"/>
  <c r="H102" i="3"/>
  <c r="F102" i="3"/>
  <c r="M147" i="3"/>
  <c r="K147" i="3"/>
  <c r="H147" i="3"/>
  <c r="F147" i="3"/>
  <c r="N147" i="3"/>
  <c r="L147" i="3"/>
  <c r="J147" i="3"/>
  <c r="G147" i="3"/>
  <c r="E147" i="3"/>
  <c r="J55" i="1"/>
  <c r="I90" i="3"/>
  <c r="I97" i="3"/>
  <c r="J198" i="1"/>
  <c r="I20" i="3"/>
  <c r="I19" i="3" s="1"/>
  <c r="I131" i="3"/>
  <c r="K123" i="3"/>
  <c r="I151" i="3"/>
  <c r="I150" i="3" s="1"/>
  <c r="I147" i="3" s="1"/>
  <c r="N23" i="3"/>
  <c r="L23" i="3"/>
  <c r="J23" i="3"/>
  <c r="G23" i="3"/>
  <c r="E23" i="3"/>
  <c r="M23" i="3"/>
  <c r="K23" i="3"/>
  <c r="H23" i="3"/>
  <c r="F23" i="3"/>
  <c r="N89" i="3"/>
  <c r="L89" i="3"/>
  <c r="J89" i="3"/>
  <c r="G89" i="3"/>
  <c r="M89" i="3"/>
  <c r="K89" i="3"/>
  <c r="H89" i="3"/>
  <c r="F89" i="3"/>
  <c r="L53" i="3"/>
  <c r="H53" i="3"/>
  <c r="F53" i="3"/>
  <c r="M53" i="3"/>
  <c r="K53" i="3"/>
  <c r="G53" i="3"/>
  <c r="I39" i="3"/>
  <c r="N39" i="3"/>
  <c r="L39" i="3"/>
  <c r="J39" i="3"/>
  <c r="G39" i="3"/>
  <c r="E39" i="3"/>
  <c r="M39" i="3"/>
  <c r="K39" i="3"/>
  <c r="H39" i="3"/>
  <c r="F39" i="3"/>
  <c r="L22" i="3"/>
  <c r="H22" i="3"/>
  <c r="F22" i="3"/>
  <c r="M22" i="3"/>
  <c r="K22" i="3"/>
  <c r="G22" i="3"/>
  <c r="E22" i="3"/>
  <c r="I27" i="3"/>
  <c r="I23" i="3" s="1"/>
  <c r="J190" i="1"/>
  <c r="J182" i="1"/>
  <c r="J181" i="1" s="1"/>
  <c r="J179" i="1"/>
  <c r="J168" i="1" s="1"/>
  <c r="J122" i="1"/>
  <c r="I81" i="3"/>
  <c r="I79" i="3"/>
  <c r="I42" i="3"/>
  <c r="I40" i="3" s="1"/>
  <c r="I128" i="3"/>
  <c r="I80" i="3"/>
  <c r="E87" i="3"/>
  <c r="E82" i="3" s="1"/>
  <c r="I108" i="3"/>
  <c r="I104" i="3"/>
  <c r="L135" i="3"/>
  <c r="J135" i="3"/>
  <c r="G135" i="3"/>
  <c r="I76" i="3"/>
  <c r="I56" i="3"/>
  <c r="I142" i="3"/>
  <c r="I140" i="3" s="1"/>
  <c r="I124" i="3"/>
  <c r="I85" i="3"/>
  <c r="I82" i="3" s="1"/>
  <c r="I66" i="3"/>
  <c r="I74" i="3"/>
  <c r="N125" i="3"/>
  <c r="N123" i="3" s="1"/>
  <c r="N135" i="3"/>
  <c r="H135" i="3"/>
  <c r="M135" i="3"/>
  <c r="M134" i="3" s="1"/>
  <c r="K135" i="3"/>
  <c r="K134" i="3" s="1"/>
  <c r="F135" i="3"/>
  <c r="F134" i="3" s="1"/>
  <c r="E135" i="3"/>
  <c r="E134" i="3" s="1"/>
  <c r="L19" i="3"/>
  <c r="I95" i="3"/>
  <c r="I135" i="3"/>
  <c r="M82" i="3"/>
  <c r="F82" i="3"/>
  <c r="I75" i="3"/>
  <c r="I58" i="3"/>
  <c r="N140" i="3"/>
  <c r="L140" i="3"/>
  <c r="J140" i="3"/>
  <c r="H140" i="3"/>
  <c r="G140" i="3"/>
  <c r="M123" i="3"/>
  <c r="F123" i="3"/>
  <c r="K82" i="3"/>
  <c r="L77" i="3"/>
  <c r="H77" i="3"/>
  <c r="N19" i="3"/>
  <c r="J19" i="3"/>
  <c r="H19" i="3"/>
  <c r="G19" i="3"/>
  <c r="M19" i="3"/>
  <c r="K19" i="3"/>
  <c r="F19" i="3"/>
  <c r="E19" i="3"/>
  <c r="L123" i="3"/>
  <c r="H123" i="3"/>
  <c r="G123" i="3"/>
  <c r="N77" i="3"/>
  <c r="J77" i="3"/>
  <c r="G77" i="3"/>
  <c r="M77" i="3"/>
  <c r="K77" i="3"/>
  <c r="F77" i="3"/>
  <c r="E77" i="3"/>
  <c r="N82" i="3"/>
  <c r="L82" i="3"/>
  <c r="J82" i="3"/>
  <c r="H82" i="3"/>
  <c r="G82" i="3"/>
  <c r="J159" i="1"/>
  <c r="J208" i="1" l="1"/>
  <c r="I102" i="3"/>
  <c r="K154" i="3"/>
  <c r="L210" i="1" s="1"/>
  <c r="I130" i="3"/>
  <c r="G154" i="3"/>
  <c r="H210" i="1" s="1"/>
  <c r="J154" i="3"/>
  <c r="K210" i="1" s="1"/>
  <c r="N154" i="3"/>
  <c r="O210" i="1" s="1"/>
  <c r="M154" i="3"/>
  <c r="N210" i="1" s="1"/>
  <c r="H154" i="3"/>
  <c r="I210" i="1" s="1"/>
  <c r="I154" i="3"/>
  <c r="E154" i="3"/>
  <c r="F210" i="1" s="1"/>
  <c r="L154" i="3"/>
  <c r="M210" i="1" s="1"/>
  <c r="F154" i="3"/>
  <c r="G210" i="1" s="1"/>
  <c r="I89" i="3"/>
  <c r="K98" i="3"/>
  <c r="K153" i="3" s="1"/>
  <c r="H98" i="3"/>
  <c r="M98" i="3"/>
  <c r="M153" i="3" s="1"/>
  <c r="G98" i="3"/>
  <c r="L98" i="3"/>
  <c r="F98" i="3"/>
  <c r="F153" i="3" s="1"/>
  <c r="N98" i="3"/>
  <c r="I77" i="3"/>
  <c r="L134" i="3"/>
  <c r="G134" i="3"/>
  <c r="N134" i="3"/>
  <c r="J134" i="3"/>
  <c r="I134" i="3"/>
  <c r="H134" i="3"/>
  <c r="E202" i="1"/>
  <c r="D141" i="3" s="1"/>
  <c r="C202" i="1"/>
  <c r="D202" i="1"/>
  <c r="B202" i="1"/>
  <c r="J210" i="1" l="1"/>
  <c r="E97" i="3"/>
  <c r="E89" i="3" s="1"/>
  <c r="G153" i="3"/>
  <c r="L153" i="3"/>
  <c r="H153" i="3"/>
  <c r="E129" i="3"/>
  <c r="E123" i="3" s="1"/>
  <c r="E98" i="3" s="1"/>
  <c r="J97" i="1"/>
  <c r="J81" i="1" s="1"/>
  <c r="P202" i="1"/>
  <c r="O141" i="3" s="1"/>
  <c r="I125" i="3" l="1"/>
  <c r="I123" i="3" s="1"/>
  <c r="I98" i="3" s="1"/>
  <c r="J80" i="1"/>
  <c r="E152" i="1" l="1"/>
  <c r="C152" i="1"/>
  <c r="D152" i="1"/>
  <c r="B152" i="1"/>
  <c r="D111" i="3" l="1"/>
  <c r="P152" i="1"/>
  <c r="O111" i="3" s="1"/>
  <c r="F113" i="1"/>
  <c r="E70" i="3" l="1"/>
  <c r="F100" i="1"/>
  <c r="E53" i="3"/>
  <c r="E153" i="3" s="1"/>
  <c r="J24" i="3"/>
  <c r="N26" i="3" l="1"/>
  <c r="J26" i="3"/>
  <c r="J22" i="3" s="1"/>
  <c r="J59" i="1"/>
  <c r="J54" i="1" s="1"/>
  <c r="I26" i="3" l="1"/>
  <c r="N31" i="3"/>
  <c r="N22" i="3" s="1"/>
  <c r="J129" i="1"/>
  <c r="J127" i="1" s="1"/>
  <c r="D45" i="1"/>
  <c r="D185" i="1"/>
  <c r="D159" i="1"/>
  <c r="C131" i="1"/>
  <c r="D131" i="1"/>
  <c r="B131" i="1"/>
  <c r="D124" i="1"/>
  <c r="D69" i="1"/>
  <c r="D67" i="1"/>
  <c r="P205" i="1"/>
  <c r="O146" i="3" s="1"/>
  <c r="E200" i="1"/>
  <c r="E201" i="1"/>
  <c r="E203" i="1"/>
  <c r="E204" i="1"/>
  <c r="D145" i="3" s="1"/>
  <c r="E206" i="1"/>
  <c r="D149" i="3" s="1"/>
  <c r="D148" i="3" s="1"/>
  <c r="E199" i="1"/>
  <c r="K197" i="1"/>
  <c r="L197" i="1"/>
  <c r="M197" i="1"/>
  <c r="N197" i="1"/>
  <c r="O197" i="1"/>
  <c r="F197" i="1"/>
  <c r="G197" i="1"/>
  <c r="H197" i="1"/>
  <c r="I197" i="1"/>
  <c r="E192" i="1"/>
  <c r="D101" i="3" s="1"/>
  <c r="D100" i="3" s="1"/>
  <c r="E193" i="1"/>
  <c r="E194" i="1"/>
  <c r="D126" i="3" s="1"/>
  <c r="E195" i="1"/>
  <c r="D127" i="3" s="1"/>
  <c r="E196" i="1"/>
  <c r="E191" i="1"/>
  <c r="K189" i="1"/>
  <c r="L189" i="1"/>
  <c r="M189" i="1"/>
  <c r="N189" i="1"/>
  <c r="O189" i="1"/>
  <c r="F189" i="1"/>
  <c r="G189" i="1"/>
  <c r="H189" i="1"/>
  <c r="I189" i="1"/>
  <c r="J187" i="1"/>
  <c r="J186" i="1" s="1"/>
  <c r="E188" i="1"/>
  <c r="K187" i="1"/>
  <c r="K186" i="1" s="1"/>
  <c r="L187" i="1"/>
  <c r="L186" i="1" s="1"/>
  <c r="M187" i="1"/>
  <c r="M186" i="1" s="1"/>
  <c r="N187" i="1"/>
  <c r="N186" i="1" s="1"/>
  <c r="O187" i="1"/>
  <c r="O186" i="1" s="1"/>
  <c r="F187" i="1"/>
  <c r="F186" i="1" s="1"/>
  <c r="G187" i="1"/>
  <c r="G186" i="1" s="1"/>
  <c r="H187" i="1"/>
  <c r="H186" i="1" s="1"/>
  <c r="I187" i="1"/>
  <c r="I186" i="1" s="1"/>
  <c r="E187" i="1"/>
  <c r="E186" i="1" s="1"/>
  <c r="E184" i="1"/>
  <c r="E185" i="1"/>
  <c r="E183" i="1"/>
  <c r="K181" i="1"/>
  <c r="L181" i="1"/>
  <c r="M181" i="1"/>
  <c r="N181" i="1"/>
  <c r="O181" i="1"/>
  <c r="F181" i="1"/>
  <c r="G181" i="1"/>
  <c r="H181" i="1"/>
  <c r="I181" i="1"/>
  <c r="E170" i="1"/>
  <c r="E171" i="1"/>
  <c r="D96" i="3" s="1"/>
  <c r="E172" i="1"/>
  <c r="E173" i="1"/>
  <c r="D105" i="3" s="1"/>
  <c r="E174" i="1"/>
  <c r="D106" i="3" s="1"/>
  <c r="E176" i="1"/>
  <c r="E179" i="1"/>
  <c r="E169" i="1"/>
  <c r="K167" i="1"/>
  <c r="M167" i="1"/>
  <c r="N167" i="1"/>
  <c r="O167" i="1"/>
  <c r="F167" i="1"/>
  <c r="G167" i="1"/>
  <c r="H167" i="1"/>
  <c r="I167" i="1"/>
  <c r="J165" i="1"/>
  <c r="J164" i="1" s="1"/>
  <c r="E166" i="1"/>
  <c r="E165" i="1" s="1"/>
  <c r="E164" i="1" s="1"/>
  <c r="K165" i="1"/>
  <c r="K164" i="1" s="1"/>
  <c r="L165" i="1"/>
  <c r="L164" i="1" s="1"/>
  <c r="M165" i="1"/>
  <c r="M164" i="1" s="1"/>
  <c r="N165" i="1"/>
  <c r="N164" i="1" s="1"/>
  <c r="O165" i="1"/>
  <c r="O164" i="1" s="1"/>
  <c r="F165" i="1"/>
  <c r="F164" i="1" s="1"/>
  <c r="G165" i="1"/>
  <c r="G164" i="1" s="1"/>
  <c r="H165" i="1"/>
  <c r="H164" i="1" s="1"/>
  <c r="I165" i="1"/>
  <c r="I164" i="1" s="1"/>
  <c r="E140" i="1"/>
  <c r="P140" i="1" s="1"/>
  <c r="E141" i="1"/>
  <c r="D90" i="3" s="1"/>
  <c r="E142" i="1"/>
  <c r="E143" i="1"/>
  <c r="D92" i="3" s="1"/>
  <c r="E144" i="1"/>
  <c r="E145" i="1"/>
  <c r="E146" i="1"/>
  <c r="E147" i="1"/>
  <c r="E137" i="1" s="1"/>
  <c r="E148" i="1"/>
  <c r="E149" i="1"/>
  <c r="P149" i="1" s="1"/>
  <c r="E157" i="1"/>
  <c r="E158" i="1"/>
  <c r="P158" i="1" s="1"/>
  <c r="E159" i="1"/>
  <c r="P159" i="1" s="1"/>
  <c r="E162" i="1"/>
  <c r="P162" i="1" s="1"/>
  <c r="E163" i="1"/>
  <c r="E139" i="1"/>
  <c r="K136" i="1"/>
  <c r="L136" i="1"/>
  <c r="M136" i="1"/>
  <c r="N136" i="1"/>
  <c r="O136" i="1"/>
  <c r="F136" i="1"/>
  <c r="G136" i="1"/>
  <c r="H136" i="1"/>
  <c r="I136" i="1"/>
  <c r="E129" i="1"/>
  <c r="D31" i="3" s="1"/>
  <c r="E130" i="1"/>
  <c r="D78" i="3" s="1"/>
  <c r="E131" i="1"/>
  <c r="E132" i="1"/>
  <c r="E133" i="1"/>
  <c r="E134" i="1"/>
  <c r="E128" i="1"/>
  <c r="K126" i="1"/>
  <c r="L126" i="1"/>
  <c r="M126" i="1"/>
  <c r="N126" i="1"/>
  <c r="F126" i="1"/>
  <c r="G126" i="1"/>
  <c r="H126" i="1"/>
  <c r="I126" i="1"/>
  <c r="E124" i="1"/>
  <c r="D62" i="3" s="1"/>
  <c r="E125" i="1"/>
  <c r="D63" i="3" s="1"/>
  <c r="E123" i="1"/>
  <c r="K121" i="1"/>
  <c r="L121" i="1"/>
  <c r="M121" i="1"/>
  <c r="N121" i="1"/>
  <c r="O121" i="1"/>
  <c r="F121" i="1"/>
  <c r="G121" i="1"/>
  <c r="H121" i="1"/>
  <c r="I121" i="1"/>
  <c r="E102" i="1"/>
  <c r="D54" i="3" s="1"/>
  <c r="E103" i="1"/>
  <c r="D55" i="3" s="1"/>
  <c r="E104" i="1"/>
  <c r="E105" i="1"/>
  <c r="D57" i="3" s="1"/>
  <c r="E106" i="1"/>
  <c r="E107" i="1"/>
  <c r="D59" i="3" s="1"/>
  <c r="E108" i="1"/>
  <c r="D60" i="3" s="1"/>
  <c r="E109" i="1"/>
  <c r="D61" i="3" s="1"/>
  <c r="E110" i="1"/>
  <c r="D67" i="3" s="1"/>
  <c r="E111" i="1"/>
  <c r="E112" i="1"/>
  <c r="D69" i="3" s="1"/>
  <c r="E113" i="1"/>
  <c r="D70" i="3" s="1"/>
  <c r="E114" i="1"/>
  <c r="D71" i="3" s="1"/>
  <c r="E115" i="1"/>
  <c r="D72" i="3" s="1"/>
  <c r="E116" i="1"/>
  <c r="D73" i="3" s="1"/>
  <c r="E117" i="1"/>
  <c r="E118" i="1"/>
  <c r="E119" i="1"/>
  <c r="P119" i="1" s="1"/>
  <c r="E120" i="1"/>
  <c r="E101" i="1"/>
  <c r="L99" i="1"/>
  <c r="M99" i="1"/>
  <c r="N99" i="1"/>
  <c r="F99" i="1"/>
  <c r="G99" i="1"/>
  <c r="H99" i="1"/>
  <c r="I99" i="1"/>
  <c r="E84" i="1"/>
  <c r="D41" i="3" s="1"/>
  <c r="E85" i="1"/>
  <c r="E86" i="1"/>
  <c r="D43" i="3" s="1"/>
  <c r="E87" i="1"/>
  <c r="D44" i="3" s="1"/>
  <c r="E88" i="1"/>
  <c r="D45" i="3" s="1"/>
  <c r="E89" i="1"/>
  <c r="D46" i="3" s="1"/>
  <c r="E90" i="1"/>
  <c r="D47" i="3" s="1"/>
  <c r="E92" i="1"/>
  <c r="D49" i="3" s="1"/>
  <c r="E93" i="1"/>
  <c r="E94" i="1"/>
  <c r="D51" i="3" s="1"/>
  <c r="D52" i="3"/>
  <c r="E97" i="1"/>
  <c r="E83" i="1"/>
  <c r="K53" i="1"/>
  <c r="L53" i="1"/>
  <c r="M53" i="1"/>
  <c r="N53" i="1"/>
  <c r="O53" i="1"/>
  <c r="F53" i="1"/>
  <c r="G53" i="1"/>
  <c r="H53" i="1"/>
  <c r="I53" i="1"/>
  <c r="E57" i="1"/>
  <c r="D24" i="3" s="1"/>
  <c r="E59" i="1"/>
  <c r="E60" i="1"/>
  <c r="E61" i="1"/>
  <c r="D28" i="3" s="1"/>
  <c r="E62" i="1"/>
  <c r="D29" i="3" s="1"/>
  <c r="E63" i="1"/>
  <c r="D30" i="3" s="1"/>
  <c r="E64" i="1"/>
  <c r="D32" i="3" s="1"/>
  <c r="E65" i="1"/>
  <c r="D33" i="3" s="1"/>
  <c r="E66" i="1"/>
  <c r="D34" i="3" s="1"/>
  <c r="E67" i="1"/>
  <c r="D35" i="3" s="1"/>
  <c r="E68" i="1"/>
  <c r="D36" i="3" s="1"/>
  <c r="E69" i="1"/>
  <c r="D37" i="3" s="1"/>
  <c r="E71" i="1"/>
  <c r="E72" i="1"/>
  <c r="E73" i="1"/>
  <c r="E77" i="1"/>
  <c r="E78" i="1"/>
  <c r="P78" i="1" s="1"/>
  <c r="E56" i="1"/>
  <c r="E21" i="1"/>
  <c r="D21" i="3" s="1"/>
  <c r="E22" i="1"/>
  <c r="E23" i="1"/>
  <c r="E24" i="1"/>
  <c r="D64" i="3" s="1"/>
  <c r="E25" i="1"/>
  <c r="D65" i="3" s="1"/>
  <c r="E26" i="1"/>
  <c r="E27" i="1"/>
  <c r="E28" i="1"/>
  <c r="E29" i="1"/>
  <c r="E30" i="1"/>
  <c r="E31" i="1"/>
  <c r="E32" i="1"/>
  <c r="D83" i="3" s="1"/>
  <c r="E33" i="1"/>
  <c r="D84" i="3" s="1"/>
  <c r="E34" i="1"/>
  <c r="E35" i="1"/>
  <c r="D86" i="3" s="1"/>
  <c r="E36" i="1"/>
  <c r="D87" i="3" s="1"/>
  <c r="E37" i="1"/>
  <c r="D88" i="3" s="1"/>
  <c r="E38" i="1"/>
  <c r="D116" i="3" s="1"/>
  <c r="D114" i="3" s="1"/>
  <c r="E41" i="1"/>
  <c r="D122" i="3" s="1"/>
  <c r="D121" i="3" s="1"/>
  <c r="E42" i="1"/>
  <c r="E43" i="1"/>
  <c r="E44" i="1"/>
  <c r="D129" i="3" s="1"/>
  <c r="E45" i="1"/>
  <c r="E46" i="1"/>
  <c r="E47" i="1"/>
  <c r="D136" i="3" s="1"/>
  <c r="E48" i="1"/>
  <c r="D137" i="3" s="1"/>
  <c r="E49" i="1"/>
  <c r="E50" i="1"/>
  <c r="E51" i="1"/>
  <c r="D144" i="3" s="1"/>
  <c r="D143" i="3" s="1"/>
  <c r="E20" i="1"/>
  <c r="E19" i="1" s="1"/>
  <c r="K18" i="1"/>
  <c r="M18" i="1"/>
  <c r="N18" i="1"/>
  <c r="O18" i="1"/>
  <c r="F18" i="1"/>
  <c r="G18" i="1"/>
  <c r="H18" i="1"/>
  <c r="I18" i="1"/>
  <c r="L18" i="1"/>
  <c r="E54" i="1" l="1"/>
  <c r="E53" i="1" s="1"/>
  <c r="E18" i="1"/>
  <c r="D50" i="3"/>
  <c r="E82" i="1"/>
  <c r="D93" i="3"/>
  <c r="D139" i="3"/>
  <c r="D138" i="3" s="1"/>
  <c r="D94" i="3"/>
  <c r="E81" i="1"/>
  <c r="E80" i="1" s="1"/>
  <c r="E168" i="1"/>
  <c r="E167" i="1" s="1"/>
  <c r="D130" i="3"/>
  <c r="E136" i="1"/>
  <c r="E55" i="1"/>
  <c r="D26" i="3"/>
  <c r="D22" i="3" s="1"/>
  <c r="D97" i="3"/>
  <c r="E198" i="1"/>
  <c r="E197" i="1" s="1"/>
  <c r="H207" i="1"/>
  <c r="H209" i="1" s="1"/>
  <c r="N207" i="1"/>
  <c r="N209" i="1" s="1"/>
  <c r="D131" i="3"/>
  <c r="I207" i="1"/>
  <c r="I209" i="1" s="1"/>
  <c r="M207" i="1"/>
  <c r="M209" i="1" s="1"/>
  <c r="P163" i="1"/>
  <c r="D151" i="3"/>
  <c r="D150" i="3" s="1"/>
  <c r="D147" i="3" s="1"/>
  <c r="E100" i="1"/>
  <c r="E99" i="1" s="1"/>
  <c r="G207" i="1"/>
  <c r="G209" i="1" s="1"/>
  <c r="F207" i="1"/>
  <c r="F209" i="1" s="1"/>
  <c r="D20" i="3"/>
  <c r="D19" i="3" s="1"/>
  <c r="D91" i="3"/>
  <c r="D39" i="3"/>
  <c r="D27" i="3"/>
  <c r="D23" i="3" s="1"/>
  <c r="E182" i="1"/>
  <c r="E181" i="1" s="1"/>
  <c r="E190" i="1"/>
  <c r="E189" i="1" s="1"/>
  <c r="D95" i="3"/>
  <c r="E127" i="1"/>
  <c r="E126" i="1" s="1"/>
  <c r="E122" i="1"/>
  <c r="E121" i="1" s="1"/>
  <c r="D128" i="3"/>
  <c r="D42" i="3"/>
  <c r="D68" i="3"/>
  <c r="D124" i="3"/>
  <c r="P139" i="1"/>
  <c r="O126" i="1"/>
  <c r="D80" i="3"/>
  <c r="D125" i="3"/>
  <c r="D74" i="3"/>
  <c r="D104" i="3"/>
  <c r="D142" i="3"/>
  <c r="D140" i="3" s="1"/>
  <c r="D81" i="3"/>
  <c r="D79" i="3"/>
  <c r="D108" i="3"/>
  <c r="I31" i="3"/>
  <c r="I22" i="3" s="1"/>
  <c r="J126" i="1"/>
  <c r="D135" i="3"/>
  <c r="D76" i="3"/>
  <c r="D85" i="3"/>
  <c r="D82" i="3" s="1"/>
  <c r="D66" i="3"/>
  <c r="P120" i="1"/>
  <c r="D75" i="3"/>
  <c r="D58" i="3"/>
  <c r="D56" i="3"/>
  <c r="P20" i="1"/>
  <c r="P19" i="1" s="1"/>
  <c r="P50" i="1"/>
  <c r="P48" i="1"/>
  <c r="O137" i="3" s="1"/>
  <c r="P46" i="1"/>
  <c r="P44" i="1"/>
  <c r="O129" i="3" s="1"/>
  <c r="P42" i="1"/>
  <c r="P73" i="1"/>
  <c r="P71" i="1"/>
  <c r="P69" i="1"/>
  <c r="O37" i="3" s="1"/>
  <c r="P68" i="1"/>
  <c r="O36" i="3" s="1"/>
  <c r="P67" i="1"/>
  <c r="O35" i="3" s="1"/>
  <c r="P65" i="1"/>
  <c r="O33" i="3" s="1"/>
  <c r="P63" i="1"/>
  <c r="O30" i="3" s="1"/>
  <c r="P61" i="1"/>
  <c r="O28" i="3" s="1"/>
  <c r="P59" i="1"/>
  <c r="O26" i="3" s="1"/>
  <c r="P83" i="1"/>
  <c r="P116" i="1"/>
  <c r="O73" i="3" s="1"/>
  <c r="P114" i="1"/>
  <c r="O71" i="3" s="1"/>
  <c r="P112" i="1"/>
  <c r="O69" i="3" s="1"/>
  <c r="P110" i="1"/>
  <c r="O67" i="3" s="1"/>
  <c r="P108" i="1"/>
  <c r="O60" i="3" s="1"/>
  <c r="P106" i="1"/>
  <c r="P104" i="1"/>
  <c r="P147" i="1"/>
  <c r="P145" i="1"/>
  <c r="P142" i="1"/>
  <c r="O91" i="3" s="1"/>
  <c r="P173" i="1"/>
  <c r="O105" i="3" s="1"/>
  <c r="P206" i="1"/>
  <c r="O149" i="3" s="1"/>
  <c r="O148" i="3" s="1"/>
  <c r="P51" i="1"/>
  <c r="O144" i="3" s="1"/>
  <c r="O143" i="3" s="1"/>
  <c r="P49" i="1"/>
  <c r="P47" i="1"/>
  <c r="O136" i="3" s="1"/>
  <c r="P45" i="1"/>
  <c r="J123" i="3" s="1"/>
  <c r="J98" i="3" s="1"/>
  <c r="P43" i="1"/>
  <c r="O128" i="3" s="1"/>
  <c r="P41" i="1"/>
  <c r="O122" i="3" s="1"/>
  <c r="O121" i="3" s="1"/>
  <c r="P77" i="1"/>
  <c r="P72" i="1"/>
  <c r="P66" i="1"/>
  <c r="O34" i="3" s="1"/>
  <c r="P64" i="1"/>
  <c r="O32" i="3" s="1"/>
  <c r="P62" i="1"/>
  <c r="O29" i="3" s="1"/>
  <c r="P60" i="1"/>
  <c r="P101" i="1"/>
  <c r="P117" i="1"/>
  <c r="O74" i="3" s="1"/>
  <c r="P115" i="1"/>
  <c r="O72" i="3" s="1"/>
  <c r="P113" i="1"/>
  <c r="O70" i="3" s="1"/>
  <c r="P111" i="1"/>
  <c r="O68" i="3" s="1"/>
  <c r="P109" i="1"/>
  <c r="O61" i="3" s="1"/>
  <c r="P107" i="1"/>
  <c r="O59" i="3" s="1"/>
  <c r="P105" i="1"/>
  <c r="O57" i="3" s="1"/>
  <c r="P103" i="1"/>
  <c r="O55" i="3" s="1"/>
  <c r="P146" i="1"/>
  <c r="P144" i="1"/>
  <c r="P143" i="1"/>
  <c r="O92" i="3" s="1"/>
  <c r="P174" i="1"/>
  <c r="O106" i="3" s="1"/>
  <c r="P199" i="1"/>
  <c r="J136" i="1"/>
  <c r="P157" i="1"/>
  <c r="P183" i="1"/>
  <c r="P184" i="1"/>
  <c r="P194" i="1"/>
  <c r="O126" i="3" s="1"/>
  <c r="J189" i="1"/>
  <c r="P203" i="1"/>
  <c r="P200" i="1"/>
  <c r="P125" i="1"/>
  <c r="O63" i="3" s="1"/>
  <c r="P124" i="1"/>
  <c r="O62" i="3" s="1"/>
  <c r="P38" i="1"/>
  <c r="O116" i="3" s="1"/>
  <c r="O114" i="3" s="1"/>
  <c r="P34" i="1"/>
  <c r="P32" i="1"/>
  <c r="O83" i="3" s="1"/>
  <c r="P30" i="1"/>
  <c r="P28" i="1"/>
  <c r="P26" i="1"/>
  <c r="P24" i="1"/>
  <c r="O64" i="3" s="1"/>
  <c r="P22" i="1"/>
  <c r="P128" i="1"/>
  <c r="P179" i="1"/>
  <c r="P188" i="1"/>
  <c r="P187" i="1" s="1"/>
  <c r="P186" i="1" s="1"/>
  <c r="P195" i="1"/>
  <c r="O127" i="3" s="1"/>
  <c r="P193" i="1"/>
  <c r="P192" i="1"/>
  <c r="O101" i="3" s="1"/>
  <c r="O100" i="3" s="1"/>
  <c r="P196" i="1"/>
  <c r="P148" i="1"/>
  <c r="P37" i="1"/>
  <c r="O88" i="3" s="1"/>
  <c r="P35" i="1"/>
  <c r="O86" i="3" s="1"/>
  <c r="P33" i="1"/>
  <c r="O84" i="3" s="1"/>
  <c r="P31" i="1"/>
  <c r="P27" i="1"/>
  <c r="P25" i="1"/>
  <c r="O65" i="3" s="1"/>
  <c r="P23" i="1"/>
  <c r="P97" i="1"/>
  <c r="P95" i="1"/>
  <c r="O52" i="3" s="1"/>
  <c r="P94" i="1"/>
  <c r="O51" i="3" s="1"/>
  <c r="P92" i="1"/>
  <c r="O49" i="3" s="1"/>
  <c r="P90" i="1"/>
  <c r="O47" i="3" s="1"/>
  <c r="P88" i="1"/>
  <c r="O45" i="3" s="1"/>
  <c r="P86" i="1"/>
  <c r="O43" i="3" s="1"/>
  <c r="P84" i="1"/>
  <c r="O41" i="3" s="1"/>
  <c r="P93" i="1"/>
  <c r="P89" i="1"/>
  <c r="O46" i="3" s="1"/>
  <c r="P87" i="1"/>
  <c r="O44" i="3" s="1"/>
  <c r="P85" i="1"/>
  <c r="J121" i="1"/>
  <c r="P133" i="1"/>
  <c r="P134" i="1"/>
  <c r="P130" i="1"/>
  <c r="O78" i="3" s="1"/>
  <c r="P176" i="1"/>
  <c r="P172" i="1"/>
  <c r="P21" i="1"/>
  <c r="O21" i="3" s="1"/>
  <c r="P29" i="1"/>
  <c r="P141" i="1"/>
  <c r="O90" i="3" s="1"/>
  <c r="P185" i="1"/>
  <c r="P36" i="1"/>
  <c r="O87" i="3" s="1"/>
  <c r="P57" i="1"/>
  <c r="O24" i="3" s="1"/>
  <c r="P123" i="1"/>
  <c r="P132" i="1"/>
  <c r="P131" i="1"/>
  <c r="P201" i="1"/>
  <c r="P169" i="1"/>
  <c r="P170" i="1"/>
  <c r="P204" i="1"/>
  <c r="O145" i="3" s="1"/>
  <c r="J197" i="1"/>
  <c r="J53" i="1"/>
  <c r="P191" i="1"/>
  <c r="P166" i="1"/>
  <c r="P165" i="1" s="1"/>
  <c r="P164" i="1" s="1"/>
  <c r="P56" i="1"/>
  <c r="J18" i="1"/>
  <c r="P118" i="1"/>
  <c r="P129" i="1"/>
  <c r="O31" i="3" s="1"/>
  <c r="P137" i="1" l="1"/>
  <c r="D40" i="3"/>
  <c r="D154" i="3" s="1"/>
  <c r="O50" i="3"/>
  <c r="P82" i="1"/>
  <c r="P54" i="1"/>
  <c r="P53" i="1" s="1"/>
  <c r="O93" i="3"/>
  <c r="O139" i="3"/>
  <c r="O138" i="3" s="1"/>
  <c r="O94" i="3"/>
  <c r="E208" i="1"/>
  <c r="P81" i="1"/>
  <c r="P80" i="1" s="1"/>
  <c r="D102" i="3"/>
  <c r="O130" i="3"/>
  <c r="O108" i="3"/>
  <c r="P55" i="1"/>
  <c r="O131" i="3"/>
  <c r="O20" i="3"/>
  <c r="O19" i="3" s="1"/>
  <c r="O97" i="3"/>
  <c r="O151" i="3"/>
  <c r="O150" i="3" s="1"/>
  <c r="O147" i="3" s="1"/>
  <c r="D89" i="3"/>
  <c r="E207" i="1"/>
  <c r="D53" i="3"/>
  <c r="O39" i="3"/>
  <c r="O22" i="3"/>
  <c r="O27" i="3"/>
  <c r="O23" i="3" s="1"/>
  <c r="P198" i="1"/>
  <c r="P190" i="1"/>
  <c r="P182" i="1"/>
  <c r="P127" i="1"/>
  <c r="P122" i="1"/>
  <c r="O42" i="3"/>
  <c r="O104" i="3"/>
  <c r="D123" i="3"/>
  <c r="O75" i="3"/>
  <c r="D134" i="3"/>
  <c r="D77" i="3"/>
  <c r="O124" i="3"/>
  <c r="O142" i="3"/>
  <c r="O140" i="3" s="1"/>
  <c r="O135" i="3"/>
  <c r="O95" i="3"/>
  <c r="O81" i="3"/>
  <c r="O80" i="3"/>
  <c r="O76" i="3"/>
  <c r="O58" i="3"/>
  <c r="O85" i="3"/>
  <c r="O82" i="3" s="1"/>
  <c r="O79" i="3"/>
  <c r="O125" i="3"/>
  <c r="O56" i="3"/>
  <c r="O66" i="3"/>
  <c r="L167" i="1"/>
  <c r="L207" i="1" s="1"/>
  <c r="L209" i="1" s="1"/>
  <c r="O40" i="3" l="1"/>
  <c r="O154" i="3" s="1"/>
  <c r="E210" i="1"/>
  <c r="P208" i="1"/>
  <c r="D98" i="3"/>
  <c r="D153" i="3" s="1"/>
  <c r="E209" i="1" s="1"/>
  <c r="O102" i="3"/>
  <c r="O134" i="3"/>
  <c r="O123" i="3"/>
  <c r="O77" i="3"/>
  <c r="P171" i="1"/>
  <c r="P168" i="1" s="1"/>
  <c r="J167" i="1"/>
  <c r="O98" i="3" l="1"/>
  <c r="P210" i="1"/>
  <c r="O96" i="3"/>
  <c r="O89" i="3" s="1"/>
  <c r="O102" i="1" l="1"/>
  <c r="K102" i="1"/>
  <c r="K100" i="1" s="1"/>
  <c r="J54" i="3" l="1"/>
  <c r="J53" i="3" s="1"/>
  <c r="J153" i="3" s="1"/>
  <c r="K99" i="1"/>
  <c r="K207" i="1" s="1"/>
  <c r="N54" i="3"/>
  <c r="O100" i="1"/>
  <c r="O99" i="1" s="1"/>
  <c r="O207" i="1" s="1"/>
  <c r="N53" i="3"/>
  <c r="N153" i="3" s="1"/>
  <c r="J102" i="1"/>
  <c r="O209" i="1" l="1"/>
  <c r="K209" i="1"/>
  <c r="I54" i="3"/>
  <c r="I53" i="3" s="1"/>
  <c r="I153" i="3" s="1"/>
  <c r="J100" i="1"/>
  <c r="P102" i="1"/>
  <c r="P18" i="1"/>
  <c r="P181" i="1"/>
  <c r="P197" i="1"/>
  <c r="O54" i="3" l="1"/>
  <c r="P100" i="1"/>
  <c r="P99" i="1" s="1"/>
  <c r="O53" i="3"/>
  <c r="O153" i="3" s="1"/>
  <c r="J99" i="1"/>
  <c r="J207" i="1" s="1"/>
  <c r="J209" i="1" s="1"/>
  <c r="P189" i="1"/>
  <c r="P167" i="1"/>
  <c r="P136" i="1"/>
  <c r="P126" i="1"/>
  <c r="P121" i="1"/>
  <c r="P207" i="1" l="1"/>
  <c r="P209" i="1" s="1"/>
  <c r="C48" i="1" l="1"/>
  <c r="C201" i="1" l="1"/>
  <c r="D201" i="1"/>
  <c r="B201" i="1"/>
  <c r="C158" i="1"/>
  <c r="D158" i="1"/>
  <c r="B158" i="1"/>
  <c r="C105" i="1" l="1"/>
  <c r="D105" i="1"/>
  <c r="B105" i="1"/>
  <c r="C29" i="1"/>
  <c r="D29" i="1"/>
  <c r="B29" i="1"/>
  <c r="C72" i="1"/>
  <c r="D72" i="1"/>
  <c r="B72" i="1"/>
  <c r="B92" i="1"/>
  <c r="C92" i="1"/>
  <c r="D92" i="1"/>
  <c r="D93" i="1"/>
  <c r="B111" i="1"/>
  <c r="C111" i="1"/>
  <c r="D111" i="1"/>
  <c r="B112" i="1"/>
  <c r="C112" i="1"/>
  <c r="D112" i="1"/>
  <c r="C108" i="1"/>
  <c r="D108" i="1"/>
  <c r="B108" i="1"/>
  <c r="C185" i="1"/>
  <c r="B185" i="1"/>
  <c r="C184" i="1"/>
  <c r="D184" i="1"/>
  <c r="B184" i="1"/>
  <c r="D95" i="1"/>
  <c r="C95" i="1"/>
  <c r="B95" i="1"/>
  <c r="C94" i="1"/>
  <c r="D94" i="1"/>
  <c r="B94" i="1"/>
  <c r="C45" i="1"/>
  <c r="B45" i="1"/>
  <c r="C120" i="1"/>
  <c r="B120" i="1"/>
  <c r="C118" i="1"/>
  <c r="D118" i="1"/>
  <c r="C119" i="1"/>
  <c r="D119" i="1"/>
  <c r="B119" i="1"/>
  <c r="B118" i="1"/>
  <c r="C117" i="1"/>
  <c r="D117" i="1"/>
  <c r="B117" i="1"/>
  <c r="C116" i="1"/>
  <c r="D116" i="1"/>
  <c r="B116" i="1"/>
  <c r="C115" i="1"/>
  <c r="D115" i="1"/>
  <c r="B115" i="1"/>
  <c r="C114" i="1"/>
  <c r="D114" i="1"/>
  <c r="B114" i="1"/>
  <c r="C113" i="1"/>
  <c r="D113" i="1"/>
  <c r="B113" i="1"/>
  <c r="C110" i="1"/>
  <c r="D110" i="1"/>
  <c r="B110" i="1"/>
  <c r="C109" i="1"/>
  <c r="D109" i="1"/>
  <c r="B109" i="1"/>
  <c r="C107" i="1"/>
  <c r="D107" i="1"/>
  <c r="B107" i="1"/>
  <c r="C106" i="1"/>
  <c r="D106" i="1"/>
  <c r="B106" i="1"/>
  <c r="C104" i="1"/>
  <c r="D104" i="1"/>
  <c r="B104" i="1"/>
  <c r="C103" i="1"/>
  <c r="B103" i="1"/>
  <c r="C102" i="1"/>
  <c r="D102" i="1"/>
  <c r="B102" i="1"/>
  <c r="C97" i="1"/>
  <c r="D97" i="1"/>
  <c r="B97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3" i="1"/>
  <c r="D73" i="1"/>
  <c r="B73" i="1"/>
  <c r="D71" i="1"/>
  <c r="C71" i="1"/>
  <c r="B71" i="1"/>
  <c r="C67" i="1"/>
  <c r="C68" i="1"/>
  <c r="D68" i="1"/>
  <c r="B68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5" i="1"/>
  <c r="C125" i="1"/>
  <c r="B125" i="1"/>
  <c r="C129" i="1"/>
  <c r="D129" i="1"/>
  <c r="B129" i="1"/>
  <c r="C130" i="1"/>
  <c r="D130" i="1"/>
  <c r="B130" i="1"/>
  <c r="C132" i="1"/>
  <c r="D132" i="1"/>
  <c r="C133" i="1"/>
  <c r="D133" i="1"/>
  <c r="B133" i="1"/>
  <c r="B132" i="1"/>
  <c r="C134" i="1"/>
  <c r="D134" i="1"/>
  <c r="B134" i="1"/>
  <c r="C140" i="1"/>
  <c r="D140" i="1"/>
  <c r="B140" i="1"/>
  <c r="C144" i="1"/>
  <c r="D144" i="1"/>
  <c r="B144" i="1"/>
  <c r="C143" i="1"/>
  <c r="D143" i="1"/>
  <c r="B143" i="1"/>
  <c r="C142" i="1"/>
  <c r="D142" i="1"/>
  <c r="B142" i="1"/>
  <c r="C141" i="1"/>
  <c r="D141" i="1"/>
  <c r="B141" i="1"/>
  <c r="C145" i="1"/>
  <c r="D145" i="1"/>
  <c r="B145" i="1"/>
  <c r="C146" i="1"/>
  <c r="D146" i="1"/>
  <c r="B146" i="1"/>
  <c r="C147" i="1"/>
  <c r="D147" i="1"/>
  <c r="B147" i="1"/>
  <c r="C148" i="1"/>
  <c r="D148" i="1"/>
  <c r="B148" i="1"/>
  <c r="C149" i="1"/>
  <c r="D149" i="1"/>
  <c r="B149" i="1"/>
  <c r="C157" i="1"/>
  <c r="D157" i="1"/>
  <c r="B157" i="1"/>
  <c r="C162" i="1"/>
  <c r="D162" i="1"/>
  <c r="B162" i="1"/>
  <c r="C163" i="1"/>
  <c r="B163" i="1"/>
  <c r="C170" i="1"/>
  <c r="D170" i="1"/>
  <c r="B170" i="1"/>
  <c r="C171" i="1"/>
  <c r="D171" i="1"/>
  <c r="B171" i="1"/>
  <c r="C172" i="1"/>
  <c r="D172" i="1"/>
  <c r="B172" i="1"/>
  <c r="C174" i="1"/>
  <c r="D174" i="1"/>
  <c r="B174" i="1"/>
  <c r="C173" i="1"/>
  <c r="D173" i="1"/>
  <c r="B173" i="1"/>
  <c r="C176" i="1"/>
  <c r="D176" i="1"/>
  <c r="B176" i="1"/>
  <c r="C179" i="1"/>
  <c r="D179" i="1"/>
  <c r="B179" i="1"/>
  <c r="C192" i="1"/>
  <c r="D192" i="1"/>
  <c r="B192" i="1"/>
  <c r="C193" i="1"/>
  <c r="D193" i="1"/>
  <c r="B193" i="1"/>
  <c r="C194" i="1"/>
  <c r="D194" i="1"/>
  <c r="B194" i="1"/>
  <c r="C195" i="1"/>
  <c r="D195" i="1"/>
  <c r="B195" i="1"/>
  <c r="C196" i="1"/>
  <c r="D196" i="1"/>
  <c r="B196" i="1"/>
  <c r="C200" i="1"/>
  <c r="D200" i="1"/>
  <c r="B200" i="1"/>
  <c r="C203" i="1"/>
  <c r="D203" i="1"/>
  <c r="B203" i="1"/>
  <c r="C204" i="1"/>
  <c r="D204" i="1"/>
  <c r="B204" i="1"/>
  <c r="C205" i="1"/>
  <c r="D205" i="1"/>
  <c r="B205" i="1"/>
  <c r="C206" i="1"/>
  <c r="D206" i="1"/>
  <c r="B206" i="1"/>
  <c r="C199" i="1"/>
  <c r="B199" i="1"/>
  <c r="C191" i="1"/>
  <c r="B191" i="1"/>
  <c r="C188" i="1"/>
  <c r="B188" i="1"/>
  <c r="C183" i="1"/>
  <c r="B183" i="1"/>
  <c r="C169" i="1"/>
  <c r="B169" i="1"/>
  <c r="C166" i="1"/>
  <c r="B166" i="1"/>
  <c r="C139" i="1"/>
  <c r="B139" i="1"/>
  <c r="C128" i="1"/>
  <c r="B128" i="1"/>
  <c r="C123" i="1"/>
  <c r="B123" i="1"/>
  <c r="C101" i="1"/>
  <c r="B101" i="1"/>
  <c r="C83" i="1"/>
  <c r="B83" i="1"/>
  <c r="C56" i="1"/>
  <c r="B56" i="1"/>
  <c r="C20" i="1"/>
  <c r="B20" i="1"/>
  <c r="D199" i="1"/>
  <c r="D191" i="1"/>
  <c r="D188" i="1"/>
  <c r="D183" i="1"/>
  <c r="D169" i="1"/>
  <c r="D166" i="1"/>
  <c r="D139" i="1"/>
  <c r="D128" i="1"/>
  <c r="D123" i="1"/>
  <c r="D101" i="1"/>
  <c r="D83" i="1"/>
  <c r="D56" i="1"/>
  <c r="D20" i="1"/>
</calcChain>
</file>

<file path=xl/sharedStrings.xml><?xml version="1.0" encoding="utf-8"?>
<sst xmlns="http://schemas.openxmlformats.org/spreadsheetml/2006/main" count="627" uniqueCount="478">
  <si>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</si>
  <si>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</si>
  <si>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</si>
  <si>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</si>
  <si>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</si>
  <si>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</si>
  <si>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</si>
  <si>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</si>
  <si>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</si>
  <si>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</si>
  <si>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</si>
  <si>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</si>
  <si>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</si>
  <si>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</si>
  <si>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</si>
  <si>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</si>
  <si>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</si>
  <si>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</si>
  <si>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</si>
  <si>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</si>
  <si>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</si>
  <si>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</si>
  <si>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</si>
  <si>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</si>
  <si>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</si>
  <si>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</si>
  <si>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</si>
  <si>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</si>
  <si>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</si>
  <si>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</si>
  <si>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</si>
  <si>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</si>
  <si>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</si>
  <si>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</si>
  <si>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</si>
  <si>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</si>
  <si>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</si>
  <si>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</si>
  <si>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</si>
  <si>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</si>
  <si>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</si>
  <si>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</si>
  <si>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</si>
  <si>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</si>
  <si>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</si>
  <si>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</si>
  <si>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</si>
  <si>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</si>
  <si>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</si>
  <si>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</si>
  <si>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</si>
  <si>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</si>
  <si>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</si>
  <si>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</si>
  <si>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</si>
  <si>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</si>
  <si>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</si>
  <si>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</si>
  <si>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</si>
  <si>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</si>
  <si>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</si>
  <si>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</si>
  <si>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</si>
  <si>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</si>
  <si>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</si>
  <si>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</si>
  <si>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</si>
  <si>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</si>
  <si>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</si>
  <si>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</si>
  <si>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</si>
  <si>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</si>
  <si>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</si>
  <si>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</si>
  <si>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</si>
  <si>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</si>
  <si>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</si>
  <si>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</si>
  <si>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</si>
  <si>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</si>
  <si>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</si>
  <si>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</si>
  <si>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</si>
  <si>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</si>
  <si>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</si>
  <si>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</si>
  <si>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</si>
  <si>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</si>
  <si>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</si>
  <si>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</si>
  <si>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</si>
  <si>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</si>
  <si>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</si>
  <si>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</si>
  <si>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</si>
  <si>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</si>
  <si>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</si>
  <si>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</si>
  <si>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</si>
  <si>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</si>
  <si>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</si>
  <si>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</si>
  <si>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</si>
  <si>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</si>
  <si>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</si>
  <si>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</si>
  <si>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</si>
  <si>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</si>
  <si>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</si>
  <si>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</si>
  <si>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</si>
  <si>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</si>
  <si>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</si>
  <si>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</si>
  <si>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</si>
  <si>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</si>
  <si>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</si>
  <si>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</si>
  <si>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</si>
  <si>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</si>
  <si>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</si>
  <si>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</si>
  <si>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</si>
  <si>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</si>
  <si>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</si>
  <si>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</si>
  <si>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</si>
  <si>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</si>
  <si>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</si>
  <si>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</si>
  <si>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</si>
  <si>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</si>
  <si>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</si>
  <si>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</si>
  <si>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</si>
  <si>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</si>
  <si>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</si>
  <si>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</si>
  <si>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</si>
  <si>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</si>
  <si>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</si>
  <si>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</si>
  <si>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</si>
  <si>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</si>
  <si>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</si>
  <si>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</si>
  <si>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</si>
  <si>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</si>
  <si>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</si>
  <si>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</si>
  <si>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</si>
  <si>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</si>
  <si>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</si>
  <si>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</si>
  <si>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</si>
  <si>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</si>
  <si>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</si>
  <si>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</si>
  <si>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</si>
  <si>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</si>
  <si>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</si>
  <si>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</si>
  <si>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</si>
  <si>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</si>
  <si>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</si>
  <si>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</si>
  <si>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</si>
  <si>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</si>
  <si>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</si>
  <si>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</si>
  <si>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</si>
  <si>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</si>
  <si>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</si>
  <si>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</si>
  <si>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</si>
  <si>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</si>
  <si>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</si>
  <si>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</si>
  <si>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</si>
  <si>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</si>
  <si>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</si>
  <si>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</si>
  <si>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</si>
  <si>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</si>
  <si>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</si>
  <si>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</si>
  <si>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</si>
  <si>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</si>
  <si>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</si>
  <si>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</si>
  <si>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</si>
  <si>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</si>
  <si>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</si>
  <si>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</si>
  <si>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</si>
  <si>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</si>
  <si>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</si>
  <si>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</si>
  <si>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</si>
  <si>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</si>
  <si>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</si>
  <si>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</si>
  <si>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</si>
  <si>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</si>
  <si>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</si>
  <si>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</si>
  <si>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</si>
  <si>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</si>
  <si>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</si>
  <si>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</si>
  <si>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</si>
  <si>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</si>
  <si>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</si>
  <si>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</si>
  <si>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</si>
  <si>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</si>
  <si>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</si>
  <si>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</si>
  <si>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</si>
  <si>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</si>
  <si>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</si>
  <si>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</si>
  <si>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</si>
  <si>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</si>
  <si>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</si>
  <si>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</si>
  <si>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</si>
  <si>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</si>
  <si>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</si>
  <si>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</si>
  <si>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</si>
  <si>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</si>
  <si>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</si>
  <si>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</si>
  <si>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</si>
  <si>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</si>
  <si>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</si>
  <si>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</si>
  <si>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</si>
  <si>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</si>
  <si>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</si>
  <si>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</si>
  <si>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</si>
  <si>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</si>
  <si>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</si>
  <si>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</si>
  <si>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</si>
  <si>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</si>
  <si>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</si>
  <si>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</si>
  <si>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</si>
  <si>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</si>
  <si>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</si>
  <si>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</si>
  <si>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</si>
  <si>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</si>
  <si>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</si>
  <si>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</si>
  <si>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</si>
  <si>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</si>
  <si>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</si>
  <si>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</si>
  <si>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</si>
  <si>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</si>
  <si>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</si>
  <si>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</si>
  <si>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</si>
  <si>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</si>
  <si>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</si>
  <si>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</si>
  <si>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</si>
  <si>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</si>
  <si>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</si>
  <si>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</si>
  <si>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</si>
  <si>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</si>
  <si>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</si>
  <si>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</si>
  <si>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</si>
  <si>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</si>
  <si>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</si>
  <si>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</si>
  <si>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</si>
  <si>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</si>
  <si>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</si>
  <si>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</si>
  <si>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</si>
  <si>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</si>
  <si>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</si>
  <si>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</si>
  <si>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</si>
  <si>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</si>
  <si>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</si>
  <si>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</si>
  <si>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</si>
  <si>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</si>
  <si>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</si>
  <si>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</si>
  <si>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</si>
  <si>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</si>
  <si>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</si>
  <si>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</si>
  <si>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</si>
  <si>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</si>
  <si>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</si>
  <si>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</si>
  <si>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</si>
  <si>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</si>
  <si>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</si>
  <si>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</si>
  <si>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</si>
  <si>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</si>
  <si>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</si>
  <si>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</si>
  <si>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</si>
  <si>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</si>
  <si>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</si>
  <si>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</si>
  <si>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</si>
  <si>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</si>
  <si>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</si>
  <si>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</si>
  <si>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</si>
  <si>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</si>
  <si>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</si>
  <si>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</si>
  <si>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</si>
  <si>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</si>
  <si>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</si>
  <si>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</si>
  <si>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</si>
  <si>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</si>
  <si>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</si>
  <si>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</si>
  <si>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</si>
  <si>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</si>
  <si>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</si>
  <si>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</si>
  <si>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</si>
  <si>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</si>
  <si>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</si>
  <si>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</si>
  <si>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</si>
  <si>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</si>
  <si>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</si>
  <si>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</si>
  <si>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</si>
  <si>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</si>
  <si>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</si>
  <si>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</si>
  <si>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</si>
  <si>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</si>
  <si>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</si>
  <si>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</si>
  <si>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</si>
  <si>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</si>
  <si>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</si>
  <si>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</si>
  <si>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</si>
  <si>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</si>
  <si>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</si>
  <si>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</si>
  <si>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</si>
  <si>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</si>
  <si>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</si>
  <si>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</si>
  <si>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</si>
  <si>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</si>
  <si>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</si>
  <si>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</si>
  <si>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</si>
  <si>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</si>
  <si>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</si>
  <si>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</si>
  <si>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</si>
  <si>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</si>
  <si>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</si>
  <si>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</si>
  <si>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</si>
  <si>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</si>
  <si>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</si>
  <si>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</si>
  <si>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</si>
  <si>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</si>
  <si>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</si>
  <si>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</si>
  <si>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</si>
  <si>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</si>
  <si>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</si>
  <si>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</si>
  <si>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</si>
  <si>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</si>
  <si>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</si>
  <si>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</si>
  <si>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</si>
  <si>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</si>
  <si>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</si>
  <si>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</si>
  <si>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</si>
  <si>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</si>
  <si>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</si>
  <si>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</si>
  <si>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</si>
  <si>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</si>
  <si>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</si>
  <si>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</si>
  <si>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</si>
  <si>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</si>
  <si>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</si>
  <si>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</si>
  <si>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</si>
  <si>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</si>
  <si>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</si>
  <si>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</si>
  <si>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</si>
  <si>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</si>
  <si>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</si>
  <si>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</si>
  <si>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</si>
  <si>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</si>
  <si>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</si>
  <si>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</si>
  <si>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</si>
  <si>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</si>
  <si>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</si>
  <si>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</si>
  <si>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</si>
  <si>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</si>
  <si>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</si>
  <si>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</si>
  <si>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</si>
  <si>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</si>
  <si>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</si>
  <si>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</si>
  <si>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</si>
  <si>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</si>
  <si>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</si>
  <si>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</si>
  <si>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</si>
  <si>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</si>
  <si>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</si>
  <si>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</si>
  <si>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</si>
  <si>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</si>
  <si>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</si>
  <si>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</si>
  <si>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</si>
  <si>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</si>
  <si>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</si>
  <si>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</si>
  <si>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</si>
  <si>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</si>
  <si>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</si>
  <si>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</si>
  <si>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</si>
  <si>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</si>
  <si>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</si>
  <si>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>Сумський міський голова</t>
  </si>
  <si>
    <t>О.М. Лисенко</t>
  </si>
  <si>
    <t xml:space="preserve"> __________________</t>
  </si>
  <si>
    <t>(зі змінами)»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</si>
  <si>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</si>
  <si>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</si>
  <si>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</si>
  <si>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</si>
  <si>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</si>
  <si>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</si>
  <si>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</si>
  <si>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</si>
  <si>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 xml:space="preserve">територіальної   громади    на   2020   рік»  </t>
  </si>
  <si>
    <t>0617321</t>
  </si>
  <si>
    <t xml:space="preserve">територіальної   громади    на    2020   рік» </t>
  </si>
  <si>
    <t xml:space="preserve">    код бюджету</t>
  </si>
  <si>
    <t>0219800</t>
  </si>
  <si>
    <t>Виконавець: Співакова Л.І.</t>
  </si>
  <si>
    <t>від  27  травня   2020   року   № 6948 -  МР</t>
  </si>
  <si>
    <t xml:space="preserve">                        Додаток № 2</t>
  </si>
  <si>
    <t xml:space="preserve">від  24   грудня   2019   року  №  6248 - МР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</si>
</sst>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" fontId="23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707"/>
  <sheetViews>
    <sheetView showGridLines="0" showZeros="0" view="pageBreakPreview" topLeftCell="A202" zoomScale="96" zoomScaleNormal="71" zoomScaleSheetLayoutView="96" workbookViewId="0">
      <selection activeCell="D9" sqref="D9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529" width="9.1640625" style="34"/>
    <col min="530" max="16384" width="9.1640625" style="20"/>
  </cols>
  <sheetData>
    <row r="1" spans="1:529" ht="26.25" customHeight="1" x14ac:dyDescent="0.25">
      <c r="K1" s="132" t="s">
        <v>450</v>
      </c>
      <c r="L1" s="152" t="s">
        <v>476</v>
      </c>
      <c r="M1" s="152"/>
      <c r="N1" s="152"/>
      <c r="O1" s="152"/>
      <c r="P1" s="123"/>
    </row>
    <row r="2" spans="1:529" ht="26.25" customHeight="1" x14ac:dyDescent="0.25">
      <c r="K2" s="132"/>
      <c r="L2" s="123" t="s">
        <v>453</v>
      </c>
      <c r="M2" s="123"/>
      <c r="N2" s="123"/>
      <c r="O2" s="123"/>
      <c r="P2" s="94"/>
    </row>
    <row r="3" spans="1:529" ht="26.25" customHeight="1" x14ac:dyDescent="0.25">
      <c r="K3" s="132"/>
      <c r="L3" s="154" t="s">
        <v>454</v>
      </c>
      <c r="M3" s="154"/>
      <c r="N3" s="154"/>
      <c r="O3" s="154"/>
      <c r="P3" s="154"/>
    </row>
    <row r="4" spans="1:529" ht="26.25" customHeight="1" x14ac:dyDescent="0.25">
      <c r="K4" s="132"/>
      <c r="L4" s="153" t="s">
        <v>455</v>
      </c>
      <c r="M4" s="153"/>
      <c r="N4" s="153"/>
      <c r="O4" s="153"/>
      <c r="P4" s="153"/>
    </row>
    <row r="5" spans="1:529" ht="26.25" customHeight="1" x14ac:dyDescent="0.25">
      <c r="K5" s="132"/>
      <c r="L5" s="123" t="s">
        <v>456</v>
      </c>
      <c r="M5" s="123"/>
      <c r="N5" s="123"/>
      <c r="O5" s="123"/>
      <c r="P5" s="123"/>
    </row>
    <row r="6" spans="1:529" ht="23.25" customHeight="1" x14ac:dyDescent="0.25">
      <c r="K6" s="135"/>
      <c r="L6" s="123" t="s">
        <v>461</v>
      </c>
      <c r="M6" s="123"/>
      <c r="N6" s="123"/>
      <c r="O6" s="123"/>
      <c r="P6" s="123"/>
    </row>
    <row r="7" spans="1:529" ht="26.25" customHeight="1" x14ac:dyDescent="0.25">
      <c r="K7" s="115"/>
      <c r="L7" s="123" t="s">
        <v>471</v>
      </c>
      <c r="M7" s="123"/>
      <c r="N7" s="123"/>
      <c r="O7" s="123"/>
      <c r="P7" s="123"/>
      <c r="Q7" s="115"/>
    </row>
    <row r="8" spans="1:529" ht="26.25" customHeight="1" x14ac:dyDescent="0.25">
      <c r="K8" s="149"/>
      <c r="L8" s="149" t="s">
        <v>460</v>
      </c>
      <c r="M8" s="149"/>
      <c r="N8" s="149"/>
      <c r="O8" s="149"/>
      <c r="P8" s="149"/>
      <c r="Q8" s="149"/>
    </row>
    <row r="9" spans="1:529" ht="26.25" x14ac:dyDescent="0.4">
      <c r="L9" s="113" t="s">
        <v>475</v>
      </c>
      <c r="M9" s="113"/>
      <c r="N9" s="113"/>
      <c r="O9" s="113"/>
      <c r="P9" s="113"/>
    </row>
    <row r="10" spans="1:529" ht="26.25" x14ac:dyDescent="0.4">
      <c r="L10" s="113"/>
      <c r="M10" s="113"/>
      <c r="N10" s="113"/>
      <c r="O10" s="113"/>
      <c r="P10" s="113"/>
    </row>
    <row r="11" spans="1:529" s="56" customFormat="1" ht="59.25" customHeight="1" x14ac:dyDescent="0.3">
      <c r="A11" s="156" t="s">
        <v>418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2" customHeight="1" x14ac:dyDescent="0.3">
      <c r="A12" s="136" t="s">
        <v>424</v>
      </c>
      <c r="B12" s="136"/>
      <c r="C12" s="120"/>
      <c r="D12" s="120"/>
      <c r="E12" s="120"/>
      <c r="F12" s="120"/>
      <c r="G12" s="120"/>
      <c r="H12" s="120"/>
      <c r="I12" s="120"/>
      <c r="J12" s="120"/>
      <c r="K12" s="97"/>
      <c r="L12" s="97"/>
      <c r="M12" s="97"/>
      <c r="N12" s="97"/>
      <c r="O12" s="97"/>
      <c r="P12" s="97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6" customFormat="1" ht="31.5" customHeight="1" x14ac:dyDescent="0.3">
      <c r="A13" s="137" t="s">
        <v>472</v>
      </c>
      <c r="B13" s="137"/>
      <c r="C13" s="120"/>
      <c r="D13" s="120"/>
      <c r="E13" s="120"/>
      <c r="F13" s="120"/>
      <c r="G13" s="120"/>
      <c r="H13" s="120"/>
      <c r="I13" s="120"/>
      <c r="J13" s="120"/>
      <c r="K13" s="97"/>
      <c r="L13" s="97"/>
      <c r="M13" s="97"/>
      <c r="N13" s="97"/>
      <c r="O13" s="97"/>
      <c r="P13" s="97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</row>
    <row r="14" spans="1:529" s="58" customFormat="1" ht="14.25" customHeight="1" x14ac:dyDescent="0.3">
      <c r="A14" s="86"/>
      <c r="B14" s="63"/>
      <c r="C14" s="63"/>
      <c r="D14" s="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22" t="s">
        <v>420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</row>
    <row r="15" spans="1:529" s="21" customFormat="1" ht="34.5" customHeight="1" x14ac:dyDescent="0.2">
      <c r="A15" s="157" t="s">
        <v>397</v>
      </c>
      <c r="B15" s="151" t="s">
        <v>398</v>
      </c>
      <c r="C15" s="151" t="s">
        <v>384</v>
      </c>
      <c r="D15" s="151" t="s">
        <v>399</v>
      </c>
      <c r="E15" s="151" t="s">
        <v>265</v>
      </c>
      <c r="F15" s="151"/>
      <c r="G15" s="151"/>
      <c r="H15" s="151"/>
      <c r="I15" s="151"/>
      <c r="J15" s="151" t="s">
        <v>266</v>
      </c>
      <c r="K15" s="151"/>
      <c r="L15" s="151"/>
      <c r="M15" s="151"/>
      <c r="N15" s="151"/>
      <c r="O15" s="151"/>
      <c r="P15" s="151" t="s">
        <v>267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57"/>
      <c r="B16" s="151"/>
      <c r="C16" s="151"/>
      <c r="D16" s="151"/>
      <c r="E16" s="151" t="s">
        <v>385</v>
      </c>
      <c r="F16" s="151" t="s">
        <v>268</v>
      </c>
      <c r="G16" s="151" t="s">
        <v>269</v>
      </c>
      <c r="H16" s="151"/>
      <c r="I16" s="151" t="s">
        <v>270</v>
      </c>
      <c r="J16" s="151" t="s">
        <v>385</v>
      </c>
      <c r="K16" s="151" t="s">
        <v>386</v>
      </c>
      <c r="L16" s="151" t="s">
        <v>268</v>
      </c>
      <c r="M16" s="151" t="s">
        <v>269</v>
      </c>
      <c r="N16" s="151"/>
      <c r="O16" s="151" t="s">
        <v>270</v>
      </c>
      <c r="P16" s="15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54" customHeight="1" x14ac:dyDescent="0.2">
      <c r="A17" s="157"/>
      <c r="B17" s="151"/>
      <c r="C17" s="151"/>
      <c r="D17" s="151"/>
      <c r="E17" s="151"/>
      <c r="F17" s="151"/>
      <c r="G17" s="121" t="s">
        <v>271</v>
      </c>
      <c r="H17" s="121" t="s">
        <v>272</v>
      </c>
      <c r="I17" s="151"/>
      <c r="J17" s="151"/>
      <c r="K17" s="151"/>
      <c r="L17" s="151"/>
      <c r="M17" s="79" t="s">
        <v>271</v>
      </c>
      <c r="N17" s="79" t="s">
        <v>272</v>
      </c>
      <c r="O17" s="151"/>
      <c r="P17" s="15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87" t="s">
        <v>180</v>
      </c>
      <c r="B18" s="65"/>
      <c r="C18" s="65"/>
      <c r="D18" s="32" t="s">
        <v>48</v>
      </c>
      <c r="E18" s="66">
        <f>E19</f>
        <v>202148803</v>
      </c>
      <c r="F18" s="66">
        <f t="shared" ref="F18:J18" si="0">F19</f>
        <v>174148803</v>
      </c>
      <c r="G18" s="66">
        <f t="shared" si="0"/>
        <v>93472381</v>
      </c>
      <c r="H18" s="66">
        <f t="shared" si="0"/>
        <v>5289300</v>
      </c>
      <c r="I18" s="66">
        <f t="shared" si="0"/>
        <v>28000000</v>
      </c>
      <c r="J18" s="66">
        <f t="shared" si="0"/>
        <v>34719593.200000003</v>
      </c>
      <c r="K18" s="66">
        <f t="shared" ref="K18" si="1">K19</f>
        <v>34202750</v>
      </c>
      <c r="L18" s="66">
        <f t="shared" ref="L18" si="2">L19</f>
        <v>516843.2</v>
      </c>
      <c r="M18" s="66">
        <f t="shared" ref="M18" si="3">M19</f>
        <v>91105</v>
      </c>
      <c r="N18" s="66">
        <f t="shared" ref="N18" si="4">N19</f>
        <v>52450</v>
      </c>
      <c r="O18" s="66">
        <f t="shared" ref="O18:P18" si="5">O19</f>
        <v>34202750</v>
      </c>
      <c r="P18" s="66">
        <f t="shared" si="5"/>
        <v>236868396.19999999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19.5" customHeight="1" x14ac:dyDescent="0.25">
      <c r="A19" s="77" t="s">
        <v>181</v>
      </c>
      <c r="B19" s="67"/>
      <c r="C19" s="67"/>
      <c r="D19" s="33" t="s">
        <v>48</v>
      </c>
      <c r="E19" s="68">
        <f>E20+E21+E22+E23+E24+E25+E26+E27+E28+E29+E30+E31+E32+E33+E34+E35+E36+E37+E38+E41+E42+E43+E44+E45+E46+E47+E48+E49+E50+E51+E39+E40+E52</f>
        <v>202148803</v>
      </c>
      <c r="F19" s="68">
        <f>F20+F21+F22+F23+F24+F25+F26+F27+F28+F29+F30+F31+F32+F33+F34+F35+F36+F37+F38+F41+F42+F43+F44+F45+F46+F47+F48+F49+F50+F51+F39+F40+F52</f>
        <v>174148803</v>
      </c>
      <c r="G19" s="68">
        <f t="shared" ref="G19:P19" si="6">G20+G21+G22+G23+G24+G25+G26+G27+G28+G29+G30+G31+G32+G33+G34+G35+G36+G37+G38+G41+G42+G43+G44+G45+G46+G47+G48+G49+G50+G51+G39+G40+G52</f>
        <v>93472381</v>
      </c>
      <c r="H19" s="68">
        <f t="shared" si="6"/>
        <v>5289300</v>
      </c>
      <c r="I19" s="68">
        <f t="shared" si="6"/>
        <v>28000000</v>
      </c>
      <c r="J19" s="68">
        <f t="shared" si="6"/>
        <v>34719593.200000003</v>
      </c>
      <c r="K19" s="68">
        <f t="shared" si="6"/>
        <v>34202750</v>
      </c>
      <c r="L19" s="68">
        <f t="shared" si="6"/>
        <v>516843.2</v>
      </c>
      <c r="M19" s="68">
        <f t="shared" si="6"/>
        <v>91105</v>
      </c>
      <c r="N19" s="68">
        <f t="shared" si="6"/>
        <v>52450</v>
      </c>
      <c r="O19" s="68">
        <f t="shared" si="6"/>
        <v>34202750</v>
      </c>
      <c r="P19" s="68">
        <f t="shared" si="6"/>
        <v>236868396.19999999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23" customFormat="1" ht="46.5" customHeight="1" x14ac:dyDescent="0.25">
      <c r="A20" s="43" t="s">
        <v>182</v>
      </c>
      <c r="B20" s="44" t="str">
        <f>'дод 3'!A20</f>
        <v>0160</v>
      </c>
      <c r="C20" s="44" t="str">
        <f>'дод 3'!B20</f>
        <v>0111</v>
      </c>
      <c r="D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0" s="69">
        <f t="shared" ref="E20:E52" si="7">F20+I20</f>
        <v>100341282</v>
      </c>
      <c r="F20" s="69">
        <f>105070300+350000+405400-4697800+243482-1103300+14800-213000+230000+41400</f>
        <v>100341282</v>
      </c>
      <c r="G20" s="69">
        <f>77144000-3850700+199575-174600+188526</f>
        <v>73506801</v>
      </c>
      <c r="H20" s="69">
        <v>2750400</v>
      </c>
      <c r="I20" s="69"/>
      <c r="J20" s="69">
        <f>L20+O20</f>
        <v>1230200</v>
      </c>
      <c r="K20" s="69">
        <v>1230200</v>
      </c>
      <c r="L20" s="69"/>
      <c r="M20" s="69"/>
      <c r="N20" s="69"/>
      <c r="O20" s="69">
        <v>1230200</v>
      </c>
      <c r="P20" s="69">
        <f t="shared" ref="P20:P52" si="8">E20+J20</f>
        <v>101571482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21.75" customHeight="1" x14ac:dyDescent="0.25">
      <c r="A21" s="43" t="s">
        <v>283</v>
      </c>
      <c r="B21" s="44" t="str">
        <f>'дод 3'!A21</f>
        <v>0180</v>
      </c>
      <c r="C21" s="44" t="str">
        <f>'дод 3'!B21</f>
        <v>0133</v>
      </c>
      <c r="D21" s="24" t="str">
        <f>'дод 3'!C21</f>
        <v>Інша діяльність у сфері державного управління</v>
      </c>
      <c r="E21" s="69">
        <f t="shared" si="7"/>
        <v>310000</v>
      </c>
      <c r="F21" s="69">
        <v>310000</v>
      </c>
      <c r="G21" s="69"/>
      <c r="H21" s="69"/>
      <c r="I21" s="69"/>
      <c r="J21" s="69">
        <f t="shared" ref="J21:J52" si="9">L21+O21</f>
        <v>0</v>
      </c>
      <c r="K21" s="69"/>
      <c r="L21" s="69"/>
      <c r="M21" s="69"/>
      <c r="N21" s="69"/>
      <c r="O21" s="69"/>
      <c r="P21" s="69">
        <f t="shared" si="8"/>
        <v>310000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43.5" customHeight="1" x14ac:dyDescent="0.25">
      <c r="A22" s="43" t="s">
        <v>299</v>
      </c>
      <c r="B22" s="44" t="str">
        <f>'дод 3'!A56</f>
        <v>3033</v>
      </c>
      <c r="C22" s="44" t="str">
        <f>'дод 3'!B56</f>
        <v>1070</v>
      </c>
      <c r="D22" s="24" t="str">
        <f>'дод 3'!C56</f>
        <v>Компенсаційні виплати на пільговий проїзд автомобільним транспортом окремим категоріям громадян</v>
      </c>
      <c r="E22" s="69">
        <f t="shared" si="7"/>
        <v>124200</v>
      </c>
      <c r="F22" s="69">
        <v>124200</v>
      </c>
      <c r="G22" s="69"/>
      <c r="H22" s="69"/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124200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6.75" customHeight="1" x14ac:dyDescent="0.25">
      <c r="A23" s="43" t="s">
        <v>183</v>
      </c>
      <c r="B23" s="44" t="str">
        <f>'дод 3'!A58</f>
        <v>3036</v>
      </c>
      <c r="C23" s="44" t="str">
        <f>'дод 3'!B58</f>
        <v>1070</v>
      </c>
      <c r="D23" s="24" t="str">
        <f>'дод 3'!C58</f>
        <v>Компенсаційні виплати на пільговий проїзд електротранспортом окремим категоріям громадян</v>
      </c>
      <c r="E23" s="69">
        <f t="shared" si="7"/>
        <v>270325</v>
      </c>
      <c r="F23" s="69">
        <v>270325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270325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" customHeight="1" x14ac:dyDescent="0.25">
      <c r="A24" s="43" t="s">
        <v>184</v>
      </c>
      <c r="B24" s="44" t="str">
        <f>'дод 3'!A64</f>
        <v>3121</v>
      </c>
      <c r="C24" s="44" t="str">
        <f>'дод 3'!B64</f>
        <v>1040</v>
      </c>
      <c r="D24" s="24" t="str">
        <f>'дод 3'!C64</f>
        <v>Утримання та забезпечення діяльності центрів соціальних служб для сім’ї, дітей та молоді</v>
      </c>
      <c r="E24" s="69">
        <f t="shared" si="7"/>
        <v>2529735</v>
      </c>
      <c r="F24" s="69">
        <f>2487735+42000</f>
        <v>2529735</v>
      </c>
      <c r="G24" s="69">
        <v>1883250</v>
      </c>
      <c r="H24" s="69">
        <v>50170</v>
      </c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2529735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48.75" customHeight="1" x14ac:dyDescent="0.25">
      <c r="A25" s="43" t="s">
        <v>185</v>
      </c>
      <c r="B25" s="44" t="str">
        <f>'дод 3'!A65</f>
        <v>3131</v>
      </c>
      <c r="C25" s="44" t="str">
        <f>'дод 3'!B65</f>
        <v>1040</v>
      </c>
      <c r="D25" s="24" t="str">
        <f>'дод 3'!C65</f>
        <v>Здійснення заходів та реалізація проектів на виконання Державної цільової соціальної програми "Молодь України"</v>
      </c>
      <c r="E25" s="69">
        <f t="shared" si="7"/>
        <v>850000</v>
      </c>
      <c r="F25" s="69">
        <v>850000</v>
      </c>
      <c r="G25" s="69"/>
      <c r="H25" s="69"/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850000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60" customHeight="1" x14ac:dyDescent="0.25">
      <c r="A26" s="43" t="s">
        <v>186</v>
      </c>
      <c r="B26" s="44" t="str">
        <f>'дод 3'!A66</f>
        <v>3140</v>
      </c>
      <c r="C26" s="44" t="str">
        <f>'дод 3'!B66</f>
        <v>1040</v>
      </c>
      <c r="D26" s="24" t="str">
        <f>'дод 3'!C66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9">
        <f t="shared" si="7"/>
        <v>560000</v>
      </c>
      <c r="F26" s="69">
        <v>560000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560000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7.5" customHeight="1" x14ac:dyDescent="0.25">
      <c r="A27" s="43" t="s">
        <v>355</v>
      </c>
      <c r="B27" s="44" t="str">
        <f>'дод 3'!A75</f>
        <v>3241</v>
      </c>
      <c r="C27" s="44" t="str">
        <f>'дод 3'!B75</f>
        <v>1090</v>
      </c>
      <c r="D27" s="24" t="str">
        <f>'дод 3'!C75</f>
        <v>Забезпечення діяльності інших закладів у сфері соціального захисту і соціального забезпечення</v>
      </c>
      <c r="E27" s="69">
        <f t="shared" si="7"/>
        <v>1198395</v>
      </c>
      <c r="F27" s="69">
        <v>1198395</v>
      </c>
      <c r="G27" s="69">
        <v>852910</v>
      </c>
      <c r="H27" s="69">
        <v>114300</v>
      </c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1198395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3.75" customHeight="1" x14ac:dyDescent="0.25">
      <c r="A28" s="43" t="s">
        <v>356</v>
      </c>
      <c r="B28" s="44" t="str">
        <f>'дод 3'!A76</f>
        <v>3242</v>
      </c>
      <c r="C28" s="44" t="str">
        <f>'дод 3'!B76</f>
        <v>1090</v>
      </c>
      <c r="D28" s="24" t="str">
        <f>'дод 3'!C76</f>
        <v>Інші заходи у сфері соціального захисту і соціального забезпечення</v>
      </c>
      <c r="E28" s="69">
        <f t="shared" si="7"/>
        <v>218310</v>
      </c>
      <c r="F28" s="69">
        <v>218310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218310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375</v>
      </c>
      <c r="B29" s="44" t="str">
        <f>'дод 3'!A79</f>
        <v>4060</v>
      </c>
      <c r="C29" s="44" t="str">
        <f>'дод 3'!B79</f>
        <v>0828</v>
      </c>
      <c r="D29" s="24" t="str">
        <f>'дод 3'!C79</f>
        <v>Забезпечення діяльності палаців i будинків культури, клубів, центрів дозвілля та iнших клубних закладів</v>
      </c>
      <c r="E29" s="69">
        <f t="shared" si="7"/>
        <v>4644900</v>
      </c>
      <c r="F29" s="70">
        <f>4745000-150000+49900</f>
        <v>4644900</v>
      </c>
      <c r="G29" s="69">
        <v>2098000</v>
      </c>
      <c r="H29" s="69">
        <v>727600</v>
      </c>
      <c r="I29" s="69"/>
      <c r="J29" s="69">
        <f t="shared" si="9"/>
        <v>25500</v>
      </c>
      <c r="K29" s="69">
        <v>25500</v>
      </c>
      <c r="L29" s="69"/>
      <c r="M29" s="69"/>
      <c r="N29" s="69"/>
      <c r="O29" s="69">
        <v>25500</v>
      </c>
      <c r="P29" s="69">
        <f t="shared" si="8"/>
        <v>4670400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0.75" customHeight="1" x14ac:dyDescent="0.25">
      <c r="A30" s="43" t="s">
        <v>353</v>
      </c>
      <c r="B30" s="44" t="str">
        <f>'дод 3'!A80</f>
        <v>4081</v>
      </c>
      <c r="C30" s="44" t="str">
        <f>'дод 3'!B80</f>
        <v>0829</v>
      </c>
      <c r="D30" s="24" t="str">
        <f>'дод 3'!C80</f>
        <v>Забезпечення діяльності інших закладів в галузі культури і мистецтва</v>
      </c>
      <c r="E30" s="69">
        <f t="shared" si="7"/>
        <v>3437900</v>
      </c>
      <c r="F30" s="69">
        <f>2374900+300000+276000+150000+337000</f>
        <v>3437900</v>
      </c>
      <c r="G30" s="69">
        <v>1389000</v>
      </c>
      <c r="H30" s="69">
        <v>91200</v>
      </c>
      <c r="I30" s="69"/>
      <c r="J30" s="69">
        <f t="shared" si="9"/>
        <v>224000</v>
      </c>
      <c r="K30" s="69">
        <v>224000</v>
      </c>
      <c r="L30" s="69"/>
      <c r="M30" s="69"/>
      <c r="N30" s="69"/>
      <c r="O30" s="69">
        <v>224000</v>
      </c>
      <c r="P30" s="69">
        <f t="shared" si="8"/>
        <v>3661900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25.5" customHeight="1" x14ac:dyDescent="0.25">
      <c r="A31" s="43" t="s">
        <v>354</v>
      </c>
      <c r="B31" s="44" t="str">
        <f>'дод 3'!A81</f>
        <v>4082</v>
      </c>
      <c r="C31" s="44" t="str">
        <f>'дод 3'!B81</f>
        <v>0829</v>
      </c>
      <c r="D31" s="24" t="str">
        <f>'дод 3'!C81</f>
        <v>Інші заходи в галузі культури і мистецтва</v>
      </c>
      <c r="E31" s="69">
        <f t="shared" si="7"/>
        <v>465000</v>
      </c>
      <c r="F31" s="69">
        <v>465000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465000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6.75" customHeight="1" x14ac:dyDescent="0.25">
      <c r="A32" s="52" t="s">
        <v>187</v>
      </c>
      <c r="B32" s="45" t="str">
        <f>'дод 3'!A83</f>
        <v>5011</v>
      </c>
      <c r="C32" s="45" t="str">
        <f>'дод 3'!B83</f>
        <v>0810</v>
      </c>
      <c r="D32" s="22" t="str">
        <f>'дод 3'!C83</f>
        <v>Проведення навчально-тренувальних зборів і змагань з олімпійських видів спорту</v>
      </c>
      <c r="E32" s="69">
        <f t="shared" si="7"/>
        <v>1761000</v>
      </c>
      <c r="F32" s="69">
        <f>750000+1000000+11000</f>
        <v>1761000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1761000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4.5" customHeight="1" x14ac:dyDescent="0.25">
      <c r="A33" s="52" t="s">
        <v>188</v>
      </c>
      <c r="B33" s="45" t="str">
        <f>'дод 3'!A84</f>
        <v>5012</v>
      </c>
      <c r="C33" s="45" t="str">
        <f>'дод 3'!B84</f>
        <v>0810</v>
      </c>
      <c r="D33" s="22" t="str">
        <f>'дод 3'!C84</f>
        <v>Проведення навчально-тренувальних зборів і змагань з неолімпійських видів спорту</v>
      </c>
      <c r="E33" s="69">
        <f t="shared" si="7"/>
        <v>2275000</v>
      </c>
      <c r="F33" s="69">
        <f>750000+1300000+127000+98000</f>
        <v>2275000</v>
      </c>
      <c r="G33" s="69"/>
      <c r="H33" s="69"/>
      <c r="I33" s="69"/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2275000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9" customHeight="1" x14ac:dyDescent="0.25">
      <c r="A34" s="52" t="s">
        <v>189</v>
      </c>
      <c r="B34" s="45" t="str">
        <f>'дод 3'!A85</f>
        <v>5031</v>
      </c>
      <c r="C34" s="45" t="str">
        <f>'дод 3'!B85</f>
        <v>0810</v>
      </c>
      <c r="D34" s="22" t="str">
        <f>'дод 3'!C85</f>
        <v>Утримання та навчально-тренувальна робота комунальних дитячо-юнацьких спортивних шкіл</v>
      </c>
      <c r="E34" s="69">
        <f t="shared" si="7"/>
        <v>13555830</v>
      </c>
      <c r="F34" s="69">
        <f>13106830+37000+412000</f>
        <v>13555830</v>
      </c>
      <c r="G34" s="69">
        <v>9753300</v>
      </c>
      <c r="H34" s="69">
        <v>819990</v>
      </c>
      <c r="I34" s="69">
        <v>0</v>
      </c>
      <c r="J34" s="69">
        <f t="shared" si="9"/>
        <v>728000</v>
      </c>
      <c r="K34" s="69">
        <f>500000+228000</f>
        <v>728000</v>
      </c>
      <c r="L34" s="69"/>
      <c r="M34" s="69"/>
      <c r="N34" s="69"/>
      <c r="O34" s="69">
        <f>500000+228000</f>
        <v>728000</v>
      </c>
      <c r="P34" s="69">
        <f t="shared" si="8"/>
        <v>14283830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3.75" customHeight="1" x14ac:dyDescent="0.25">
      <c r="A35" s="52" t="s">
        <v>419</v>
      </c>
      <c r="B35" s="45" t="str">
        <f>'дод 3'!A86</f>
        <v>5032</v>
      </c>
      <c r="C35" s="45" t="str">
        <f>'дод 3'!B86</f>
        <v>0810</v>
      </c>
      <c r="D35" s="22" t="str">
        <f>'дод 3'!C86</f>
        <v>Фінансова підтримка дитячо-юнацьких спортивних шкіл фізкультурно-спортивних товариств</v>
      </c>
      <c r="E35" s="69">
        <f t="shared" si="7"/>
        <v>11346630</v>
      </c>
      <c r="F35" s="69">
        <f>11143630+20000+143000+40000</f>
        <v>11346630</v>
      </c>
      <c r="G35" s="69"/>
      <c r="H35" s="69"/>
      <c r="I35" s="69"/>
      <c r="J35" s="69">
        <f t="shared" si="9"/>
        <v>130000</v>
      </c>
      <c r="K35" s="69">
        <f>93000+7000+30000</f>
        <v>130000</v>
      </c>
      <c r="L35" s="69"/>
      <c r="M35" s="69"/>
      <c r="N35" s="69"/>
      <c r="O35" s="69">
        <f>93000+7000+30000</f>
        <v>130000</v>
      </c>
      <c r="P35" s="69">
        <f t="shared" si="8"/>
        <v>11476630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48" customHeight="1" x14ac:dyDescent="0.25">
      <c r="A36" s="52" t="s">
        <v>190</v>
      </c>
      <c r="B36" s="45" t="str">
        <f>'дод 3'!A87</f>
        <v>5061</v>
      </c>
      <c r="C36" s="45" t="str">
        <f>'дод 3'!B87</f>
        <v>0810</v>
      </c>
      <c r="D36" s="22" t="str">
        <f>'дод 3'!C87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9">
        <f t="shared" si="7"/>
        <v>3943120</v>
      </c>
      <c r="F36" s="69">
        <f>3728120+165000+50000</f>
        <v>3943120</v>
      </c>
      <c r="G36" s="69">
        <v>2446900</v>
      </c>
      <c r="H36" s="69">
        <v>370100</v>
      </c>
      <c r="I36" s="69"/>
      <c r="J36" s="69">
        <f t="shared" si="9"/>
        <v>1079120</v>
      </c>
      <c r="K36" s="69">
        <v>900000</v>
      </c>
      <c r="L36" s="69">
        <v>179120</v>
      </c>
      <c r="M36" s="69">
        <v>91105</v>
      </c>
      <c r="N36" s="69">
        <v>51050</v>
      </c>
      <c r="O36" s="69">
        <v>900000</v>
      </c>
      <c r="P36" s="69">
        <f t="shared" si="8"/>
        <v>5022240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9" customHeight="1" x14ac:dyDescent="0.25">
      <c r="A37" s="52" t="s">
        <v>410</v>
      </c>
      <c r="B37" s="45" t="str">
        <f>'дод 3'!A88</f>
        <v>5062</v>
      </c>
      <c r="C37" s="45" t="str">
        <f>'дод 3'!B88</f>
        <v>0810</v>
      </c>
      <c r="D37" s="22" t="str">
        <f>'дод 3'!C88</f>
        <v>Підтримка спорту вищих досягнень та організацій, які здійснюють фізкультурно-спортивну діяльність в регіоні</v>
      </c>
      <c r="E37" s="69">
        <f t="shared" si="7"/>
        <v>7093390</v>
      </c>
      <c r="F37" s="69">
        <f>6608390+200000+215000+65000+5000</f>
        <v>7093390</v>
      </c>
      <c r="G37" s="69"/>
      <c r="H37" s="69"/>
      <c r="I37" s="69"/>
      <c r="J37" s="69">
        <f t="shared" si="9"/>
        <v>43450</v>
      </c>
      <c r="K37" s="69">
        <v>43450</v>
      </c>
      <c r="L37" s="69"/>
      <c r="M37" s="69"/>
      <c r="N37" s="69"/>
      <c r="O37" s="69">
        <v>43450</v>
      </c>
      <c r="P37" s="69">
        <f t="shared" si="8"/>
        <v>7136840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24" customHeight="1" x14ac:dyDescent="0.25">
      <c r="A38" s="52" t="s">
        <v>191</v>
      </c>
      <c r="B38" s="45" t="str">
        <f>'дод 3'!A116</f>
        <v>7412</v>
      </c>
      <c r="C38" s="45" t="str">
        <f>'дод 3'!B116</f>
        <v>0451</v>
      </c>
      <c r="D38" s="22" t="str">
        <f>'дод 3'!C116</f>
        <v>Регулювання цін на послуги місцевого автотранспорту</v>
      </c>
      <c r="E38" s="69">
        <f t="shared" si="7"/>
        <v>10000000</v>
      </c>
      <c r="F38" s="69"/>
      <c r="G38" s="69"/>
      <c r="H38" s="69"/>
      <c r="I38" s="69">
        <v>10000000</v>
      </c>
      <c r="J38" s="69">
        <f t="shared" si="9"/>
        <v>0</v>
      </c>
      <c r="K38" s="69"/>
      <c r="L38" s="69"/>
      <c r="M38" s="69"/>
      <c r="N38" s="69"/>
      <c r="O38" s="69"/>
      <c r="P38" s="69">
        <f t="shared" si="8"/>
        <v>10000000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24" customHeight="1" x14ac:dyDescent="0.25">
      <c r="A39" s="52" t="s">
        <v>464</v>
      </c>
      <c r="B39" s="45">
        <f>'дод 3'!A117</f>
        <v>7413</v>
      </c>
      <c r="C39" s="45" t="str">
        <f>'дод 3'!B117</f>
        <v>0451</v>
      </c>
      <c r="D39" s="150" t="str">
        <f>'дод 3'!C117</f>
        <v>Інші заходи у сфері автотранспорту</v>
      </c>
      <c r="E39" s="69">
        <f t="shared" si="7"/>
        <v>2800000</v>
      </c>
      <c r="F39" s="69"/>
      <c r="G39" s="69"/>
      <c r="H39" s="69"/>
      <c r="I39" s="69">
        <v>2800000</v>
      </c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2800000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24" customHeight="1" x14ac:dyDescent="0.25">
      <c r="A40" s="52" t="s">
        <v>465</v>
      </c>
      <c r="B40" s="45">
        <f>'дод 3'!A118</f>
        <v>7426</v>
      </c>
      <c r="C40" s="45">
        <f>'дод 3'!B118</f>
        <v>453</v>
      </c>
      <c r="D40" s="150" t="str">
        <f>'дод 3'!C118</f>
        <v>Інші заходи у сфері електротранспорту</v>
      </c>
      <c r="E40" s="69">
        <f t="shared" si="7"/>
        <v>15200000</v>
      </c>
      <c r="F40" s="69"/>
      <c r="G40" s="69"/>
      <c r="H40" s="69"/>
      <c r="I40" s="69">
        <v>15200000</v>
      </c>
      <c r="J40" s="69">
        <f t="shared" si="9"/>
        <v>0</v>
      </c>
      <c r="K40" s="69"/>
      <c r="L40" s="69"/>
      <c r="M40" s="69"/>
      <c r="N40" s="69"/>
      <c r="O40" s="69"/>
      <c r="P40" s="69">
        <f t="shared" si="8"/>
        <v>15200000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1.5" customHeight="1" x14ac:dyDescent="0.25">
      <c r="A41" s="52" t="s">
        <v>275</v>
      </c>
      <c r="B41" s="45" t="str">
        <f>'дод 3'!A122</f>
        <v>7530</v>
      </c>
      <c r="C41" s="45" t="str">
        <f>'дод 3'!B122</f>
        <v>0460</v>
      </c>
      <c r="D41" s="22" t="str">
        <f>'дод 3'!C122</f>
        <v>Інші заходи у сфері зв'язку, телекомунікації та інформатики</v>
      </c>
      <c r="E41" s="69">
        <f t="shared" si="7"/>
        <v>13450000</v>
      </c>
      <c r="F41" s="69">
        <f>10000000+3450000</f>
        <v>13450000</v>
      </c>
      <c r="G41" s="69"/>
      <c r="H41" s="69"/>
      <c r="I41" s="69"/>
      <c r="J41" s="69">
        <f t="shared" si="9"/>
        <v>6050000</v>
      </c>
      <c r="K41" s="69">
        <f>5000000+1050000</f>
        <v>6050000</v>
      </c>
      <c r="L41" s="69"/>
      <c r="M41" s="69"/>
      <c r="N41" s="69"/>
      <c r="O41" s="69">
        <f>5000000+1050000</f>
        <v>6050000</v>
      </c>
      <c r="P41" s="69">
        <f t="shared" si="8"/>
        <v>19500000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0.25" customHeight="1" x14ac:dyDescent="0.25">
      <c r="A42" s="52" t="s">
        <v>192</v>
      </c>
      <c r="B42" s="45" t="str">
        <f>'дод 3'!A124</f>
        <v>7610</v>
      </c>
      <c r="C42" s="45" t="str">
        <f>'дод 3'!B124</f>
        <v>0411</v>
      </c>
      <c r="D42" s="22" t="str">
        <f>'дод 3'!C124</f>
        <v>Сприяння розвитку малого та середнього підприємництва</v>
      </c>
      <c r="E42" s="69">
        <f t="shared" si="7"/>
        <v>215000</v>
      </c>
      <c r="F42" s="69">
        <f>115000+100000</f>
        <v>215000</v>
      </c>
      <c r="G42" s="69"/>
      <c r="H42" s="69"/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215000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3.25" customHeight="1" x14ac:dyDescent="0.25">
      <c r="A43" s="52" t="s">
        <v>193</v>
      </c>
      <c r="B43" s="45" t="str">
        <f>'дод 3'!A128</f>
        <v>7670</v>
      </c>
      <c r="C43" s="45" t="str">
        <f>'дод 3'!B128</f>
        <v>0490</v>
      </c>
      <c r="D43" s="22" t="str">
        <f>'дод 3'!C128</f>
        <v>Внески до статутного капіталу суб’єктів господарювання</v>
      </c>
      <c r="E43" s="69">
        <f t="shared" si="7"/>
        <v>0</v>
      </c>
      <c r="F43" s="69"/>
      <c r="G43" s="69"/>
      <c r="H43" s="69"/>
      <c r="I43" s="69"/>
      <c r="J43" s="69">
        <f t="shared" si="9"/>
        <v>22572000</v>
      </c>
      <c r="K43" s="69">
        <f>22572000</f>
        <v>22572000</v>
      </c>
      <c r="L43" s="69"/>
      <c r="M43" s="69"/>
      <c r="N43" s="69"/>
      <c r="O43" s="69">
        <f>22572000</f>
        <v>22572000</v>
      </c>
      <c r="P43" s="69">
        <f t="shared" si="8"/>
        <v>22572000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6.75" customHeight="1" x14ac:dyDescent="0.25">
      <c r="A44" s="52" t="s">
        <v>289</v>
      </c>
      <c r="B44" s="45" t="str">
        <f>'дод 3'!A129</f>
        <v>7680</v>
      </c>
      <c r="C44" s="45" t="str">
        <f>'дод 3'!B129</f>
        <v>0490</v>
      </c>
      <c r="D44" s="22" t="str">
        <f>'дод 3'!C129</f>
        <v>Членські внески до асоціацій органів місцевого самоврядування</v>
      </c>
      <c r="E44" s="69">
        <f t="shared" si="7"/>
        <v>241467</v>
      </c>
      <c r="F44" s="69">
        <f>158069+82000+1715-317</f>
        <v>241467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241467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87" customHeight="1" x14ac:dyDescent="0.25">
      <c r="A45" s="52" t="s">
        <v>351</v>
      </c>
      <c r="B45" s="45" t="str">
        <f>'дод 3'!A130</f>
        <v>7691</v>
      </c>
      <c r="C45" s="45" t="str">
        <f>'дод 3'!B130</f>
        <v>0490</v>
      </c>
      <c r="D45" s="22" t="str">
        <f>'дод 3'!C130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9">
        <f t="shared" si="7"/>
        <v>0</v>
      </c>
      <c r="F45" s="69"/>
      <c r="G45" s="69"/>
      <c r="H45" s="69"/>
      <c r="I45" s="69"/>
      <c r="J45" s="69">
        <f t="shared" si="9"/>
        <v>68223.199999999997</v>
      </c>
      <c r="K45" s="69"/>
      <c r="L45" s="69">
        <f>64711+3512.2</f>
        <v>68223.199999999997</v>
      </c>
      <c r="M45" s="69"/>
      <c r="N45" s="69"/>
      <c r="O45" s="69"/>
      <c r="P45" s="69">
        <f t="shared" si="8"/>
        <v>68223.199999999997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282</v>
      </c>
      <c r="B46" s="45" t="str">
        <f>'дод 3'!A131</f>
        <v>7693</v>
      </c>
      <c r="C46" s="45" t="str">
        <f>'дод 3'!B131</f>
        <v>0490</v>
      </c>
      <c r="D46" s="22" t="str">
        <f>'дод 3'!C131</f>
        <v>Інші заходи, пов'язані з економічною діяльністю</v>
      </c>
      <c r="E46" s="69">
        <f t="shared" si="7"/>
        <v>1869189</v>
      </c>
      <c r="F46" s="69">
        <f>1617587+250000+3000-1398</f>
        <v>1869189</v>
      </c>
      <c r="G46" s="69"/>
      <c r="H46" s="69"/>
      <c r="I46" s="69"/>
      <c r="J46" s="69">
        <f t="shared" si="9"/>
        <v>0</v>
      </c>
      <c r="K46" s="69"/>
      <c r="L46" s="69"/>
      <c r="M46" s="69"/>
      <c r="N46" s="69"/>
      <c r="O46" s="69"/>
      <c r="P46" s="69">
        <f t="shared" si="8"/>
        <v>1869189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4.5" customHeight="1" x14ac:dyDescent="0.25">
      <c r="A47" s="52" t="s">
        <v>194</v>
      </c>
      <c r="B47" s="45" t="str">
        <f>'дод 3'!A136</f>
        <v>8110</v>
      </c>
      <c r="C47" s="45" t="str">
        <f>'дод 3'!B136</f>
        <v>0320</v>
      </c>
      <c r="D47" s="22" t="str">
        <f>'дод 3'!C136</f>
        <v>Заходи із запобігання та ліквідації надзвичайних ситуацій та наслідків стихійного лиха</v>
      </c>
      <c r="E47" s="69">
        <f t="shared" si="7"/>
        <v>584500</v>
      </c>
      <c r="F47" s="69">
        <f>284500+300000</f>
        <v>584500</v>
      </c>
      <c r="G47" s="69"/>
      <c r="H47" s="69">
        <v>7500</v>
      </c>
      <c r="I47" s="69"/>
      <c r="J47" s="69">
        <f t="shared" si="9"/>
        <v>2299600</v>
      </c>
      <c r="K47" s="69">
        <f>2159600+140000</f>
        <v>2299600</v>
      </c>
      <c r="L47" s="69"/>
      <c r="M47" s="69"/>
      <c r="N47" s="69"/>
      <c r="O47" s="69">
        <f>2159600+140000</f>
        <v>2299600</v>
      </c>
      <c r="P47" s="69">
        <f t="shared" si="8"/>
        <v>2884100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19.5" customHeight="1" x14ac:dyDescent="0.25">
      <c r="A48" s="52" t="s">
        <v>264</v>
      </c>
      <c r="B48" s="45" t="str">
        <f>'дод 3'!A137</f>
        <v>8120</v>
      </c>
      <c r="C48" s="45" t="str">
        <f>'дод 3'!B137</f>
        <v>0320</v>
      </c>
      <c r="D48" s="22" t="str">
        <f>'дод 3'!C137</f>
        <v>Заходи з організації рятування на водах</v>
      </c>
      <c r="E48" s="69">
        <f t="shared" si="7"/>
        <v>2030270</v>
      </c>
      <c r="F48" s="69">
        <f>1892080+19210+32020+78970+7990</f>
        <v>2030270</v>
      </c>
      <c r="G48" s="69">
        <v>1542220</v>
      </c>
      <c r="H48" s="69">
        <v>79880</v>
      </c>
      <c r="I48" s="69"/>
      <c r="J48" s="69">
        <f t="shared" si="9"/>
        <v>5500</v>
      </c>
      <c r="K48" s="69"/>
      <c r="L48" s="69">
        <v>5500</v>
      </c>
      <c r="M48" s="69"/>
      <c r="N48" s="69">
        <v>1400</v>
      </c>
      <c r="O48" s="69"/>
      <c r="P48" s="69">
        <f t="shared" si="8"/>
        <v>2035770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1.75" customHeight="1" x14ac:dyDescent="0.25">
      <c r="A49" s="52" t="s">
        <v>285</v>
      </c>
      <c r="B49" s="45" t="str">
        <f>'дод 3'!A139</f>
        <v>8230</v>
      </c>
      <c r="C49" s="45" t="str">
        <f>'дод 3'!B139</f>
        <v>0380</v>
      </c>
      <c r="D49" s="22" t="str">
        <f>'дод 3'!C139</f>
        <v>Інші заходи громадського порядку та безпеки</v>
      </c>
      <c r="E49" s="69">
        <f t="shared" si="7"/>
        <v>683360</v>
      </c>
      <c r="F49" s="69">
        <v>683360</v>
      </c>
      <c r="G49" s="69"/>
      <c r="H49" s="69">
        <v>278160</v>
      </c>
      <c r="I49" s="69"/>
      <c r="J49" s="69">
        <f t="shared" si="9"/>
        <v>0</v>
      </c>
      <c r="K49" s="69"/>
      <c r="L49" s="69"/>
      <c r="M49" s="69"/>
      <c r="N49" s="69"/>
      <c r="O49" s="69"/>
      <c r="P49" s="69">
        <f t="shared" si="8"/>
        <v>683360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43" t="s">
        <v>195</v>
      </c>
      <c r="B50" s="44" t="str">
        <f>'дод 3'!A142</f>
        <v>8340</v>
      </c>
      <c r="C50" s="44" t="str">
        <f>'дод 3'!B142</f>
        <v>0540</v>
      </c>
      <c r="D50" s="24" t="str">
        <f>'дод 3'!C142</f>
        <v>Природоохоронні заходи за рахунок цільових фондів</v>
      </c>
      <c r="E50" s="69">
        <f t="shared" si="7"/>
        <v>0</v>
      </c>
      <c r="F50" s="69"/>
      <c r="G50" s="69"/>
      <c r="H50" s="69"/>
      <c r="I50" s="69"/>
      <c r="J50" s="69">
        <f t="shared" si="9"/>
        <v>264000</v>
      </c>
      <c r="K50" s="69"/>
      <c r="L50" s="69">
        <v>264000</v>
      </c>
      <c r="M50" s="69"/>
      <c r="N50" s="69"/>
      <c r="O50" s="69"/>
      <c r="P50" s="69">
        <f t="shared" si="8"/>
        <v>264000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26.25" customHeight="1" x14ac:dyDescent="0.25">
      <c r="A51" s="52" t="s">
        <v>296</v>
      </c>
      <c r="B51" s="45" t="str">
        <f>'дод 3'!A144</f>
        <v>8420</v>
      </c>
      <c r="C51" s="45" t="str">
        <f>'дод 3'!B144</f>
        <v>0830</v>
      </c>
      <c r="D51" s="22" t="str">
        <f>'дод 3'!C144</f>
        <v>Інші заходи у сфері засобів масової інформації</v>
      </c>
      <c r="E51" s="69">
        <f t="shared" si="7"/>
        <v>100000</v>
      </c>
      <c r="F51" s="69">
        <v>100000</v>
      </c>
      <c r="G51" s="69"/>
      <c r="H51" s="69"/>
      <c r="I51" s="69"/>
      <c r="J51" s="69">
        <f t="shared" si="9"/>
        <v>0</v>
      </c>
      <c r="K51" s="69"/>
      <c r="L51" s="69"/>
      <c r="M51" s="69"/>
      <c r="N51" s="69"/>
      <c r="O51" s="69"/>
      <c r="P51" s="69">
        <f t="shared" si="8"/>
        <v>100000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23" customFormat="1" ht="42.75" customHeight="1" x14ac:dyDescent="0.25">
      <c r="A52" s="52" t="s">
        <v>473</v>
      </c>
      <c r="B52" s="45">
        <v>9800</v>
      </c>
      <c r="C52" s="52" t="s">
        <v>59</v>
      </c>
      <c r="D52" s="22" t="s">
        <v>441</v>
      </c>
      <c r="E52" s="69">
        <f t="shared" si="7"/>
        <v>50000</v>
      </c>
      <c r="F52" s="69">
        <v>50000</v>
      </c>
      <c r="G52" s="69"/>
      <c r="H52" s="69"/>
      <c r="I52" s="69"/>
      <c r="J52" s="69">
        <f t="shared" si="9"/>
        <v>0</v>
      </c>
      <c r="K52" s="69"/>
      <c r="L52" s="69"/>
      <c r="M52" s="69"/>
      <c r="N52" s="69"/>
      <c r="O52" s="69"/>
      <c r="P52" s="69">
        <f t="shared" si="8"/>
        <v>50000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</row>
    <row r="53" spans="1:529" s="31" customFormat="1" ht="23.25" customHeight="1" x14ac:dyDescent="0.2">
      <c r="A53" s="88" t="s">
        <v>196</v>
      </c>
      <c r="B53" s="72"/>
      <c r="C53" s="72"/>
      <c r="D53" s="30" t="s">
        <v>34</v>
      </c>
      <c r="E53" s="66">
        <f>E54</f>
        <v>969942759</v>
      </c>
      <c r="F53" s="66">
        <f t="shared" ref="F53:J53" si="10">F54</f>
        <v>969942759</v>
      </c>
      <c r="G53" s="66">
        <f t="shared" si="10"/>
        <v>651436327</v>
      </c>
      <c r="H53" s="66">
        <f t="shared" si="10"/>
        <v>81257931</v>
      </c>
      <c r="I53" s="66">
        <f t="shared" si="10"/>
        <v>0</v>
      </c>
      <c r="J53" s="66">
        <f t="shared" si="10"/>
        <v>89730727.549999997</v>
      </c>
      <c r="K53" s="66">
        <f t="shared" ref="K53" si="11">K54</f>
        <v>36014219.549999997</v>
      </c>
      <c r="L53" s="66">
        <f t="shared" ref="L53" si="12">L54</f>
        <v>53527508</v>
      </c>
      <c r="M53" s="66">
        <f t="shared" ref="M53" si="13">M54</f>
        <v>4208876</v>
      </c>
      <c r="N53" s="66">
        <f t="shared" ref="N53" si="14">N54</f>
        <v>3124191</v>
      </c>
      <c r="O53" s="66">
        <f t="shared" ref="O53:P53" si="15">O54</f>
        <v>36203219.549999997</v>
      </c>
      <c r="P53" s="66">
        <f t="shared" si="15"/>
        <v>1059673486.55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</row>
    <row r="54" spans="1:529" s="40" customFormat="1" ht="26.25" customHeight="1" x14ac:dyDescent="0.25">
      <c r="A54" s="89" t="s">
        <v>197</v>
      </c>
      <c r="B54" s="73"/>
      <c r="C54" s="73"/>
      <c r="D54" s="33" t="s">
        <v>34</v>
      </c>
      <c r="E54" s="68">
        <f>E56+E57+E59+E61+E63+E64+E66+E67+E68+E69+E71+E72+E73+E74+E75+E77+E78+E79</f>
        <v>969942759</v>
      </c>
      <c r="F54" s="68">
        <f t="shared" ref="F54:P54" si="16">F56+F57+F59+F61+F63+F64+F66+F67+F68+F69+F71+F72+F73+F74+F75+F77+F78+F79</f>
        <v>969942759</v>
      </c>
      <c r="G54" s="68">
        <f t="shared" si="16"/>
        <v>651436327</v>
      </c>
      <c r="H54" s="68">
        <f t="shared" si="16"/>
        <v>81257931</v>
      </c>
      <c r="I54" s="68">
        <f t="shared" si="16"/>
        <v>0</v>
      </c>
      <c r="J54" s="68">
        <f t="shared" si="16"/>
        <v>89730727.549999997</v>
      </c>
      <c r="K54" s="68">
        <f t="shared" si="16"/>
        <v>36014219.549999997</v>
      </c>
      <c r="L54" s="68">
        <f t="shared" si="16"/>
        <v>53527508</v>
      </c>
      <c r="M54" s="68">
        <f t="shared" si="16"/>
        <v>4208876</v>
      </c>
      <c r="N54" s="68">
        <f t="shared" si="16"/>
        <v>3124191</v>
      </c>
      <c r="O54" s="68">
        <f t="shared" si="16"/>
        <v>36203219.549999997</v>
      </c>
      <c r="P54" s="68">
        <f t="shared" si="16"/>
        <v>1059673486.55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</row>
    <row r="55" spans="1:529" s="40" customFormat="1" ht="18.75" customHeight="1" x14ac:dyDescent="0.25">
      <c r="A55" s="89"/>
      <c r="B55" s="73"/>
      <c r="C55" s="73"/>
      <c r="D55" s="33" t="s">
        <v>308</v>
      </c>
      <c r="E55" s="68">
        <f>E60++E62+E65+E58+E70+E76</f>
        <v>382256478</v>
      </c>
      <c r="F55" s="68">
        <f t="shared" ref="F55:P55" si="17">F60++F62+F65+F58+F70+F76</f>
        <v>382256478</v>
      </c>
      <c r="G55" s="68">
        <f t="shared" si="17"/>
        <v>307191100</v>
      </c>
      <c r="H55" s="68">
        <f t="shared" si="17"/>
        <v>0</v>
      </c>
      <c r="I55" s="68">
        <f t="shared" si="17"/>
        <v>0</v>
      </c>
      <c r="J55" s="68">
        <f>J60++J62+J65+J58+J70+J76</f>
        <v>1736617.55</v>
      </c>
      <c r="K55" s="68">
        <f t="shared" si="17"/>
        <v>1736617.55</v>
      </c>
      <c r="L55" s="68">
        <f t="shared" si="17"/>
        <v>0</v>
      </c>
      <c r="M55" s="68">
        <f t="shared" si="17"/>
        <v>0</v>
      </c>
      <c r="N55" s="68">
        <f t="shared" si="17"/>
        <v>0</v>
      </c>
      <c r="O55" s="68">
        <f t="shared" si="17"/>
        <v>1736617.55</v>
      </c>
      <c r="P55" s="68">
        <f t="shared" si="17"/>
        <v>383993095.55000001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</row>
    <row r="56" spans="1:529" s="23" customFormat="1" ht="46.5" customHeight="1" x14ac:dyDescent="0.25">
      <c r="A56" s="43" t="s">
        <v>198</v>
      </c>
      <c r="B56" s="44" t="str">
        <f>'дод 3'!A20</f>
        <v>0160</v>
      </c>
      <c r="C56" s="44" t="str">
        <f>'дод 3'!B20</f>
        <v>0111</v>
      </c>
      <c r="D5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56" s="69">
        <f t="shared" ref="E56:E79" si="18">F56+I56</f>
        <v>3547900</v>
      </c>
      <c r="F56" s="69">
        <f>3470000+3900-161800+242800-7000</f>
        <v>3547900</v>
      </c>
      <c r="G56" s="69">
        <f>2711100-132600-5700</f>
        <v>2572800</v>
      </c>
      <c r="H56" s="69">
        <v>48700</v>
      </c>
      <c r="I56" s="69"/>
      <c r="J56" s="69">
        <f>L56+O56</f>
        <v>0</v>
      </c>
      <c r="K56" s="69"/>
      <c r="L56" s="69"/>
      <c r="M56" s="69"/>
      <c r="N56" s="69"/>
      <c r="O56" s="69"/>
      <c r="P56" s="69">
        <f t="shared" ref="P56:P79" si="19">E56+J56</f>
        <v>3547900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21.75" customHeight="1" x14ac:dyDescent="0.25">
      <c r="A57" s="43" t="s">
        <v>199</v>
      </c>
      <c r="B57" s="44" t="str">
        <f>'дод 3'!A24</f>
        <v>1010</v>
      </c>
      <c r="C57" s="44" t="str">
        <f>'дод 3'!B24</f>
        <v>0910</v>
      </c>
      <c r="D57" s="24" t="str">
        <f>'дод 3'!C24</f>
        <v>Надання дошкільної освіти</v>
      </c>
      <c r="E57" s="69">
        <f t="shared" si="18"/>
        <v>243244632</v>
      </c>
      <c r="F57" s="69">
        <f>244339090+176336+1322957+112300-3000000-13457+307406</f>
        <v>243244632</v>
      </c>
      <c r="G57" s="69">
        <f>159350000+144540-11030</f>
        <v>159483510</v>
      </c>
      <c r="H57" s="69">
        <v>26923940</v>
      </c>
      <c r="I57" s="69"/>
      <c r="J57" s="69">
        <f>L57+O57</f>
        <v>22916603</v>
      </c>
      <c r="K57" s="69">
        <f>4200000+500000+88136+760000+703043+347304-7536</f>
        <v>6590947</v>
      </c>
      <c r="L57" s="69">
        <v>16325656</v>
      </c>
      <c r="M57" s="69"/>
      <c r="N57" s="69"/>
      <c r="O57" s="69">
        <f>4200000+500000+88136+760000+703043+347304-7536</f>
        <v>6590947</v>
      </c>
      <c r="P57" s="69">
        <f t="shared" si="19"/>
        <v>266161235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21.75" customHeight="1" x14ac:dyDescent="0.25">
      <c r="A58" s="43"/>
      <c r="B58" s="44"/>
      <c r="C58" s="44"/>
      <c r="D58" s="22" t="s">
        <v>308</v>
      </c>
      <c r="E58" s="69">
        <f t="shared" si="18"/>
        <v>162879</v>
      </c>
      <c r="F58" s="69">
        <f>176336-13457</f>
        <v>162879</v>
      </c>
      <c r="G58" s="69">
        <f>144540-11030</f>
        <v>133510</v>
      </c>
      <c r="H58" s="69"/>
      <c r="I58" s="69"/>
      <c r="J58" s="69">
        <f>L58+O58</f>
        <v>80600</v>
      </c>
      <c r="K58" s="69">
        <f>88136-7536</f>
        <v>80600</v>
      </c>
      <c r="L58" s="69"/>
      <c r="M58" s="69"/>
      <c r="N58" s="69"/>
      <c r="O58" s="69">
        <f>88136-7536</f>
        <v>80600</v>
      </c>
      <c r="P58" s="69">
        <f t="shared" si="19"/>
        <v>243479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ht="54" customHeight="1" x14ac:dyDescent="0.25">
      <c r="A59" s="43" t="s">
        <v>200</v>
      </c>
      <c r="B59" s="44" t="str">
        <f>'дод 3'!A26</f>
        <v>1020</v>
      </c>
      <c r="C59" s="44" t="str">
        <f>'дод 3'!B26</f>
        <v>0921</v>
      </c>
      <c r="D59" s="24" t="str">
        <f>'дод 3'!C26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9" s="69">
        <f t="shared" si="18"/>
        <v>540117903</v>
      </c>
      <c r="F59" s="69">
        <f>533365430-2738900+2738900-50000+2067000+1396248+800+1533444+15313000-11301200+106000+50000+70000+213600-7000000+208752+5996529+274015-25839-2303876+50000+154000</f>
        <v>540117903</v>
      </c>
      <c r="G59" s="69">
        <f>373446500+1144470+657+12572250-9278430+171100</f>
        <v>378056547</v>
      </c>
      <c r="H59" s="69">
        <f>40458440-2303876</f>
        <v>38154564</v>
      </c>
      <c r="I59" s="69"/>
      <c r="J59" s="69">
        <f t="shared" ref="J59:J79" si="20">L59+O59</f>
        <v>53338835.640000001</v>
      </c>
      <c r="K59" s="69">
        <f>11599400+2199897+739872+3050000+2916586+700000-106000-7502.36+202738-76472+742539+19558-21229+2283702-50000+234000</f>
        <v>24427088.640000001</v>
      </c>
      <c r="L59" s="69">
        <v>28911747</v>
      </c>
      <c r="M59" s="69">
        <v>1713303</v>
      </c>
      <c r="N59" s="69">
        <v>147329</v>
      </c>
      <c r="O59" s="69">
        <f>11599400+2199897+739872+3050000+2916586+700000-106000-7502.36+202738-76472+742539+19558-21229+2283702-50000+234000</f>
        <v>24427088.640000001</v>
      </c>
      <c r="P59" s="69">
        <f t="shared" si="19"/>
        <v>593456738.63999999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23" customFormat="1" x14ac:dyDescent="0.25">
      <c r="A60" s="43"/>
      <c r="B60" s="44"/>
      <c r="C60" s="44"/>
      <c r="D60" s="22" t="s">
        <v>308</v>
      </c>
      <c r="E60" s="69">
        <f t="shared" si="18"/>
        <v>356792090</v>
      </c>
      <c r="F60" s="69">
        <f>331836400+2067000+1396248+15313000+208752+5996529-25839</f>
        <v>356792090</v>
      </c>
      <c r="G60" s="69">
        <f>272443700+1144470+12572250+171100</f>
        <v>286331520</v>
      </c>
      <c r="H60" s="69"/>
      <c r="I60" s="69"/>
      <c r="J60" s="69">
        <f t="shared" si="20"/>
        <v>1384710</v>
      </c>
      <c r="K60" s="69">
        <f>739872-76472+742539-21229</f>
        <v>1384710</v>
      </c>
      <c r="L60" s="69"/>
      <c r="M60" s="69"/>
      <c r="N60" s="69"/>
      <c r="O60" s="69">
        <f>739872+742539-76472-21229</f>
        <v>1384710</v>
      </c>
      <c r="P60" s="69">
        <f t="shared" si="19"/>
        <v>358176800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</row>
    <row r="61" spans="1:529" s="23" customFormat="1" ht="63.75" customHeight="1" x14ac:dyDescent="0.25">
      <c r="A61" s="43" t="s">
        <v>431</v>
      </c>
      <c r="B61" s="44">
        <f>'дод 3'!A28</f>
        <v>1030</v>
      </c>
      <c r="C61" s="44" t="str">
        <f>'дод 3'!B28</f>
        <v>0922</v>
      </c>
      <c r="D61" s="24" t="str">
        <f>'дод 3'!C28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1" s="69">
        <f t="shared" si="18"/>
        <v>9444719</v>
      </c>
      <c r="F61" s="69">
        <f>9152880+50000+110000+106000+25839</f>
        <v>9444719</v>
      </c>
      <c r="G61" s="69">
        <v>6532300</v>
      </c>
      <c r="H61" s="69">
        <v>709270</v>
      </c>
      <c r="I61" s="69">
        <v>0</v>
      </c>
      <c r="J61" s="69">
        <f t="shared" si="20"/>
        <v>213403</v>
      </c>
      <c r="K61" s="69">
        <f>150000+22000+20174+21229</f>
        <v>213403</v>
      </c>
      <c r="L61" s="69"/>
      <c r="M61" s="69"/>
      <c r="N61" s="69"/>
      <c r="O61" s="69">
        <f>150000+22000+20174+21229</f>
        <v>213403</v>
      </c>
      <c r="P61" s="69">
        <f t="shared" si="19"/>
        <v>9658122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</row>
    <row r="62" spans="1:529" s="23" customFormat="1" ht="17.25" customHeight="1" x14ac:dyDescent="0.25">
      <c r="A62" s="43"/>
      <c r="B62" s="44"/>
      <c r="C62" s="44"/>
      <c r="D62" s="22" t="s">
        <v>308</v>
      </c>
      <c r="E62" s="69">
        <f t="shared" si="18"/>
        <v>6240139</v>
      </c>
      <c r="F62" s="69">
        <f>6214300+25839</f>
        <v>6240139</v>
      </c>
      <c r="G62" s="69">
        <v>5102000</v>
      </c>
      <c r="H62" s="69">
        <v>0</v>
      </c>
      <c r="I62" s="69">
        <v>0</v>
      </c>
      <c r="J62" s="69">
        <f t="shared" si="20"/>
        <v>21229</v>
      </c>
      <c r="K62" s="69">
        <v>21229</v>
      </c>
      <c r="L62" s="69"/>
      <c r="M62" s="69"/>
      <c r="N62" s="69"/>
      <c r="O62" s="69">
        <v>21229</v>
      </c>
      <c r="P62" s="69">
        <f t="shared" si="19"/>
        <v>6261368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</row>
    <row r="63" spans="1:529" s="23" customFormat="1" ht="32.25" customHeight="1" x14ac:dyDescent="0.25">
      <c r="A63" s="43" t="s">
        <v>263</v>
      </c>
      <c r="B63" s="44" t="str">
        <f>'дод 3'!A30</f>
        <v>1090</v>
      </c>
      <c r="C63" s="44" t="str">
        <f>'дод 3'!B30</f>
        <v>0960</v>
      </c>
      <c r="D63" s="24" t="str">
        <f>'дод 3'!C30</f>
        <v>Надання позашкільної освіти закладами позашкільної освіти, заходи із позашкільної роботи з дітьми</v>
      </c>
      <c r="E63" s="69">
        <f t="shared" si="18"/>
        <v>28048440</v>
      </c>
      <c r="F63" s="69">
        <f>27792840+230600+25000</f>
        <v>28048440</v>
      </c>
      <c r="G63" s="69">
        <v>19715700</v>
      </c>
      <c r="H63" s="69">
        <v>3358190</v>
      </c>
      <c r="I63" s="69">
        <v>0</v>
      </c>
      <c r="J63" s="69">
        <f t="shared" si="20"/>
        <v>300000</v>
      </c>
      <c r="K63" s="69">
        <v>300000</v>
      </c>
      <c r="L63" s="69"/>
      <c r="M63" s="69"/>
      <c r="N63" s="69"/>
      <c r="O63" s="69">
        <v>300000</v>
      </c>
      <c r="P63" s="69">
        <f t="shared" si="19"/>
        <v>28348440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</row>
    <row r="64" spans="1:529" s="23" customFormat="1" ht="33.75" customHeight="1" x14ac:dyDescent="0.25">
      <c r="A64" s="43" t="s">
        <v>262</v>
      </c>
      <c r="B64" s="44" t="str">
        <f>'дод 3'!A32</f>
        <v>1110</v>
      </c>
      <c r="C64" s="44" t="str">
        <f>'дод 3'!B32</f>
        <v>0930</v>
      </c>
      <c r="D64" s="24" t="str">
        <f>'дод 3'!C32</f>
        <v>Підготовка кадрів закладами професійної (професійно-технічної) освіти та іншими закладами освіти</v>
      </c>
      <c r="E64" s="69">
        <f t="shared" si="18"/>
        <v>117007900</v>
      </c>
      <c r="F64" s="69">
        <f>116310900-341000+217000+621000+200000</f>
        <v>117007900</v>
      </c>
      <c r="G64" s="69">
        <v>69744500</v>
      </c>
      <c r="H64" s="69">
        <f>11348217-341000</f>
        <v>11007217</v>
      </c>
      <c r="I64" s="69"/>
      <c r="J64" s="69">
        <f t="shared" si="20"/>
        <v>8079105</v>
      </c>
      <c r="K64" s="69"/>
      <c r="L64" s="69">
        <v>7974105</v>
      </c>
      <c r="M64" s="69">
        <v>2495573</v>
      </c>
      <c r="N64" s="69">
        <v>2976862</v>
      </c>
      <c r="O64" s="69">
        <v>105000</v>
      </c>
      <c r="P64" s="69">
        <f t="shared" si="19"/>
        <v>125087005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</row>
    <row r="65" spans="1:529" s="23" customFormat="1" ht="15.75" customHeight="1" x14ac:dyDescent="0.25">
      <c r="A65" s="43"/>
      <c r="B65" s="44"/>
      <c r="C65" s="44"/>
      <c r="D65" s="22" t="s">
        <v>308</v>
      </c>
      <c r="E65" s="69">
        <f t="shared" si="18"/>
        <v>17825000</v>
      </c>
      <c r="F65" s="69">
        <v>17825000</v>
      </c>
      <c r="G65" s="69">
        <v>14610650</v>
      </c>
      <c r="H65" s="69"/>
      <c r="I65" s="69"/>
      <c r="J65" s="69">
        <f t="shared" si="20"/>
        <v>0</v>
      </c>
      <c r="K65" s="69"/>
      <c r="L65" s="69"/>
      <c r="M65" s="69"/>
      <c r="N65" s="69"/>
      <c r="O65" s="69"/>
      <c r="P65" s="69">
        <f t="shared" si="19"/>
        <v>17825000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</row>
    <row r="66" spans="1:529" s="23" customFormat="1" ht="21.75" customHeight="1" x14ac:dyDescent="0.25">
      <c r="A66" s="43" t="s">
        <v>201</v>
      </c>
      <c r="B66" s="44" t="str">
        <f>'дод 3'!A34</f>
        <v>1150</v>
      </c>
      <c r="C66" s="44" t="str">
        <f>'дод 3'!B34</f>
        <v>0990</v>
      </c>
      <c r="D66" s="24" t="str">
        <f>'дод 3'!C34</f>
        <v>Методичне забезпечення діяльності закладів освіти</v>
      </c>
      <c r="E66" s="69">
        <f t="shared" si="18"/>
        <v>2893730</v>
      </c>
      <c r="F66" s="69">
        <v>2893730</v>
      </c>
      <c r="G66" s="69">
        <v>2237500</v>
      </c>
      <c r="H66" s="69">
        <v>120380</v>
      </c>
      <c r="I66" s="69"/>
      <c r="J66" s="69">
        <f t="shared" si="20"/>
        <v>0</v>
      </c>
      <c r="K66" s="69"/>
      <c r="L66" s="69"/>
      <c r="M66" s="69"/>
      <c r="N66" s="69"/>
      <c r="O66" s="69"/>
      <c r="P66" s="69">
        <f t="shared" si="19"/>
        <v>2893730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16.5" customHeight="1" x14ac:dyDescent="0.25">
      <c r="A67" s="43" t="s">
        <v>357</v>
      </c>
      <c r="B67" s="44" t="str">
        <f>'дод 3'!A35</f>
        <v>1161</v>
      </c>
      <c r="C67" s="44" t="str">
        <f>'дод 3'!B35</f>
        <v>0990</v>
      </c>
      <c r="D67" s="24" t="str">
        <f>'дод 3'!C35</f>
        <v>Забезпечення діяльності інших закладів у сфері освіти</v>
      </c>
      <c r="E67" s="69">
        <f t="shared" si="18"/>
        <v>9388520</v>
      </c>
      <c r="F67" s="69">
        <f>9333170+12000+43350</f>
        <v>9388520</v>
      </c>
      <c r="G67" s="69">
        <v>6782550</v>
      </c>
      <c r="H67" s="69">
        <v>613500</v>
      </c>
      <c r="I67" s="69"/>
      <c r="J67" s="69">
        <f t="shared" si="20"/>
        <v>432000</v>
      </c>
      <c r="K67" s="69">
        <f>100000+200000+132000</f>
        <v>432000</v>
      </c>
      <c r="L67" s="69"/>
      <c r="M67" s="69"/>
      <c r="N67" s="69"/>
      <c r="O67" s="69">
        <f>100000+200000+132000</f>
        <v>432000</v>
      </c>
      <c r="P67" s="69">
        <f t="shared" si="19"/>
        <v>9820520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ht="20.25" customHeight="1" x14ac:dyDescent="0.25">
      <c r="A68" s="43" t="s">
        <v>358</v>
      </c>
      <c r="B68" s="44" t="str">
        <f>'дод 3'!A36</f>
        <v>1162</v>
      </c>
      <c r="C68" s="44" t="str">
        <f>'дод 3'!B36</f>
        <v>0990</v>
      </c>
      <c r="D68" s="24" t="str">
        <f>'дод 3'!C36</f>
        <v>Інші програми та заходи у сфері освіти</v>
      </c>
      <c r="E68" s="69">
        <f t="shared" si="18"/>
        <v>107400</v>
      </c>
      <c r="F68" s="69">
        <v>107400</v>
      </c>
      <c r="G68" s="69"/>
      <c r="H68" s="69"/>
      <c r="I68" s="69"/>
      <c r="J68" s="69">
        <f t="shared" si="20"/>
        <v>0</v>
      </c>
      <c r="K68" s="69"/>
      <c r="L68" s="69"/>
      <c r="M68" s="69"/>
      <c r="N68" s="69"/>
      <c r="O68" s="69"/>
      <c r="P68" s="69">
        <f t="shared" si="19"/>
        <v>107400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x14ac:dyDescent="0.25">
      <c r="A69" s="43" t="s">
        <v>395</v>
      </c>
      <c r="B69" s="44">
        <v>1170</v>
      </c>
      <c r="C69" s="44" t="s">
        <v>75</v>
      </c>
      <c r="D69" s="22" t="str">
        <f>'дод 3'!C37</f>
        <v>Забезпечення діяльності інклюзивно-ресурсних центрів</v>
      </c>
      <c r="E69" s="69">
        <f t="shared" si="18"/>
        <v>1627940</v>
      </c>
      <c r="F69" s="69">
        <v>1627940</v>
      </c>
      <c r="G69" s="69">
        <v>1224320</v>
      </c>
      <c r="H69" s="69">
        <v>81470</v>
      </c>
      <c r="I69" s="69"/>
      <c r="J69" s="69">
        <f t="shared" si="20"/>
        <v>0</v>
      </c>
      <c r="K69" s="69"/>
      <c r="L69" s="69"/>
      <c r="M69" s="69"/>
      <c r="N69" s="69"/>
      <c r="O69" s="69"/>
      <c r="P69" s="69">
        <f t="shared" si="19"/>
        <v>1627940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3" customFormat="1" x14ac:dyDescent="0.25">
      <c r="A70" s="43"/>
      <c r="B70" s="44"/>
      <c r="C70" s="44"/>
      <c r="D70" s="22" t="s">
        <v>308</v>
      </c>
      <c r="E70" s="69">
        <f t="shared" si="18"/>
        <v>1236370</v>
      </c>
      <c r="F70" s="69">
        <v>1236370</v>
      </c>
      <c r="G70" s="69">
        <v>1013420</v>
      </c>
      <c r="H70" s="69"/>
      <c r="I70" s="69"/>
      <c r="J70" s="69"/>
      <c r="K70" s="69"/>
      <c r="L70" s="69"/>
      <c r="M70" s="69"/>
      <c r="N70" s="69"/>
      <c r="O70" s="69"/>
      <c r="P70" s="69">
        <f t="shared" si="19"/>
        <v>1236370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ht="64.5" customHeight="1" x14ac:dyDescent="0.25">
      <c r="A71" s="43" t="s">
        <v>202</v>
      </c>
      <c r="B71" s="44" t="str">
        <f>'дод 3'!A66</f>
        <v>3140</v>
      </c>
      <c r="C71" s="44" t="str">
        <f>'дод 3'!B66</f>
        <v>1040</v>
      </c>
      <c r="D71" s="24" t="str">
        <f>'дод 3'!C66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1" s="69">
        <f t="shared" si="18"/>
        <v>7000000</v>
      </c>
      <c r="F71" s="69">
        <v>7000000</v>
      </c>
      <c r="G71" s="69"/>
      <c r="H71" s="69"/>
      <c r="I71" s="69"/>
      <c r="J71" s="69">
        <f t="shared" si="20"/>
        <v>0</v>
      </c>
      <c r="K71" s="69"/>
      <c r="L71" s="69"/>
      <c r="M71" s="69"/>
      <c r="N71" s="69"/>
      <c r="O71" s="69"/>
      <c r="P71" s="69">
        <f t="shared" si="19"/>
        <v>7000000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3" customFormat="1" ht="31.5" customHeight="1" x14ac:dyDescent="0.25">
      <c r="A72" s="43" t="s">
        <v>374</v>
      </c>
      <c r="B72" s="44" t="str">
        <f>'дод 3'!A76</f>
        <v>3242</v>
      </c>
      <c r="C72" s="44" t="str">
        <f>'дод 3'!B76</f>
        <v>1090</v>
      </c>
      <c r="D72" s="24" t="str">
        <f>'дод 3'!C76</f>
        <v>Інші заходи у сфері соціального захисту і соціального забезпечення</v>
      </c>
      <c r="E72" s="69">
        <f t="shared" si="18"/>
        <v>52490</v>
      </c>
      <c r="F72" s="69">
        <v>52490</v>
      </c>
      <c r="G72" s="69"/>
      <c r="H72" s="69"/>
      <c r="I72" s="69"/>
      <c r="J72" s="69">
        <f t="shared" si="20"/>
        <v>0</v>
      </c>
      <c r="K72" s="69"/>
      <c r="L72" s="69"/>
      <c r="M72" s="69"/>
      <c r="N72" s="69"/>
      <c r="O72" s="69"/>
      <c r="P72" s="69">
        <f t="shared" si="19"/>
        <v>52490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</row>
    <row r="73" spans="1:529" s="23" customFormat="1" ht="33" customHeight="1" x14ac:dyDescent="0.25">
      <c r="A73" s="43" t="s">
        <v>203</v>
      </c>
      <c r="B73" s="44" t="str">
        <f>'дод 3'!A85</f>
        <v>5031</v>
      </c>
      <c r="C73" s="44" t="str">
        <f>'дод 3'!B85</f>
        <v>0810</v>
      </c>
      <c r="D73" s="24" t="str">
        <f>'дод 3'!C85</f>
        <v>Утримання та навчально-тренувальна робота комунальних дитячо-юнацьких спортивних шкіл</v>
      </c>
      <c r="E73" s="69">
        <f t="shared" si="18"/>
        <v>6797500</v>
      </c>
      <c r="F73" s="69">
        <f>6725500+60000+2000+10000</f>
        <v>6797500</v>
      </c>
      <c r="G73" s="69">
        <v>5086600</v>
      </c>
      <c r="H73" s="69">
        <v>240700</v>
      </c>
      <c r="I73" s="69"/>
      <c r="J73" s="69">
        <f t="shared" si="20"/>
        <v>750000</v>
      </c>
      <c r="K73" s="69">
        <f>550000+200000</f>
        <v>750000</v>
      </c>
      <c r="L73" s="69"/>
      <c r="M73" s="69"/>
      <c r="N73" s="69"/>
      <c r="O73" s="69">
        <f>550000+200000</f>
        <v>750000</v>
      </c>
      <c r="P73" s="69">
        <f t="shared" si="19"/>
        <v>7547500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3" customFormat="1" ht="33" customHeight="1" x14ac:dyDescent="0.25">
      <c r="A74" s="43" t="s">
        <v>470</v>
      </c>
      <c r="B74" s="44">
        <v>7321</v>
      </c>
      <c r="C74" s="44" t="str">
        <f>'дод 3'!B105</f>
        <v>0443</v>
      </c>
      <c r="D74" s="24" t="str">
        <f>'дод 3'!C105</f>
        <v>Будівництво освітніх установ та закладів</v>
      </c>
      <c r="E74" s="69">
        <f t="shared" si="18"/>
        <v>0</v>
      </c>
      <c r="F74" s="69"/>
      <c r="G74" s="69"/>
      <c r="H74" s="69"/>
      <c r="I74" s="69"/>
      <c r="J74" s="69">
        <f t="shared" si="20"/>
        <v>50000</v>
      </c>
      <c r="K74" s="69">
        <v>50000</v>
      </c>
      <c r="L74" s="69"/>
      <c r="M74" s="69"/>
      <c r="N74" s="69"/>
      <c r="O74" s="69">
        <v>50000</v>
      </c>
      <c r="P74" s="69">
        <f t="shared" si="19"/>
        <v>50000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</row>
    <row r="75" spans="1:529" s="23" customFormat="1" ht="45.75" customHeight="1" x14ac:dyDescent="0.25">
      <c r="A75" s="43" t="s">
        <v>439</v>
      </c>
      <c r="B75" s="44">
        <v>7363</v>
      </c>
      <c r="C75" s="117" t="s">
        <v>102</v>
      </c>
      <c r="D75" s="118" t="s">
        <v>438</v>
      </c>
      <c r="E75" s="69">
        <f t="shared" si="18"/>
        <v>0</v>
      </c>
      <c r="F75" s="69"/>
      <c r="G75" s="69"/>
      <c r="H75" s="69"/>
      <c r="I75" s="69"/>
      <c r="J75" s="69">
        <f t="shared" si="20"/>
        <v>257580.90999999997</v>
      </c>
      <c r="K75" s="69">
        <f>7502.36+250078.55</f>
        <v>257580.90999999997</v>
      </c>
      <c r="L75" s="69"/>
      <c r="M75" s="69"/>
      <c r="N75" s="69"/>
      <c r="O75" s="69">
        <f>7502.36+250078.55</f>
        <v>257580.90999999997</v>
      </c>
      <c r="P75" s="69">
        <f t="shared" si="19"/>
        <v>257580.90999999997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</row>
    <row r="76" spans="1:529" s="23" customFormat="1" x14ac:dyDescent="0.25">
      <c r="A76" s="43"/>
      <c r="B76" s="44"/>
      <c r="C76" s="44"/>
      <c r="D76" s="22" t="s">
        <v>308</v>
      </c>
      <c r="E76" s="69">
        <f t="shared" ref="E76" si="21">F76+I76</f>
        <v>0</v>
      </c>
      <c r="F76" s="69"/>
      <c r="G76" s="69"/>
      <c r="H76" s="69"/>
      <c r="I76" s="69"/>
      <c r="J76" s="69">
        <f t="shared" ref="J76" si="22">L76+O76</f>
        <v>250078.55</v>
      </c>
      <c r="K76" s="69">
        <v>250078.55</v>
      </c>
      <c r="L76" s="69"/>
      <c r="M76" s="69"/>
      <c r="N76" s="69"/>
      <c r="O76" s="69">
        <v>250078.55</v>
      </c>
      <c r="P76" s="69">
        <f t="shared" si="19"/>
        <v>250078.55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</row>
    <row r="77" spans="1:529" s="23" customFormat="1" ht="25.5" customHeight="1" x14ac:dyDescent="0.25">
      <c r="A77" s="43" t="s">
        <v>204</v>
      </c>
      <c r="B77" s="44" t="str">
        <f>'дод 3'!A125</f>
        <v>7640</v>
      </c>
      <c r="C77" s="44" t="str">
        <f>'дод 3'!B125</f>
        <v>0470</v>
      </c>
      <c r="D77" s="24" t="str">
        <f>'дод 3'!C125</f>
        <v>Заходи з енергозбереження</v>
      </c>
      <c r="E77" s="69">
        <f t="shared" si="18"/>
        <v>578800</v>
      </c>
      <c r="F77" s="69">
        <v>578800</v>
      </c>
      <c r="G77" s="69"/>
      <c r="H77" s="69"/>
      <c r="I77" s="69"/>
      <c r="J77" s="69">
        <f t="shared" si="20"/>
        <v>2993200</v>
      </c>
      <c r="K77" s="69">
        <v>2993200</v>
      </c>
      <c r="L77" s="69"/>
      <c r="M77" s="69"/>
      <c r="N77" s="69"/>
      <c r="O77" s="69">
        <v>2993200</v>
      </c>
      <c r="P77" s="69">
        <f t="shared" si="19"/>
        <v>3572000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</row>
    <row r="78" spans="1:529" s="23" customFormat="1" ht="27" customHeight="1" x14ac:dyDescent="0.25">
      <c r="A78" s="43" t="s">
        <v>205</v>
      </c>
      <c r="B78" s="44" t="str">
        <f>'дод 3'!A142</f>
        <v>8340</v>
      </c>
      <c r="C78" s="44" t="str">
        <f>'дод 3'!B142</f>
        <v>0540</v>
      </c>
      <c r="D78" s="24" t="str">
        <f>'дод 3'!C142</f>
        <v>Природоохоронні заходи за рахунок цільових фондів</v>
      </c>
      <c r="E78" s="69">
        <f t="shared" si="18"/>
        <v>0</v>
      </c>
      <c r="F78" s="69"/>
      <c r="G78" s="69"/>
      <c r="H78" s="69"/>
      <c r="I78" s="69"/>
      <c r="J78" s="69">
        <f t="shared" si="20"/>
        <v>400000</v>
      </c>
      <c r="K78" s="69"/>
      <c r="L78" s="69">
        <f>306000+10000</f>
        <v>316000</v>
      </c>
      <c r="M78" s="69"/>
      <c r="N78" s="69"/>
      <c r="O78" s="69">
        <v>84000</v>
      </c>
      <c r="P78" s="69">
        <f t="shared" si="19"/>
        <v>400000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</row>
    <row r="79" spans="1:529" s="23" customFormat="1" ht="48.75" customHeight="1" x14ac:dyDescent="0.25">
      <c r="A79" s="43" t="s">
        <v>440</v>
      </c>
      <c r="B79" s="44">
        <v>9800</v>
      </c>
      <c r="C79" s="45" t="s">
        <v>59</v>
      </c>
      <c r="D79" s="119" t="s">
        <v>441</v>
      </c>
      <c r="E79" s="69">
        <f t="shared" si="18"/>
        <v>84885</v>
      </c>
      <c r="F79" s="69">
        <v>84885</v>
      </c>
      <c r="G79" s="69"/>
      <c r="H79" s="69"/>
      <c r="I79" s="69"/>
      <c r="J79" s="69">
        <f t="shared" si="20"/>
        <v>0</v>
      </c>
      <c r="K79" s="69"/>
      <c r="L79" s="69"/>
      <c r="M79" s="69"/>
      <c r="N79" s="69"/>
      <c r="O79" s="69"/>
      <c r="P79" s="69">
        <f t="shared" si="19"/>
        <v>84885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</row>
    <row r="80" spans="1:529" s="31" customFormat="1" ht="21" customHeight="1" x14ac:dyDescent="0.2">
      <c r="A80" s="76" t="s">
        <v>206</v>
      </c>
      <c r="B80" s="74"/>
      <c r="C80" s="74"/>
      <c r="D80" s="30" t="s">
        <v>36</v>
      </c>
      <c r="E80" s="66">
        <f>E81</f>
        <v>231545748</v>
      </c>
      <c r="F80" s="66">
        <f t="shared" ref="F80:P80" si="23">F81</f>
        <v>231346748</v>
      </c>
      <c r="G80" s="66">
        <f t="shared" si="23"/>
        <v>1637700</v>
      </c>
      <c r="H80" s="66">
        <f t="shared" si="23"/>
        <v>35400</v>
      </c>
      <c r="I80" s="66">
        <f t="shared" si="23"/>
        <v>199000</v>
      </c>
      <c r="J80" s="66">
        <f t="shared" si="23"/>
        <v>104835074</v>
      </c>
      <c r="K80" s="66">
        <f t="shared" si="23"/>
        <v>103950074</v>
      </c>
      <c r="L80" s="66">
        <f t="shared" si="23"/>
        <v>0</v>
      </c>
      <c r="M80" s="66">
        <f t="shared" si="23"/>
        <v>0</v>
      </c>
      <c r="N80" s="66">
        <f t="shared" si="23"/>
        <v>0</v>
      </c>
      <c r="O80" s="66">
        <f t="shared" si="23"/>
        <v>104835074</v>
      </c>
      <c r="P80" s="66">
        <f t="shared" si="23"/>
        <v>336380822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38"/>
      <c r="KR80" s="38"/>
      <c r="KS80" s="38"/>
      <c r="KT80" s="38"/>
      <c r="KU80" s="38"/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</row>
    <row r="81" spans="1:529" s="40" customFormat="1" ht="18.75" customHeight="1" x14ac:dyDescent="0.25">
      <c r="A81" s="77" t="s">
        <v>207</v>
      </c>
      <c r="B81" s="75"/>
      <c r="C81" s="75"/>
      <c r="D81" s="33" t="s">
        <v>36</v>
      </c>
      <c r="E81" s="68">
        <f>E83+E84+E86+E88+E90+E92+E94+E95+E96+E97+E98</f>
        <v>231545748</v>
      </c>
      <c r="F81" s="68">
        <f t="shared" ref="F81:P81" si="24">F83+F84+F86+F88+F90+F92+F94+F95+F96+F97+F98</f>
        <v>231346748</v>
      </c>
      <c r="G81" s="68">
        <f t="shared" si="24"/>
        <v>1637700</v>
      </c>
      <c r="H81" s="68">
        <f t="shared" si="24"/>
        <v>35400</v>
      </c>
      <c r="I81" s="68">
        <f t="shared" si="24"/>
        <v>199000</v>
      </c>
      <c r="J81" s="68">
        <f t="shared" si="24"/>
        <v>104835074</v>
      </c>
      <c r="K81" s="68">
        <f t="shared" si="24"/>
        <v>103950074</v>
      </c>
      <c r="L81" s="68">
        <f t="shared" si="24"/>
        <v>0</v>
      </c>
      <c r="M81" s="68">
        <f t="shared" si="24"/>
        <v>0</v>
      </c>
      <c r="N81" s="68">
        <f t="shared" si="24"/>
        <v>0</v>
      </c>
      <c r="O81" s="68">
        <f t="shared" si="24"/>
        <v>104835074</v>
      </c>
      <c r="P81" s="68">
        <f t="shared" si="24"/>
        <v>336380822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</row>
    <row r="82" spans="1:529" s="40" customFormat="1" ht="18.75" customHeight="1" x14ac:dyDescent="0.25">
      <c r="A82" s="77"/>
      <c r="B82" s="75"/>
      <c r="C82" s="75"/>
      <c r="D82" s="33" t="s">
        <v>308</v>
      </c>
      <c r="E82" s="68">
        <f>E85+E87+E89+E91+E93</f>
        <v>61502848</v>
      </c>
      <c r="F82" s="68">
        <f t="shared" ref="F82:P82" si="25">F85+F87+F89+F91+F93</f>
        <v>61502848</v>
      </c>
      <c r="G82" s="68">
        <f t="shared" si="25"/>
        <v>0</v>
      </c>
      <c r="H82" s="68">
        <f t="shared" si="25"/>
        <v>0</v>
      </c>
      <c r="I82" s="68">
        <f t="shared" si="25"/>
        <v>0</v>
      </c>
      <c r="J82" s="68">
        <f t="shared" si="25"/>
        <v>0</v>
      </c>
      <c r="K82" s="68">
        <f t="shared" si="25"/>
        <v>0</v>
      </c>
      <c r="L82" s="68">
        <f t="shared" si="25"/>
        <v>0</v>
      </c>
      <c r="M82" s="68">
        <f t="shared" si="25"/>
        <v>0</v>
      </c>
      <c r="N82" s="68">
        <f t="shared" si="25"/>
        <v>0</v>
      </c>
      <c r="O82" s="68">
        <f t="shared" si="25"/>
        <v>0</v>
      </c>
      <c r="P82" s="68">
        <f t="shared" si="25"/>
        <v>61502848</v>
      </c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</row>
    <row r="83" spans="1:529" s="23" customFormat="1" ht="50.25" customHeight="1" x14ac:dyDescent="0.25">
      <c r="A83" s="43" t="s">
        <v>208</v>
      </c>
      <c r="B83" s="44" t="str">
        <f>'дод 3'!A20</f>
        <v>0160</v>
      </c>
      <c r="C83" s="44" t="str">
        <f>'дод 3'!B20</f>
        <v>0111</v>
      </c>
      <c r="D83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83" s="69">
        <f t="shared" ref="E83:E98" si="26">F83+I83</f>
        <v>2346500</v>
      </c>
      <c r="F83" s="69">
        <f>2218500+30000+3500-97800+196800-4500</f>
        <v>2346500</v>
      </c>
      <c r="G83" s="69">
        <f>1721600-80200-3700</f>
        <v>1637700</v>
      </c>
      <c r="H83" s="69">
        <v>35400</v>
      </c>
      <c r="I83" s="69"/>
      <c r="J83" s="69">
        <f>L83+O83</f>
        <v>0</v>
      </c>
      <c r="K83" s="69"/>
      <c r="L83" s="69"/>
      <c r="M83" s="69"/>
      <c r="N83" s="69"/>
      <c r="O83" s="69"/>
      <c r="P83" s="69">
        <f t="shared" ref="P83:P98" si="27">E83+J83</f>
        <v>2346500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14.25" customHeight="1" x14ac:dyDescent="0.25">
      <c r="A84" s="43" t="s">
        <v>209</v>
      </c>
      <c r="B84" s="44" t="str">
        <f>'дод 3'!A41</f>
        <v>2010</v>
      </c>
      <c r="C84" s="44" t="str">
        <f>'дод 3'!B41</f>
        <v>0731</v>
      </c>
      <c r="D84" s="24" t="str">
        <f>'дод 3'!C41</f>
        <v>Багатопрофільна стаціонарна медична допомога населенню</v>
      </c>
      <c r="E84" s="69">
        <f t="shared" si="26"/>
        <v>121141058</v>
      </c>
      <c r="F84" s="69">
        <f>118457491+150000+717000-100000+30000+725000+400000+60000+450000+28000+20000+203567</f>
        <v>121141058</v>
      </c>
      <c r="G84" s="69"/>
      <c r="H84" s="69"/>
      <c r="I84" s="71"/>
      <c r="J84" s="69">
        <f t="shared" ref="J84:J98" si="28">L84+O84</f>
        <v>46795500</v>
      </c>
      <c r="K84" s="69">
        <f>27530000+1100000+1606500-3000000+1500000+10000000+6000000+75000+10000000+454000-16000000+5930000+1500000+100000</f>
        <v>46795500</v>
      </c>
      <c r="L84" s="69"/>
      <c r="M84" s="69"/>
      <c r="N84" s="69"/>
      <c r="O84" s="69">
        <f>27530000+1100000+1606500-3000000+1500000+10000000+6000000+75000+10000000+454000-16000000+5930000+1500000+100000</f>
        <v>46795500</v>
      </c>
      <c r="P84" s="69">
        <f t="shared" si="27"/>
        <v>167936558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17.25" customHeight="1" x14ac:dyDescent="0.25">
      <c r="A85" s="43"/>
      <c r="B85" s="44"/>
      <c r="C85" s="44"/>
      <c r="D85" s="22" t="s">
        <v>308</v>
      </c>
      <c r="E85" s="69">
        <f t="shared" si="26"/>
        <v>48187871</v>
      </c>
      <c r="F85" s="69">
        <f>45209900+2680300+147671+150000</f>
        <v>48187871</v>
      </c>
      <c r="G85" s="69"/>
      <c r="H85" s="69"/>
      <c r="I85" s="71"/>
      <c r="J85" s="69">
        <f t="shared" si="28"/>
        <v>0</v>
      </c>
      <c r="K85" s="69"/>
      <c r="L85" s="69"/>
      <c r="M85" s="69"/>
      <c r="N85" s="69"/>
      <c r="O85" s="69"/>
      <c r="P85" s="69">
        <f t="shared" si="27"/>
        <v>48187871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36.75" customHeight="1" x14ac:dyDescent="0.25">
      <c r="A86" s="43" t="s">
        <v>214</v>
      </c>
      <c r="B86" s="44" t="str">
        <f>'дод 3'!A43</f>
        <v>2030</v>
      </c>
      <c r="C86" s="44" t="str">
        <f>'дод 3'!B43</f>
        <v>0733</v>
      </c>
      <c r="D86" s="24" t="str">
        <f>'дод 3'!C43</f>
        <v>Лікарсько-акушерська допомога вагітним, породіллям та новонародженим</v>
      </c>
      <c r="E86" s="69">
        <f t="shared" si="26"/>
        <v>15420473</v>
      </c>
      <c r="F86" s="69">
        <f>15275473+50000+95000</f>
        <v>15420473</v>
      </c>
      <c r="G86" s="71"/>
      <c r="H86" s="71"/>
      <c r="I86" s="71"/>
      <c r="J86" s="69">
        <f t="shared" si="28"/>
        <v>15040600</v>
      </c>
      <c r="K86" s="69">
        <v>15040600</v>
      </c>
      <c r="L86" s="69"/>
      <c r="M86" s="69"/>
      <c r="N86" s="69"/>
      <c r="O86" s="69">
        <v>15040600</v>
      </c>
      <c r="P86" s="69">
        <f t="shared" si="27"/>
        <v>30461073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6.5" customHeight="1" x14ac:dyDescent="0.25">
      <c r="A87" s="43"/>
      <c r="B87" s="44"/>
      <c r="C87" s="44"/>
      <c r="D87" s="22" t="s">
        <v>308</v>
      </c>
      <c r="E87" s="69">
        <f t="shared" si="26"/>
        <v>6347600</v>
      </c>
      <c r="F87" s="69">
        <v>6347600</v>
      </c>
      <c r="G87" s="71"/>
      <c r="H87" s="71"/>
      <c r="I87" s="71"/>
      <c r="J87" s="69">
        <f t="shared" si="28"/>
        <v>0</v>
      </c>
      <c r="K87" s="69"/>
      <c r="L87" s="69"/>
      <c r="M87" s="69"/>
      <c r="N87" s="69"/>
      <c r="O87" s="69"/>
      <c r="P87" s="69">
        <f t="shared" si="27"/>
        <v>6347600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24" customHeight="1" x14ac:dyDescent="0.25">
      <c r="A88" s="43" t="s">
        <v>213</v>
      </c>
      <c r="B88" s="44" t="str">
        <f>'дод 3'!A45</f>
        <v>2100</v>
      </c>
      <c r="C88" s="44" t="str">
        <f>'дод 3'!B45</f>
        <v>0722</v>
      </c>
      <c r="D88" s="24" t="str">
        <f>'дод 3'!C45</f>
        <v>Стоматологічна допомога населенню</v>
      </c>
      <c r="E88" s="69">
        <f t="shared" si="26"/>
        <v>6663426</v>
      </c>
      <c r="F88" s="69">
        <v>6663426</v>
      </c>
      <c r="G88" s="71"/>
      <c r="H88" s="71"/>
      <c r="I88" s="71"/>
      <c r="J88" s="69">
        <f t="shared" si="28"/>
        <v>1130000</v>
      </c>
      <c r="K88" s="69">
        <f>1210600-80600</f>
        <v>1130000</v>
      </c>
      <c r="L88" s="69"/>
      <c r="M88" s="69"/>
      <c r="N88" s="69"/>
      <c r="O88" s="69">
        <f>1210600-80600</f>
        <v>1130000</v>
      </c>
      <c r="P88" s="69">
        <f t="shared" si="27"/>
        <v>7793426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15" customHeight="1" x14ac:dyDescent="0.25">
      <c r="A89" s="43"/>
      <c r="B89" s="44"/>
      <c r="C89" s="44"/>
      <c r="D89" s="22" t="s">
        <v>308</v>
      </c>
      <c r="E89" s="69">
        <f t="shared" si="26"/>
        <v>1132200</v>
      </c>
      <c r="F89" s="69">
        <v>1132200</v>
      </c>
      <c r="G89" s="71"/>
      <c r="H89" s="71"/>
      <c r="I89" s="71"/>
      <c r="J89" s="69">
        <f t="shared" si="28"/>
        <v>0</v>
      </c>
      <c r="K89" s="69"/>
      <c r="L89" s="69"/>
      <c r="M89" s="69"/>
      <c r="N89" s="69"/>
      <c r="O89" s="69"/>
      <c r="P89" s="69">
        <f t="shared" si="27"/>
        <v>1132200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40.5" customHeight="1" x14ac:dyDescent="0.25">
      <c r="A90" s="43" t="s">
        <v>212</v>
      </c>
      <c r="B90" s="44" t="str">
        <f>'дод 3'!A47</f>
        <v>2111</v>
      </c>
      <c r="C90" s="44" t="str">
        <f>'дод 3'!B47</f>
        <v>0726</v>
      </c>
      <c r="D90" s="24" t="str">
        <f>'дод 3'!C47</f>
        <v>Первинна медична допомога населенню, що надається центрами первинної медичної (медико-санітарної) допомоги</v>
      </c>
      <c r="E90" s="69">
        <f t="shared" si="26"/>
        <v>1984936</v>
      </c>
      <c r="F90" s="69">
        <f>1672468+173000+25000+12000+2468+100000</f>
        <v>1984936</v>
      </c>
      <c r="G90" s="71"/>
      <c r="H90" s="71"/>
      <c r="I90" s="71"/>
      <c r="J90" s="69">
        <f t="shared" si="28"/>
        <v>0</v>
      </c>
      <c r="K90" s="69"/>
      <c r="L90" s="69"/>
      <c r="M90" s="69"/>
      <c r="N90" s="69"/>
      <c r="O90" s="69"/>
      <c r="P90" s="69">
        <f t="shared" si="27"/>
        <v>1984936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18.75" customHeight="1" x14ac:dyDescent="0.25">
      <c r="A91" s="43"/>
      <c r="B91" s="44"/>
      <c r="C91" s="44"/>
      <c r="D91" s="25" t="str">
        <f>'дод 3'!C48</f>
        <v>у т.ч. за рахунок субвенцій з держбюджету</v>
      </c>
      <c r="E91" s="69">
        <f t="shared" ref="E91" si="29">F91+I91</f>
        <v>2468</v>
      </c>
      <c r="F91" s="69">
        <v>2468</v>
      </c>
      <c r="G91" s="71"/>
      <c r="H91" s="71"/>
      <c r="I91" s="71"/>
      <c r="J91" s="69">
        <f t="shared" ref="J91" si="30">L91+O91</f>
        <v>0</v>
      </c>
      <c r="K91" s="69"/>
      <c r="L91" s="69"/>
      <c r="M91" s="69"/>
      <c r="N91" s="69"/>
      <c r="O91" s="69"/>
      <c r="P91" s="69">
        <f t="shared" ref="P91" si="31">E91+J91</f>
        <v>2468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32.25" customHeight="1" x14ac:dyDescent="0.25">
      <c r="A92" s="43" t="s">
        <v>211</v>
      </c>
      <c r="B92" s="44">
        <f>'дод 3'!A49</f>
        <v>2144</v>
      </c>
      <c r="C92" s="44" t="str">
        <f>'дод 3'!B49</f>
        <v>0763</v>
      </c>
      <c r="D92" s="25" t="str">
        <f>'дод 3'!C49</f>
        <v>Централізовані заходи з лікування хворих на цукровий та нецукровий діабет</v>
      </c>
      <c r="E92" s="69">
        <f t="shared" si="26"/>
        <v>7432709</v>
      </c>
      <c r="F92" s="69">
        <f>2090140+1000000+4342569</f>
        <v>7432709</v>
      </c>
      <c r="G92" s="71"/>
      <c r="H92" s="71"/>
      <c r="I92" s="71"/>
      <c r="J92" s="69">
        <f t="shared" si="28"/>
        <v>0</v>
      </c>
      <c r="K92" s="69"/>
      <c r="L92" s="69"/>
      <c r="M92" s="69"/>
      <c r="N92" s="69"/>
      <c r="O92" s="69"/>
      <c r="P92" s="69">
        <f t="shared" si="27"/>
        <v>7432709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23" customFormat="1" ht="18.75" customHeight="1" x14ac:dyDescent="0.25">
      <c r="A93" s="43"/>
      <c r="B93" s="44"/>
      <c r="C93" s="44"/>
      <c r="D93" s="25" t="str">
        <f>'дод 3'!C50</f>
        <v>у т.ч. за рахунок субвенцій з держбюджету</v>
      </c>
      <c r="E93" s="69">
        <f t="shared" si="26"/>
        <v>5832709</v>
      </c>
      <c r="F93" s="69">
        <f>1490140+4342569</f>
        <v>5832709</v>
      </c>
      <c r="G93" s="71"/>
      <c r="H93" s="71"/>
      <c r="I93" s="71"/>
      <c r="J93" s="69">
        <f t="shared" si="28"/>
        <v>0</v>
      </c>
      <c r="K93" s="69"/>
      <c r="L93" s="69"/>
      <c r="M93" s="69"/>
      <c r="N93" s="69"/>
      <c r="O93" s="69"/>
      <c r="P93" s="69">
        <f t="shared" si="27"/>
        <v>5832709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30" customHeight="1" x14ac:dyDescent="0.25">
      <c r="A94" s="43" t="s">
        <v>382</v>
      </c>
      <c r="B94" s="45" t="str">
        <f>'дод 3'!A51</f>
        <v>2151</v>
      </c>
      <c r="C94" s="45" t="str">
        <f>'дод 3'!B51</f>
        <v>0763</v>
      </c>
      <c r="D94" s="24" t="str">
        <f>'дод 3'!C51</f>
        <v>Забезпечення діяльності інших закладів у сфері охорони здоров’я</v>
      </c>
      <c r="E94" s="69">
        <f t="shared" si="26"/>
        <v>2894213</v>
      </c>
      <c r="F94" s="69">
        <v>2894213</v>
      </c>
      <c r="G94" s="71"/>
      <c r="H94" s="71"/>
      <c r="I94" s="71"/>
      <c r="J94" s="69">
        <f t="shared" si="28"/>
        <v>0</v>
      </c>
      <c r="K94" s="69"/>
      <c r="L94" s="69"/>
      <c r="M94" s="69"/>
      <c r="N94" s="69"/>
      <c r="O94" s="69"/>
      <c r="P94" s="69">
        <f t="shared" si="27"/>
        <v>2894213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24.75" customHeight="1" x14ac:dyDescent="0.25">
      <c r="A95" s="43" t="s">
        <v>383</v>
      </c>
      <c r="B95" s="45" t="str">
        <f>'дод 3'!A52</f>
        <v>2152</v>
      </c>
      <c r="C95" s="45" t="str">
        <f>'дод 3'!B52</f>
        <v>0763</v>
      </c>
      <c r="D95" s="22" t="str">
        <f>'дод 3'!C52</f>
        <v>Інші програми та заходи у сфері охорони здоров’я</v>
      </c>
      <c r="E95" s="69">
        <f>F95+I95</f>
        <v>73463433</v>
      </c>
      <c r="F95" s="69">
        <f>18815000+3000000+7000000+625000+63490000-8000000-1500000-5930000-1883000-1950000-203567</f>
        <v>73463433</v>
      </c>
      <c r="G95" s="69"/>
      <c r="H95" s="69"/>
      <c r="I95" s="69"/>
      <c r="J95" s="69">
        <f t="shared" si="28"/>
        <v>16000000</v>
      </c>
      <c r="K95" s="69">
        <v>16000000</v>
      </c>
      <c r="L95" s="69"/>
      <c r="M95" s="69"/>
      <c r="N95" s="69"/>
      <c r="O95" s="69">
        <v>16000000</v>
      </c>
      <c r="P95" s="69">
        <f t="shared" si="27"/>
        <v>89463433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3" customFormat="1" ht="44.25" customHeight="1" x14ac:dyDescent="0.25">
      <c r="A96" s="43" t="s">
        <v>449</v>
      </c>
      <c r="B96" s="45">
        <f>'дод 3'!A110</f>
        <v>7361</v>
      </c>
      <c r="C96" s="45" t="str">
        <f>'дод 3'!B110</f>
        <v>0490</v>
      </c>
      <c r="D96" s="22" t="str">
        <f>'дод 3'!C110</f>
        <v>Співфінансування інвестиційних проектів, що реалізуються за рахунок коштів державного фонду регіонального розвитку</v>
      </c>
      <c r="E96" s="69">
        <f t="shared" si="26"/>
        <v>0</v>
      </c>
      <c r="F96" s="69"/>
      <c r="G96" s="69"/>
      <c r="H96" s="69"/>
      <c r="I96" s="69"/>
      <c r="J96" s="69">
        <f t="shared" si="28"/>
        <v>3000000</v>
      </c>
      <c r="K96" s="69">
        <v>3000000</v>
      </c>
      <c r="L96" s="69"/>
      <c r="M96" s="69"/>
      <c r="N96" s="69"/>
      <c r="O96" s="69">
        <v>3000000</v>
      </c>
      <c r="P96" s="69">
        <f t="shared" si="27"/>
        <v>3000000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</row>
    <row r="97" spans="1:529" s="23" customFormat="1" ht="18.75" customHeight="1" x14ac:dyDescent="0.25">
      <c r="A97" s="43" t="s">
        <v>210</v>
      </c>
      <c r="B97" s="44" t="str">
        <f>'дод 3'!A125</f>
        <v>7640</v>
      </c>
      <c r="C97" s="44" t="str">
        <f>'дод 3'!B125</f>
        <v>0470</v>
      </c>
      <c r="D97" s="24" t="str">
        <f>'дод 3'!C125</f>
        <v>Заходи з енергозбереження</v>
      </c>
      <c r="E97" s="69">
        <f t="shared" si="26"/>
        <v>199000</v>
      </c>
      <c r="F97" s="69"/>
      <c r="G97" s="69"/>
      <c r="H97" s="69"/>
      <c r="I97" s="69">
        <v>199000</v>
      </c>
      <c r="J97" s="69">
        <f t="shared" si="28"/>
        <v>21983974</v>
      </c>
      <c r="K97" s="69">
        <f>17559604+14714700-6500000+1200000-1100000+9670-1500000-2400000</f>
        <v>21983974</v>
      </c>
      <c r="L97" s="69"/>
      <c r="M97" s="69"/>
      <c r="N97" s="69"/>
      <c r="O97" s="69">
        <f>17559604+14714700-6500000+1200000-1100000+9670-1500000-2400000</f>
        <v>21983974</v>
      </c>
      <c r="P97" s="69">
        <f t="shared" si="27"/>
        <v>22182974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23" customFormat="1" ht="45" customHeight="1" x14ac:dyDescent="0.25">
      <c r="A98" s="43" t="s">
        <v>425</v>
      </c>
      <c r="B98" s="44">
        <v>7700</v>
      </c>
      <c r="C98" s="43" t="s">
        <v>113</v>
      </c>
      <c r="D98" s="24" t="s">
        <v>426</v>
      </c>
      <c r="E98" s="69">
        <f t="shared" si="26"/>
        <v>0</v>
      </c>
      <c r="F98" s="69"/>
      <c r="G98" s="69"/>
      <c r="H98" s="69"/>
      <c r="I98" s="69"/>
      <c r="J98" s="69">
        <f t="shared" si="28"/>
        <v>885000</v>
      </c>
      <c r="K98" s="69"/>
      <c r="L98" s="69"/>
      <c r="M98" s="69"/>
      <c r="N98" s="69"/>
      <c r="O98" s="69">
        <v>885000</v>
      </c>
      <c r="P98" s="69">
        <f t="shared" si="27"/>
        <v>885000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31" customFormat="1" ht="36" customHeight="1" x14ac:dyDescent="0.2">
      <c r="A99" s="76" t="s">
        <v>215</v>
      </c>
      <c r="B99" s="74"/>
      <c r="C99" s="74"/>
      <c r="D99" s="30" t="s">
        <v>51</v>
      </c>
      <c r="E99" s="66">
        <f>E100</f>
        <v>170002426.63</v>
      </c>
      <c r="F99" s="66">
        <f t="shared" ref="F99:J99" si="32">F100</f>
        <v>170002426.63</v>
      </c>
      <c r="G99" s="66">
        <f t="shared" si="32"/>
        <v>55494025</v>
      </c>
      <c r="H99" s="66">
        <f t="shared" si="32"/>
        <v>1564490</v>
      </c>
      <c r="I99" s="66">
        <f t="shared" si="32"/>
        <v>0</v>
      </c>
      <c r="J99" s="66">
        <f t="shared" si="32"/>
        <v>1267640</v>
      </c>
      <c r="K99" s="66">
        <f t="shared" ref="K99" si="33">K100</f>
        <v>1159540</v>
      </c>
      <c r="L99" s="66">
        <f t="shared" ref="L99" si="34">L100</f>
        <v>108100</v>
      </c>
      <c r="M99" s="66">
        <f t="shared" ref="M99" si="35">M100</f>
        <v>85100</v>
      </c>
      <c r="N99" s="66">
        <f t="shared" ref="N99" si="36">N100</f>
        <v>0</v>
      </c>
      <c r="O99" s="66">
        <f t="shared" ref="O99:P99" si="37">O100</f>
        <v>1159540</v>
      </c>
      <c r="P99" s="66">
        <f t="shared" si="37"/>
        <v>171270066.63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</row>
    <row r="100" spans="1:529" s="40" customFormat="1" ht="32.25" customHeight="1" x14ac:dyDescent="0.25">
      <c r="A100" s="77" t="s">
        <v>216</v>
      </c>
      <c r="B100" s="75"/>
      <c r="C100" s="75"/>
      <c r="D100" s="33" t="s">
        <v>51</v>
      </c>
      <c r="E100" s="68">
        <f>E101+E102+E103+E104+E105+E106+E107+E108+E109+E110+E111+E112+E113+E114+E115+E116+E117+E118+E119+E120</f>
        <v>170002426.63</v>
      </c>
      <c r="F100" s="68">
        <f t="shared" ref="F100:P100" si="38">F101+F102+F103+F104+F105+F106+F107+F108+F109+F110+F111+F112+F113+F114+F115+F116+F117+F118+F119+F120</f>
        <v>170002426.63</v>
      </c>
      <c r="G100" s="68">
        <f t="shared" si="38"/>
        <v>55494025</v>
      </c>
      <c r="H100" s="68">
        <f t="shared" si="38"/>
        <v>1564490</v>
      </c>
      <c r="I100" s="68">
        <f t="shared" si="38"/>
        <v>0</v>
      </c>
      <c r="J100" s="68">
        <f t="shared" si="38"/>
        <v>1267640</v>
      </c>
      <c r="K100" s="68">
        <f>K101+K102+K103+K104+K105+K106+K107+K108+K109+K110+K111+K112+K113+K114+K115+K116+K117+K118+K119+K120</f>
        <v>1159540</v>
      </c>
      <c r="L100" s="68">
        <f t="shared" si="38"/>
        <v>108100</v>
      </c>
      <c r="M100" s="68">
        <f t="shared" si="38"/>
        <v>85100</v>
      </c>
      <c r="N100" s="68">
        <f t="shared" si="38"/>
        <v>0</v>
      </c>
      <c r="O100" s="68">
        <f t="shared" si="38"/>
        <v>1159540</v>
      </c>
      <c r="P100" s="68">
        <f t="shared" si="38"/>
        <v>171270066.63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</row>
    <row r="101" spans="1:529" s="23" customFormat="1" ht="45.75" customHeight="1" x14ac:dyDescent="0.25">
      <c r="A101" s="43" t="s">
        <v>217</v>
      </c>
      <c r="B101" s="44" t="str">
        <f>'дод 3'!A20</f>
        <v>0160</v>
      </c>
      <c r="C101" s="44" t="str">
        <f>'дод 3'!B20</f>
        <v>0111</v>
      </c>
      <c r="D101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01" s="69">
        <f t="shared" ref="E101:E120" si="39">F101+I101</f>
        <v>53321100</v>
      </c>
      <c r="F101" s="69">
        <f>55432800+254000-2496600+234900-104000</f>
        <v>53321100</v>
      </c>
      <c r="G101" s="69">
        <f>43728800-2046400-85200</f>
        <v>41597200</v>
      </c>
      <c r="H101" s="69">
        <v>841800</v>
      </c>
      <c r="I101" s="69"/>
      <c r="J101" s="69">
        <f>L101+O101</f>
        <v>0</v>
      </c>
      <c r="K101" s="69"/>
      <c r="L101" s="69"/>
      <c r="M101" s="69"/>
      <c r="N101" s="69"/>
      <c r="O101" s="69"/>
      <c r="P101" s="69">
        <f t="shared" ref="P101:P120" si="40">E101+J101</f>
        <v>53321100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</row>
    <row r="102" spans="1:529" s="26" customFormat="1" ht="36" customHeight="1" x14ac:dyDescent="0.25">
      <c r="A102" s="43" t="s">
        <v>218</v>
      </c>
      <c r="B102" s="44" t="str">
        <f>'дод 3'!A54</f>
        <v>3031</v>
      </c>
      <c r="C102" s="44" t="str">
        <f>'дод 3'!B54</f>
        <v>1030</v>
      </c>
      <c r="D102" s="24" t="str">
        <f>'дод 3'!C54</f>
        <v>Надання інших пільг окремим категоріям громадян відповідно до законодавства</v>
      </c>
      <c r="E102" s="69">
        <f t="shared" si="39"/>
        <v>582400</v>
      </c>
      <c r="F102" s="69">
        <v>582400</v>
      </c>
      <c r="G102" s="69"/>
      <c r="H102" s="69"/>
      <c r="I102" s="69"/>
      <c r="J102" s="69">
        <f t="shared" ref="J102:J117" si="41">L102+O102</f>
        <v>0</v>
      </c>
      <c r="K102" s="69">
        <f>232600-190600-42000</f>
        <v>0</v>
      </c>
      <c r="L102" s="69"/>
      <c r="M102" s="69"/>
      <c r="N102" s="69"/>
      <c r="O102" s="69">
        <f>232600-190600-42000</f>
        <v>0</v>
      </c>
      <c r="P102" s="69">
        <f t="shared" si="40"/>
        <v>582400</v>
      </c>
    </row>
    <row r="103" spans="1:529" s="26" customFormat="1" ht="37.5" customHeight="1" x14ac:dyDescent="0.25">
      <c r="A103" s="43" t="s">
        <v>219</v>
      </c>
      <c r="B103" s="44" t="str">
        <f>'дод 3'!A55</f>
        <v>3032</v>
      </c>
      <c r="C103" s="44" t="str">
        <f>'дод 3'!B55</f>
        <v>1070</v>
      </c>
      <c r="D103" s="24" t="str">
        <f>'дод 3'!C55</f>
        <v>Надання пільг окремим категоріям громадян з оплати послуг зв'язку</v>
      </c>
      <c r="E103" s="69">
        <f t="shared" si="39"/>
        <v>1259894</v>
      </c>
      <c r="F103" s="69">
        <f>1300000-4876-35230</f>
        <v>1259894</v>
      </c>
      <c r="G103" s="69"/>
      <c r="H103" s="69"/>
      <c r="I103" s="69"/>
      <c r="J103" s="69">
        <f t="shared" si="41"/>
        <v>0</v>
      </c>
      <c r="K103" s="69"/>
      <c r="L103" s="69"/>
      <c r="M103" s="69"/>
      <c r="N103" s="69"/>
      <c r="O103" s="69"/>
      <c r="P103" s="69">
        <f t="shared" si="40"/>
        <v>1259894</v>
      </c>
    </row>
    <row r="104" spans="1:529" s="26" customFormat="1" ht="48.75" customHeight="1" x14ac:dyDescent="0.25">
      <c r="A104" s="43" t="s">
        <v>413</v>
      </c>
      <c r="B104" s="44" t="str">
        <f>'дод 3'!A56</f>
        <v>3033</v>
      </c>
      <c r="C104" s="44" t="str">
        <f>'дод 3'!B56</f>
        <v>1070</v>
      </c>
      <c r="D104" s="24" t="str">
        <f>'дод 3'!C56</f>
        <v>Компенсаційні виплати на пільговий проїзд автомобільним транспортом окремим категоріям громадян</v>
      </c>
      <c r="E104" s="69">
        <f t="shared" si="39"/>
        <v>24021763.129999999</v>
      </c>
      <c r="F104" s="69">
        <f>24500000+97100+2184757.11+39906.02-2800000</f>
        <v>24021763.129999999</v>
      </c>
      <c r="G104" s="69"/>
      <c r="H104" s="69"/>
      <c r="I104" s="69"/>
      <c r="J104" s="69">
        <f t="shared" si="41"/>
        <v>0</v>
      </c>
      <c r="K104" s="69"/>
      <c r="L104" s="69"/>
      <c r="M104" s="69"/>
      <c r="N104" s="69"/>
      <c r="O104" s="69"/>
      <c r="P104" s="69">
        <f t="shared" si="40"/>
        <v>24021763.129999999</v>
      </c>
    </row>
    <row r="105" spans="1:529" s="26" customFormat="1" ht="30" x14ac:dyDescent="0.25">
      <c r="A105" s="43" t="s">
        <v>381</v>
      </c>
      <c r="B105" s="44" t="str">
        <f>'дод 3'!A57</f>
        <v>3035</v>
      </c>
      <c r="C105" s="44" t="str">
        <f>'дод 3'!B57</f>
        <v>1070</v>
      </c>
      <c r="D105" s="24" t="str">
        <f>'дод 3'!C57</f>
        <v>Компенсаційні виплати за пільговий проїзд окремих категорій громадян на залізничному транспорті</v>
      </c>
      <c r="E105" s="69">
        <f t="shared" si="39"/>
        <v>1000000</v>
      </c>
      <c r="F105" s="69">
        <v>1000000</v>
      </c>
      <c r="G105" s="69"/>
      <c r="H105" s="69"/>
      <c r="I105" s="69"/>
      <c r="J105" s="69">
        <f t="shared" si="41"/>
        <v>0</v>
      </c>
      <c r="K105" s="69"/>
      <c r="L105" s="69"/>
      <c r="M105" s="69"/>
      <c r="N105" s="69"/>
      <c r="O105" s="69"/>
      <c r="P105" s="69">
        <f t="shared" si="40"/>
        <v>1000000</v>
      </c>
    </row>
    <row r="106" spans="1:529" s="26" customFormat="1" ht="36" customHeight="1" x14ac:dyDescent="0.25">
      <c r="A106" s="43" t="s">
        <v>220</v>
      </c>
      <c r="B106" s="44" t="str">
        <f>'дод 3'!A58</f>
        <v>3036</v>
      </c>
      <c r="C106" s="44" t="str">
        <f>'дод 3'!B58</f>
        <v>1070</v>
      </c>
      <c r="D106" s="24" t="str">
        <f>'дод 3'!C58</f>
        <v>Компенсаційні виплати на пільговий проїзд електротранспортом окремим категоріям громадян</v>
      </c>
      <c r="E106" s="69">
        <f t="shared" si="39"/>
        <v>26077955.5</v>
      </c>
      <c r="F106" s="69">
        <f>39098112+1372388+807455.5-15200000</f>
        <v>26077955.5</v>
      </c>
      <c r="G106" s="69"/>
      <c r="H106" s="69"/>
      <c r="I106" s="69"/>
      <c r="J106" s="69">
        <f t="shared" si="41"/>
        <v>0</v>
      </c>
      <c r="K106" s="69"/>
      <c r="L106" s="69"/>
      <c r="M106" s="69"/>
      <c r="N106" s="69"/>
      <c r="O106" s="69"/>
      <c r="P106" s="69">
        <f t="shared" si="40"/>
        <v>26077955.5</v>
      </c>
    </row>
    <row r="107" spans="1:529" s="23" customFormat="1" ht="39" customHeight="1" x14ac:dyDescent="0.25">
      <c r="A107" s="43" t="s">
        <v>411</v>
      </c>
      <c r="B107" s="44" t="str">
        <f>'дод 3'!A59</f>
        <v>3050</v>
      </c>
      <c r="C107" s="44" t="str">
        <f>'дод 3'!B59</f>
        <v>1070</v>
      </c>
      <c r="D107" s="24" t="str">
        <f>'дод 3'!C59</f>
        <v>Пільгове медичне обслуговування осіб, які постраждали внаслідок Чорнобильської катастрофи</v>
      </c>
      <c r="E107" s="69">
        <f t="shared" si="39"/>
        <v>853000</v>
      </c>
      <c r="F107" s="69">
        <v>853000</v>
      </c>
      <c r="G107" s="69"/>
      <c r="H107" s="69"/>
      <c r="I107" s="69"/>
      <c r="J107" s="69">
        <f t="shared" si="41"/>
        <v>0</v>
      </c>
      <c r="K107" s="69"/>
      <c r="L107" s="69"/>
      <c r="M107" s="69"/>
      <c r="N107" s="69"/>
      <c r="O107" s="69"/>
      <c r="P107" s="69">
        <f t="shared" si="40"/>
        <v>853000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3" customFormat="1" ht="38.25" customHeight="1" x14ac:dyDescent="0.25">
      <c r="A108" s="43" t="s">
        <v>412</v>
      </c>
      <c r="B108" s="44" t="str">
        <f>'дод 3'!A60</f>
        <v>3090</v>
      </c>
      <c r="C108" s="44" t="str">
        <f>'дод 3'!B60</f>
        <v>1030</v>
      </c>
      <c r="D108" s="24" t="str">
        <f>'дод 3'!C60</f>
        <v>Видатки на поховання учасників бойових дій та осіб з інвалідністю внаслідок війни</v>
      </c>
      <c r="E108" s="69">
        <f t="shared" si="39"/>
        <v>228400</v>
      </c>
      <c r="F108" s="69">
        <v>228400</v>
      </c>
      <c r="G108" s="69"/>
      <c r="H108" s="69"/>
      <c r="I108" s="69"/>
      <c r="J108" s="69">
        <f t="shared" si="41"/>
        <v>0</v>
      </c>
      <c r="K108" s="69"/>
      <c r="L108" s="69"/>
      <c r="M108" s="69"/>
      <c r="N108" s="69"/>
      <c r="O108" s="69"/>
      <c r="P108" s="69">
        <f t="shared" si="40"/>
        <v>228400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</row>
    <row r="109" spans="1:529" s="23" customFormat="1" ht="60.75" customHeight="1" x14ac:dyDescent="0.25">
      <c r="A109" s="43" t="s">
        <v>221</v>
      </c>
      <c r="B109" s="44" t="str">
        <f>'дод 3'!A61</f>
        <v>3104</v>
      </c>
      <c r="C109" s="44" t="str">
        <f>'дод 3'!B61</f>
        <v>1020</v>
      </c>
      <c r="D109" s="24" t="str">
        <f>'дод 3'!C61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9" s="69">
        <f t="shared" si="39"/>
        <v>13559330</v>
      </c>
      <c r="F109" s="69">
        <f>13527630+2100+29600</f>
        <v>13559330</v>
      </c>
      <c r="G109" s="69">
        <v>10389550</v>
      </c>
      <c r="H109" s="69">
        <v>230060</v>
      </c>
      <c r="I109" s="69"/>
      <c r="J109" s="69">
        <f t="shared" si="41"/>
        <v>471000</v>
      </c>
      <c r="K109" s="69">
        <f>342900+20000</f>
        <v>362900</v>
      </c>
      <c r="L109" s="69">
        <v>108100</v>
      </c>
      <c r="M109" s="69">
        <v>85100</v>
      </c>
      <c r="N109" s="69"/>
      <c r="O109" s="69">
        <f>342900+20000</f>
        <v>362900</v>
      </c>
      <c r="P109" s="69">
        <f t="shared" si="40"/>
        <v>14030330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</row>
    <row r="110" spans="1:529" s="23" customFormat="1" ht="87" customHeight="1" x14ac:dyDescent="0.25">
      <c r="A110" s="43" t="s">
        <v>222</v>
      </c>
      <c r="B110" s="44" t="str">
        <f>'дод 3'!A67</f>
        <v>3160</v>
      </c>
      <c r="C110" s="44">
        <f>'дод 3'!B67</f>
        <v>1010</v>
      </c>
      <c r="D110" s="24" t="str">
        <f>'дод 3'!C67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10" s="69">
        <f t="shared" si="39"/>
        <v>1884220</v>
      </c>
      <c r="F110" s="69">
        <f>1911000-16000-10780</f>
        <v>1884220</v>
      </c>
      <c r="G110" s="69"/>
      <c r="H110" s="69"/>
      <c r="I110" s="69"/>
      <c r="J110" s="69">
        <f t="shared" si="41"/>
        <v>0</v>
      </c>
      <c r="K110" s="69"/>
      <c r="L110" s="69"/>
      <c r="M110" s="69"/>
      <c r="N110" s="69"/>
      <c r="O110" s="69"/>
      <c r="P110" s="69">
        <f t="shared" si="40"/>
        <v>1884220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</row>
    <row r="111" spans="1:529" s="23" customFormat="1" ht="55.5" customHeight="1" x14ac:dyDescent="0.25">
      <c r="A111" s="43" t="s">
        <v>414</v>
      </c>
      <c r="B111" s="44" t="str">
        <f>'дод 3'!A68</f>
        <v>3171</v>
      </c>
      <c r="C111" s="44">
        <f>'дод 3'!B68</f>
        <v>1010</v>
      </c>
      <c r="D111" s="24" t="str">
        <f>'дод 3'!C68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11" s="69">
        <f t="shared" si="39"/>
        <v>228095</v>
      </c>
      <c r="F111" s="69">
        <v>228095</v>
      </c>
      <c r="G111" s="69"/>
      <c r="H111" s="69"/>
      <c r="I111" s="69"/>
      <c r="J111" s="69">
        <f t="shared" si="41"/>
        <v>0</v>
      </c>
      <c r="K111" s="69"/>
      <c r="L111" s="69"/>
      <c r="M111" s="69"/>
      <c r="N111" s="69"/>
      <c r="O111" s="69"/>
      <c r="P111" s="69">
        <f t="shared" si="40"/>
        <v>228095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28.5" customHeight="1" x14ac:dyDescent="0.25">
      <c r="A112" s="43" t="s">
        <v>415</v>
      </c>
      <c r="B112" s="44" t="str">
        <f>'дод 3'!A69</f>
        <v>3172</v>
      </c>
      <c r="C112" s="44">
        <f>'дод 3'!B69</f>
        <v>1010</v>
      </c>
      <c r="D112" s="24" t="str">
        <f>'дод 3'!C69</f>
        <v>Встановлення телефонів особам з інвалідністю I і II груп</v>
      </c>
      <c r="E112" s="69">
        <f t="shared" si="39"/>
        <v>90</v>
      </c>
      <c r="F112" s="69">
        <v>90</v>
      </c>
      <c r="G112" s="69"/>
      <c r="H112" s="69"/>
      <c r="I112" s="69"/>
      <c r="J112" s="69">
        <f t="shared" si="41"/>
        <v>0</v>
      </c>
      <c r="K112" s="69"/>
      <c r="L112" s="69"/>
      <c r="M112" s="69"/>
      <c r="N112" s="69"/>
      <c r="O112" s="69"/>
      <c r="P112" s="69">
        <f t="shared" si="40"/>
        <v>90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3" customFormat="1" ht="65.25" customHeight="1" x14ac:dyDescent="0.25">
      <c r="A113" s="43" t="s">
        <v>223</v>
      </c>
      <c r="B113" s="44" t="str">
        <f>'дод 3'!A70</f>
        <v>3180</v>
      </c>
      <c r="C113" s="44" t="str">
        <f>'дод 3'!B70</f>
        <v>1060</v>
      </c>
      <c r="D113" s="24" t="str">
        <f>'дод 3'!C70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3" s="69">
        <f t="shared" si="39"/>
        <v>2075000</v>
      </c>
      <c r="F113" s="69">
        <f>1876300+198700</f>
        <v>2075000</v>
      </c>
      <c r="G113" s="69"/>
      <c r="H113" s="69"/>
      <c r="I113" s="69"/>
      <c r="J113" s="69">
        <f t="shared" si="41"/>
        <v>0</v>
      </c>
      <c r="K113" s="69"/>
      <c r="L113" s="69"/>
      <c r="M113" s="69"/>
      <c r="N113" s="69"/>
      <c r="O113" s="69"/>
      <c r="P113" s="69">
        <f t="shared" si="40"/>
        <v>2075000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27" customHeight="1" x14ac:dyDescent="0.25">
      <c r="A114" s="43" t="s">
        <v>360</v>
      </c>
      <c r="B114" s="44" t="str">
        <f>'дод 3'!A71</f>
        <v>3191</v>
      </c>
      <c r="C114" s="44" t="str">
        <f>'дод 3'!B71</f>
        <v>1030</v>
      </c>
      <c r="D114" s="24" t="str">
        <f>'дод 3'!C71</f>
        <v>Інші видатки на соціальний захист ветеранів війни та праці</v>
      </c>
      <c r="E114" s="69">
        <f t="shared" si="39"/>
        <v>2170968</v>
      </c>
      <c r="F114" s="69">
        <f>2178000-7032</f>
        <v>2170968</v>
      </c>
      <c r="G114" s="69"/>
      <c r="H114" s="69"/>
      <c r="I114" s="69"/>
      <c r="J114" s="69">
        <f t="shared" si="41"/>
        <v>0</v>
      </c>
      <c r="K114" s="69"/>
      <c r="L114" s="69"/>
      <c r="M114" s="69"/>
      <c r="N114" s="69"/>
      <c r="O114" s="69"/>
      <c r="P114" s="69">
        <f t="shared" si="40"/>
        <v>2170968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3" customFormat="1" ht="45" x14ac:dyDescent="0.25">
      <c r="A115" s="43" t="s">
        <v>361</v>
      </c>
      <c r="B115" s="44" t="str">
        <f>'дод 3'!A72</f>
        <v>3192</v>
      </c>
      <c r="C115" s="44" t="str">
        <f>'дод 3'!B72</f>
        <v>1030</v>
      </c>
      <c r="D115" s="24" t="str">
        <f>'дод 3'!C72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5" s="69">
        <f t="shared" si="39"/>
        <v>1892237</v>
      </c>
      <c r="F115" s="69">
        <f>1478776+413461</f>
        <v>1892237</v>
      </c>
      <c r="G115" s="69"/>
      <c r="H115" s="69"/>
      <c r="I115" s="69"/>
      <c r="J115" s="69">
        <f t="shared" si="41"/>
        <v>0</v>
      </c>
      <c r="K115" s="69"/>
      <c r="L115" s="69"/>
      <c r="M115" s="69"/>
      <c r="N115" s="69"/>
      <c r="O115" s="69"/>
      <c r="P115" s="69">
        <f t="shared" si="40"/>
        <v>1892237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3" customFormat="1" ht="41.25" customHeight="1" x14ac:dyDescent="0.25">
      <c r="A116" s="43" t="s">
        <v>224</v>
      </c>
      <c r="B116" s="44" t="str">
        <f>'дод 3'!A73</f>
        <v>3200</v>
      </c>
      <c r="C116" s="44" t="str">
        <f>'дод 3'!B73</f>
        <v>1090</v>
      </c>
      <c r="D116" s="24" t="str">
        <f>'дод 3'!C73</f>
        <v>Забезпечення обробки інформації з нарахування та виплати допомог і компенсацій</v>
      </c>
      <c r="E116" s="69">
        <f t="shared" si="39"/>
        <v>86500</v>
      </c>
      <c r="F116" s="69">
        <v>86500</v>
      </c>
      <c r="G116" s="69"/>
      <c r="H116" s="69"/>
      <c r="I116" s="69"/>
      <c r="J116" s="69">
        <f t="shared" si="41"/>
        <v>0</v>
      </c>
      <c r="K116" s="69"/>
      <c r="L116" s="69"/>
      <c r="M116" s="69"/>
      <c r="N116" s="69"/>
      <c r="O116" s="69"/>
      <c r="P116" s="69">
        <f t="shared" si="40"/>
        <v>86500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3" customFormat="1" ht="19.5" customHeight="1" x14ac:dyDescent="0.25">
      <c r="A117" s="52" t="s">
        <v>362</v>
      </c>
      <c r="B117" s="45" t="str">
        <f>'дод 3'!A74</f>
        <v>3210</v>
      </c>
      <c r="C117" s="45" t="str">
        <f>'дод 3'!B74</f>
        <v>1050</v>
      </c>
      <c r="D117" s="22" t="str">
        <f>'дод 3'!C74</f>
        <v>Організація та проведення громадських робіт</v>
      </c>
      <c r="E117" s="69">
        <f t="shared" si="39"/>
        <v>200000</v>
      </c>
      <c r="F117" s="69">
        <v>200000</v>
      </c>
      <c r="G117" s="69">
        <v>163935</v>
      </c>
      <c r="H117" s="69"/>
      <c r="I117" s="69"/>
      <c r="J117" s="69">
        <f t="shared" si="41"/>
        <v>0</v>
      </c>
      <c r="K117" s="69"/>
      <c r="L117" s="69"/>
      <c r="M117" s="69"/>
      <c r="N117" s="69"/>
      <c r="O117" s="69"/>
      <c r="P117" s="69">
        <f t="shared" si="40"/>
        <v>200000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23" customFormat="1" ht="31.5" customHeight="1" x14ac:dyDescent="0.25">
      <c r="A118" s="43" t="s">
        <v>359</v>
      </c>
      <c r="B118" s="44" t="str">
        <f>'дод 3'!A75</f>
        <v>3241</v>
      </c>
      <c r="C118" s="44" t="str">
        <f>'дод 3'!B75</f>
        <v>1090</v>
      </c>
      <c r="D118" s="24" t="str">
        <f>'дод 3'!C75</f>
        <v>Забезпечення діяльності інших закладів у сфері соціального захисту і соціального забезпечення</v>
      </c>
      <c r="E118" s="69">
        <f t="shared" si="39"/>
        <v>5520906</v>
      </c>
      <c r="F118" s="69">
        <f>5445830+31200-41000+61876-10000+33000</f>
        <v>5520906</v>
      </c>
      <c r="G118" s="69">
        <v>3343340</v>
      </c>
      <c r="H118" s="69">
        <f>543630-41000-10000</f>
        <v>492630</v>
      </c>
      <c r="I118" s="69"/>
      <c r="J118" s="69">
        <f t="shared" ref="J118:J120" si="42">L118+O118</f>
        <v>761000</v>
      </c>
      <c r="K118" s="69">
        <f>200000+500000+40000+21000</f>
        <v>761000</v>
      </c>
      <c r="L118" s="69"/>
      <c r="M118" s="69"/>
      <c r="N118" s="69"/>
      <c r="O118" s="69">
        <f>200000+500000+40000+21000</f>
        <v>761000</v>
      </c>
      <c r="P118" s="69">
        <f t="shared" si="40"/>
        <v>6281906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</row>
    <row r="119" spans="1:529" s="23" customFormat="1" ht="33" customHeight="1" x14ac:dyDescent="0.25">
      <c r="A119" s="43" t="s">
        <v>416</v>
      </c>
      <c r="B119" s="44" t="str">
        <f>'дод 3'!A76</f>
        <v>3242</v>
      </c>
      <c r="C119" s="44" t="str">
        <f>'дод 3'!B76</f>
        <v>1090</v>
      </c>
      <c r="D119" s="24" t="str">
        <f>'дод 3'!C76</f>
        <v>Інші заходи у сфері соціального захисту і соціального забезпечення</v>
      </c>
      <c r="E119" s="69">
        <f t="shared" si="39"/>
        <v>33970568</v>
      </c>
      <c r="F119" s="69">
        <f>29645360-11+360800-350000+439024+43903+350000+2246300+418550+70000-29600+470500+63000+16000-7170+42400+133500-12220+32000+13000+7032+18200</f>
        <v>33970568</v>
      </c>
      <c r="G119" s="69"/>
      <c r="H119" s="69"/>
      <c r="I119" s="69"/>
      <c r="J119" s="69">
        <f t="shared" si="42"/>
        <v>35640</v>
      </c>
      <c r="K119" s="69">
        <v>35640</v>
      </c>
      <c r="L119" s="69"/>
      <c r="M119" s="69"/>
      <c r="N119" s="69"/>
      <c r="O119" s="69">
        <v>35640</v>
      </c>
      <c r="P119" s="69">
        <f t="shared" si="40"/>
        <v>34006208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</row>
    <row r="120" spans="1:529" s="23" customFormat="1" ht="31.5" customHeight="1" x14ac:dyDescent="0.25">
      <c r="A120" s="43" t="s">
        <v>307</v>
      </c>
      <c r="B120" s="44" t="str">
        <f>'дод 3'!A151</f>
        <v>9770</v>
      </c>
      <c r="C120" s="44" t="str">
        <f>'дод 3'!B151</f>
        <v>0180</v>
      </c>
      <c r="D120" s="24" t="str">
        <f>'дод 3'!C151</f>
        <v>Інші субвенції з місцевого бюджету</v>
      </c>
      <c r="E120" s="69">
        <f t="shared" si="39"/>
        <v>1070000</v>
      </c>
      <c r="F120" s="69">
        <v>1070000</v>
      </c>
      <c r="G120" s="69"/>
      <c r="H120" s="69"/>
      <c r="I120" s="69"/>
      <c r="J120" s="69">
        <f t="shared" si="42"/>
        <v>0</v>
      </c>
      <c r="K120" s="69"/>
      <c r="L120" s="69"/>
      <c r="M120" s="69"/>
      <c r="N120" s="69"/>
      <c r="O120" s="69"/>
      <c r="P120" s="69">
        <f t="shared" si="40"/>
        <v>1070000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31" customFormat="1" ht="28.5" customHeight="1" x14ac:dyDescent="0.2">
      <c r="A121" s="88" t="s">
        <v>225</v>
      </c>
      <c r="B121" s="72"/>
      <c r="C121" s="72"/>
      <c r="D121" s="30" t="s">
        <v>427</v>
      </c>
      <c r="E121" s="66">
        <f>E122</f>
        <v>5077200</v>
      </c>
      <c r="F121" s="66">
        <f t="shared" ref="F121:J121" si="43">F122</f>
        <v>5077200</v>
      </c>
      <c r="G121" s="66">
        <f t="shared" si="43"/>
        <v>3933800</v>
      </c>
      <c r="H121" s="66">
        <f t="shared" si="43"/>
        <v>57500</v>
      </c>
      <c r="I121" s="66">
        <f t="shared" si="43"/>
        <v>0</v>
      </c>
      <c r="J121" s="66">
        <f t="shared" si="43"/>
        <v>20000</v>
      </c>
      <c r="K121" s="66">
        <f t="shared" ref="K121" si="44">K122</f>
        <v>20000</v>
      </c>
      <c r="L121" s="66">
        <f t="shared" ref="L121" si="45">L122</f>
        <v>0</v>
      </c>
      <c r="M121" s="66">
        <f t="shared" ref="M121" si="46">M122</f>
        <v>0</v>
      </c>
      <c r="N121" s="66">
        <f t="shared" ref="N121" si="47">N122</f>
        <v>0</v>
      </c>
      <c r="O121" s="66">
        <f t="shared" ref="O121:P121" si="48">O122</f>
        <v>20000</v>
      </c>
      <c r="P121" s="66">
        <f t="shared" si="48"/>
        <v>5097200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8"/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</row>
    <row r="122" spans="1:529" s="40" customFormat="1" ht="29.25" customHeight="1" x14ac:dyDescent="0.25">
      <c r="A122" s="89" t="s">
        <v>226</v>
      </c>
      <c r="B122" s="73"/>
      <c r="C122" s="73"/>
      <c r="D122" s="33" t="s">
        <v>427</v>
      </c>
      <c r="E122" s="68">
        <f>E123+E124+E125</f>
        <v>5077200</v>
      </c>
      <c r="F122" s="68">
        <f t="shared" ref="F122:P122" si="49">F123+F124+F125</f>
        <v>5077200</v>
      </c>
      <c r="G122" s="68">
        <f t="shared" si="49"/>
        <v>3933800</v>
      </c>
      <c r="H122" s="68">
        <f t="shared" si="49"/>
        <v>57500</v>
      </c>
      <c r="I122" s="68">
        <f t="shared" si="49"/>
        <v>0</v>
      </c>
      <c r="J122" s="68">
        <f t="shared" si="49"/>
        <v>20000</v>
      </c>
      <c r="K122" s="68">
        <f t="shared" si="49"/>
        <v>20000</v>
      </c>
      <c r="L122" s="68">
        <f t="shared" si="49"/>
        <v>0</v>
      </c>
      <c r="M122" s="68">
        <f t="shared" si="49"/>
        <v>0</v>
      </c>
      <c r="N122" s="68">
        <f t="shared" si="49"/>
        <v>0</v>
      </c>
      <c r="O122" s="68">
        <f t="shared" si="49"/>
        <v>20000</v>
      </c>
      <c r="P122" s="68">
        <f t="shared" si="49"/>
        <v>5097200</v>
      </c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</row>
    <row r="123" spans="1:529" s="23" customFormat="1" ht="42.75" customHeight="1" x14ac:dyDescent="0.25">
      <c r="A123" s="43" t="s">
        <v>227</v>
      </c>
      <c r="B123" s="44" t="str">
        <f>'дод 3'!A20</f>
        <v>0160</v>
      </c>
      <c r="C123" s="44" t="str">
        <f>'дод 3'!B20</f>
        <v>0111</v>
      </c>
      <c r="D123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3" s="69">
        <f>F123+I123</f>
        <v>4986700</v>
      </c>
      <c r="F123" s="69">
        <f>5240600+10300-253200-11000</f>
        <v>4986700</v>
      </c>
      <c r="G123" s="69">
        <f>4150400-207600-9000</f>
        <v>3933800</v>
      </c>
      <c r="H123" s="69">
        <v>57500</v>
      </c>
      <c r="I123" s="69"/>
      <c r="J123" s="69">
        <f>L123+O123</f>
        <v>0</v>
      </c>
      <c r="K123" s="69"/>
      <c r="L123" s="69"/>
      <c r="M123" s="69"/>
      <c r="N123" s="69"/>
      <c r="O123" s="69"/>
      <c r="P123" s="69">
        <f>E123+J123</f>
        <v>4986700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</row>
    <row r="124" spans="1:529" s="23" customFormat="1" ht="60" x14ac:dyDescent="0.25">
      <c r="A124" s="43" t="s">
        <v>394</v>
      </c>
      <c r="B124" s="44">
        <v>3111</v>
      </c>
      <c r="C124" s="44">
        <v>1040</v>
      </c>
      <c r="D124" s="22" t="str">
        <f>'дод 3'!C62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4" s="69">
        <f>F124+I124</f>
        <v>0</v>
      </c>
      <c r="F124" s="69"/>
      <c r="G124" s="69"/>
      <c r="H124" s="69"/>
      <c r="I124" s="69"/>
      <c r="J124" s="69">
        <f t="shared" ref="J124:J125" si="50">L124+O124</f>
        <v>20000</v>
      </c>
      <c r="K124" s="69">
        <v>20000</v>
      </c>
      <c r="L124" s="69"/>
      <c r="M124" s="69"/>
      <c r="N124" s="69"/>
      <c r="O124" s="69">
        <v>20000</v>
      </c>
      <c r="P124" s="69">
        <f>E124+J124</f>
        <v>20000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</row>
    <row r="125" spans="1:529" s="23" customFormat="1" ht="36.75" customHeight="1" x14ac:dyDescent="0.25">
      <c r="A125" s="43" t="s">
        <v>228</v>
      </c>
      <c r="B125" s="44" t="str">
        <f>'дод 3'!A63</f>
        <v>3112</v>
      </c>
      <c r="C125" s="44" t="str">
        <f>'дод 3'!B63</f>
        <v>1040</v>
      </c>
      <c r="D125" s="24" t="str">
        <f>'дод 3'!C63</f>
        <v>Заходи державної політики з питань дітей та їх соціального захисту</v>
      </c>
      <c r="E125" s="69">
        <f>F125+I125</f>
        <v>90500</v>
      </c>
      <c r="F125" s="69">
        <v>90500</v>
      </c>
      <c r="G125" s="69"/>
      <c r="H125" s="69"/>
      <c r="I125" s="69"/>
      <c r="J125" s="69">
        <f t="shared" si="50"/>
        <v>0</v>
      </c>
      <c r="K125" s="69"/>
      <c r="L125" s="69"/>
      <c r="M125" s="69"/>
      <c r="N125" s="69"/>
      <c r="O125" s="69"/>
      <c r="P125" s="69">
        <f>E125+J125</f>
        <v>90500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31" customFormat="1" ht="22.5" customHeight="1" x14ac:dyDescent="0.2">
      <c r="A126" s="76" t="s">
        <v>35</v>
      </c>
      <c r="B126" s="74"/>
      <c r="C126" s="74"/>
      <c r="D126" s="30" t="s">
        <v>396</v>
      </c>
      <c r="E126" s="66">
        <f>E127</f>
        <v>65255365</v>
      </c>
      <c r="F126" s="66">
        <f t="shared" ref="F126:J126" si="51">F127</f>
        <v>65255365</v>
      </c>
      <c r="G126" s="66">
        <f t="shared" si="51"/>
        <v>47805300</v>
      </c>
      <c r="H126" s="66">
        <f t="shared" si="51"/>
        <v>2201760</v>
      </c>
      <c r="I126" s="66">
        <f t="shared" si="51"/>
        <v>0</v>
      </c>
      <c r="J126" s="66">
        <f t="shared" si="51"/>
        <v>4109635</v>
      </c>
      <c r="K126" s="66">
        <f t="shared" ref="K126" si="52">K127</f>
        <v>1290995</v>
      </c>
      <c r="L126" s="66">
        <f t="shared" ref="L126" si="53">L127</f>
        <v>2813920</v>
      </c>
      <c r="M126" s="66">
        <f t="shared" ref="M126" si="54">M127</f>
        <v>2279416</v>
      </c>
      <c r="N126" s="66">
        <f t="shared" ref="N126" si="55">N127</f>
        <v>3300</v>
      </c>
      <c r="O126" s="66">
        <f t="shared" ref="O126:P126" si="56">O127</f>
        <v>1295715</v>
      </c>
      <c r="P126" s="66">
        <f t="shared" si="56"/>
        <v>69365000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</row>
    <row r="127" spans="1:529" s="40" customFormat="1" ht="21.75" customHeight="1" x14ac:dyDescent="0.25">
      <c r="A127" s="77" t="s">
        <v>229</v>
      </c>
      <c r="B127" s="75"/>
      <c r="C127" s="75"/>
      <c r="D127" s="33" t="s">
        <v>396</v>
      </c>
      <c r="E127" s="68">
        <f>E128+E129+E130+E132+E133++E134+E131+E135</f>
        <v>65255365</v>
      </c>
      <c r="F127" s="68">
        <f t="shared" ref="F127:P127" si="57">F128+F129+F130+F132+F133++F134+F131+F135</f>
        <v>65255365</v>
      </c>
      <c r="G127" s="68">
        <f t="shared" si="57"/>
        <v>47805300</v>
      </c>
      <c r="H127" s="68">
        <f t="shared" si="57"/>
        <v>2201760</v>
      </c>
      <c r="I127" s="68">
        <f t="shared" si="57"/>
        <v>0</v>
      </c>
      <c r="J127" s="68">
        <f t="shared" si="57"/>
        <v>4109635</v>
      </c>
      <c r="K127" s="68">
        <f>K128+K129+K130+K132+K133++K134+K131+K135</f>
        <v>1290995</v>
      </c>
      <c r="L127" s="68">
        <f t="shared" si="57"/>
        <v>2813920</v>
      </c>
      <c r="M127" s="68">
        <f t="shared" si="57"/>
        <v>2279416</v>
      </c>
      <c r="N127" s="68">
        <f t="shared" si="57"/>
        <v>3300</v>
      </c>
      <c r="O127" s="68">
        <f t="shared" si="57"/>
        <v>1295715</v>
      </c>
      <c r="P127" s="68">
        <f t="shared" si="57"/>
        <v>69365000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</row>
    <row r="128" spans="1:529" s="23" customFormat="1" ht="48" customHeight="1" x14ac:dyDescent="0.25">
      <c r="A128" s="43" t="s">
        <v>169</v>
      </c>
      <c r="B128" s="44" t="str">
        <f>'дод 3'!A20</f>
        <v>0160</v>
      </c>
      <c r="C128" s="44" t="str">
        <f>'дод 3'!B20</f>
        <v>0111</v>
      </c>
      <c r="D12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8" s="69">
        <f t="shared" ref="E128:E135" si="58">F128+I128</f>
        <v>1905700</v>
      </c>
      <c r="F128" s="69">
        <f>1862800+4400-90500+134000-5000</f>
        <v>1905700</v>
      </c>
      <c r="G128" s="69">
        <f>1461200-74200-4100</f>
        <v>1382900</v>
      </c>
      <c r="H128" s="69">
        <v>17700</v>
      </c>
      <c r="I128" s="69"/>
      <c r="J128" s="69">
        <f>L128+O128</f>
        <v>0</v>
      </c>
      <c r="K128" s="69"/>
      <c r="L128" s="69"/>
      <c r="M128" s="69"/>
      <c r="N128" s="69"/>
      <c r="O128" s="69"/>
      <c r="P128" s="69">
        <f t="shared" ref="P128:P135" si="59">E128+J128</f>
        <v>1905700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3" customFormat="1" ht="33.75" customHeight="1" x14ac:dyDescent="0.25">
      <c r="A129" s="43" t="s">
        <v>260</v>
      </c>
      <c r="B129" s="44" t="str">
        <f>'дод 3'!A31</f>
        <v>1100</v>
      </c>
      <c r="C129" s="44" t="str">
        <f>'дод 3'!B31</f>
        <v>0960</v>
      </c>
      <c r="D129" s="24" t="str">
        <f>'дод 3'!C31</f>
        <v>Надання спеціальної освіти мистецькими школами</v>
      </c>
      <c r="E129" s="69">
        <f t="shared" si="58"/>
        <v>39114600</v>
      </c>
      <c r="F129" s="69">
        <f>38963600+75000+63000+13000</f>
        <v>39114600</v>
      </c>
      <c r="G129" s="69">
        <v>30830000</v>
      </c>
      <c r="H129" s="69">
        <v>793600</v>
      </c>
      <c r="I129" s="69"/>
      <c r="J129" s="69">
        <f t="shared" ref="J129:J135" si="60">L129+O129</f>
        <v>3336640</v>
      </c>
      <c r="K129" s="69">
        <f>100000+400000+7000+5000+30000+15000</f>
        <v>557000</v>
      </c>
      <c r="L129" s="69">
        <v>2774920</v>
      </c>
      <c r="M129" s="69">
        <v>2267316</v>
      </c>
      <c r="N129" s="69"/>
      <c r="O129" s="69">
        <f>4720+500000+7000+5000+30000+15000</f>
        <v>561720</v>
      </c>
      <c r="P129" s="69">
        <f t="shared" si="59"/>
        <v>42451240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</row>
    <row r="130" spans="1:529" s="23" customFormat="1" ht="21" customHeight="1" x14ac:dyDescent="0.25">
      <c r="A130" s="43" t="s">
        <v>230</v>
      </c>
      <c r="B130" s="44" t="str">
        <f>'дод 3'!A78</f>
        <v>4030</v>
      </c>
      <c r="C130" s="44" t="str">
        <f>'дод 3'!B78</f>
        <v>0824</v>
      </c>
      <c r="D130" s="24" t="str">
        <f>'дод 3'!C78</f>
        <v>Забезпечення діяльності бібліотек</v>
      </c>
      <c r="E130" s="69">
        <f t="shared" si="58"/>
        <v>19303085</v>
      </c>
      <c r="F130" s="69">
        <f>19098200+20000+169535+7000+8350</f>
        <v>19303085</v>
      </c>
      <c r="G130" s="69">
        <v>13804000</v>
      </c>
      <c r="H130" s="69">
        <v>1346200</v>
      </c>
      <c r="I130" s="69"/>
      <c r="J130" s="69">
        <f t="shared" si="60"/>
        <v>346795</v>
      </c>
      <c r="K130" s="69">
        <f>100000+216795</f>
        <v>316795</v>
      </c>
      <c r="L130" s="69">
        <v>30000</v>
      </c>
      <c r="M130" s="69">
        <v>12100</v>
      </c>
      <c r="N130" s="69"/>
      <c r="O130" s="69">
        <f>100000+216795</f>
        <v>316795</v>
      </c>
      <c r="P130" s="69">
        <f t="shared" si="59"/>
        <v>19649880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3" customFormat="1" ht="27.75" customHeight="1" x14ac:dyDescent="0.25">
      <c r="A131" s="43">
        <v>1014060</v>
      </c>
      <c r="B131" s="44" t="str">
        <f>'дод 3'!A79</f>
        <v>4060</v>
      </c>
      <c r="C131" s="44" t="str">
        <f>'дод 3'!B79</f>
        <v>0828</v>
      </c>
      <c r="D131" s="24" t="str">
        <f>'дод 3'!C79</f>
        <v>Забезпечення діяльності палаців i будинків культури, клубів, центрів дозвілля та iнших клубних закладів</v>
      </c>
      <c r="E131" s="69">
        <f t="shared" si="58"/>
        <v>628280</v>
      </c>
      <c r="F131" s="69">
        <f>546680+61800+19800</f>
        <v>628280</v>
      </c>
      <c r="G131" s="69">
        <v>424400</v>
      </c>
      <c r="H131" s="69">
        <v>11360</v>
      </c>
      <c r="I131" s="69"/>
      <c r="J131" s="69">
        <f t="shared" si="60"/>
        <v>27200</v>
      </c>
      <c r="K131" s="69">
        <v>21200</v>
      </c>
      <c r="L131" s="69">
        <v>6000</v>
      </c>
      <c r="M131" s="69"/>
      <c r="N131" s="69">
        <v>3300</v>
      </c>
      <c r="O131" s="69">
        <v>21200</v>
      </c>
      <c r="P131" s="69">
        <f t="shared" si="59"/>
        <v>655480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7" customFormat="1" ht="33.75" customHeight="1" x14ac:dyDescent="0.25">
      <c r="A132" s="43">
        <v>1014081</v>
      </c>
      <c r="B132" s="44" t="str">
        <f>'дод 3'!A80</f>
        <v>4081</v>
      </c>
      <c r="C132" s="44" t="str">
        <f>'дод 3'!B80</f>
        <v>0829</v>
      </c>
      <c r="D132" s="24" t="str">
        <f>'дод 3'!C80</f>
        <v>Забезпечення діяльності інших закладів в галузі культури і мистецтва</v>
      </c>
      <c r="E132" s="69">
        <f t="shared" si="58"/>
        <v>1803000</v>
      </c>
      <c r="F132" s="69">
        <v>1803000</v>
      </c>
      <c r="G132" s="69">
        <v>1364000</v>
      </c>
      <c r="H132" s="69">
        <v>32900</v>
      </c>
      <c r="I132" s="69"/>
      <c r="J132" s="69">
        <f t="shared" si="60"/>
        <v>0</v>
      </c>
      <c r="K132" s="69"/>
      <c r="L132" s="69"/>
      <c r="M132" s="69"/>
      <c r="N132" s="69"/>
      <c r="O132" s="69"/>
      <c r="P132" s="69">
        <f t="shared" si="59"/>
        <v>1803000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  <c r="JM132" s="36"/>
      <c r="JN132" s="36"/>
      <c r="JO132" s="36"/>
      <c r="JP132" s="36"/>
      <c r="JQ132" s="36"/>
      <c r="JR132" s="36"/>
      <c r="JS132" s="36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  <c r="KD132" s="36"/>
      <c r="KE132" s="36"/>
      <c r="KF132" s="36"/>
      <c r="KG132" s="36"/>
      <c r="KH132" s="36"/>
      <c r="KI132" s="36"/>
      <c r="KJ132" s="36"/>
      <c r="KK132" s="36"/>
      <c r="KL132" s="36"/>
      <c r="KM132" s="36"/>
      <c r="KN132" s="36"/>
      <c r="KO132" s="36"/>
      <c r="KP132" s="36"/>
      <c r="KQ132" s="36"/>
      <c r="KR132" s="36"/>
      <c r="KS132" s="36"/>
      <c r="KT132" s="36"/>
      <c r="KU132" s="36"/>
      <c r="KV132" s="36"/>
      <c r="KW132" s="36"/>
      <c r="KX132" s="36"/>
      <c r="KY132" s="36"/>
      <c r="KZ132" s="36"/>
      <c r="LA132" s="36"/>
      <c r="LB132" s="36"/>
      <c r="LC132" s="36"/>
      <c r="LD132" s="36"/>
      <c r="LE132" s="36"/>
      <c r="LF132" s="36"/>
      <c r="LG132" s="36"/>
      <c r="LH132" s="36"/>
      <c r="LI132" s="36"/>
      <c r="LJ132" s="36"/>
      <c r="LK132" s="36"/>
      <c r="LL132" s="36"/>
      <c r="LM132" s="36"/>
      <c r="LN132" s="36"/>
      <c r="LO132" s="36"/>
      <c r="LP132" s="36"/>
      <c r="LQ132" s="36"/>
      <c r="LR132" s="36"/>
      <c r="LS132" s="36"/>
      <c r="LT132" s="36"/>
      <c r="LU132" s="36"/>
      <c r="LV132" s="36"/>
      <c r="LW132" s="36"/>
      <c r="LX132" s="36"/>
      <c r="LY132" s="36"/>
      <c r="LZ132" s="36"/>
      <c r="MA132" s="36"/>
      <c r="MB132" s="36"/>
      <c r="MC132" s="36"/>
      <c r="MD132" s="36"/>
      <c r="ME132" s="36"/>
      <c r="MF132" s="36"/>
      <c r="MG132" s="36"/>
      <c r="MH132" s="36"/>
      <c r="MI132" s="36"/>
      <c r="MJ132" s="36"/>
      <c r="MK132" s="36"/>
      <c r="ML132" s="36"/>
      <c r="MM132" s="36"/>
      <c r="MN132" s="36"/>
      <c r="MO132" s="36"/>
      <c r="MP132" s="36"/>
      <c r="MQ132" s="36"/>
      <c r="MR132" s="36"/>
      <c r="MS132" s="36"/>
      <c r="MT132" s="36"/>
      <c r="MU132" s="36"/>
      <c r="MV132" s="36"/>
      <c r="MW132" s="36"/>
      <c r="MX132" s="36"/>
      <c r="MY132" s="36"/>
      <c r="MZ132" s="36"/>
      <c r="NA132" s="36"/>
      <c r="NB132" s="36"/>
      <c r="NC132" s="36"/>
      <c r="ND132" s="36"/>
      <c r="NE132" s="36"/>
      <c r="NF132" s="36"/>
      <c r="NG132" s="36"/>
      <c r="NH132" s="36"/>
      <c r="NI132" s="36"/>
      <c r="NJ132" s="36"/>
      <c r="NK132" s="36"/>
      <c r="NL132" s="36"/>
      <c r="NM132" s="36"/>
      <c r="NN132" s="36"/>
      <c r="NO132" s="36"/>
      <c r="NP132" s="36"/>
      <c r="NQ132" s="36"/>
      <c r="NR132" s="36"/>
      <c r="NS132" s="36"/>
      <c r="NT132" s="36"/>
      <c r="NU132" s="36"/>
      <c r="NV132" s="36"/>
      <c r="NW132" s="36"/>
      <c r="NX132" s="36"/>
      <c r="NY132" s="36"/>
      <c r="NZ132" s="36"/>
      <c r="OA132" s="36"/>
      <c r="OB132" s="36"/>
      <c r="OC132" s="36"/>
      <c r="OD132" s="36"/>
      <c r="OE132" s="36"/>
      <c r="OF132" s="36"/>
      <c r="OG132" s="36"/>
      <c r="OH132" s="36"/>
      <c r="OI132" s="36"/>
      <c r="OJ132" s="36"/>
      <c r="OK132" s="36"/>
      <c r="OL132" s="36"/>
      <c r="OM132" s="36"/>
      <c r="ON132" s="36"/>
      <c r="OO132" s="36"/>
      <c r="OP132" s="36"/>
      <c r="OQ132" s="36"/>
      <c r="OR132" s="36"/>
      <c r="OS132" s="36"/>
      <c r="OT132" s="36"/>
      <c r="OU132" s="36"/>
      <c r="OV132" s="36"/>
      <c r="OW132" s="36"/>
      <c r="OX132" s="36"/>
      <c r="OY132" s="36"/>
      <c r="OZ132" s="36"/>
      <c r="PA132" s="36"/>
      <c r="PB132" s="36"/>
      <c r="PC132" s="36"/>
      <c r="PD132" s="36"/>
      <c r="PE132" s="36"/>
      <c r="PF132" s="36"/>
      <c r="PG132" s="36"/>
      <c r="PH132" s="36"/>
      <c r="PI132" s="36"/>
      <c r="PJ132" s="36"/>
      <c r="PK132" s="36"/>
      <c r="PL132" s="36"/>
      <c r="PM132" s="36"/>
      <c r="PN132" s="36"/>
      <c r="PO132" s="36"/>
      <c r="PP132" s="36"/>
      <c r="PQ132" s="36"/>
      <c r="PR132" s="36"/>
      <c r="PS132" s="36"/>
      <c r="PT132" s="36"/>
      <c r="PU132" s="36"/>
      <c r="PV132" s="36"/>
      <c r="PW132" s="36"/>
      <c r="PX132" s="36"/>
      <c r="PY132" s="36"/>
      <c r="PZ132" s="36"/>
      <c r="QA132" s="36"/>
      <c r="QB132" s="36"/>
      <c r="QC132" s="36"/>
      <c r="QD132" s="36"/>
      <c r="QE132" s="36"/>
      <c r="QF132" s="36"/>
      <c r="QG132" s="36"/>
      <c r="QH132" s="36"/>
      <c r="QI132" s="36"/>
      <c r="QJ132" s="36"/>
      <c r="QK132" s="36"/>
      <c r="QL132" s="36"/>
      <c r="QM132" s="36"/>
      <c r="QN132" s="36"/>
      <c r="QO132" s="36"/>
      <c r="QP132" s="36"/>
      <c r="QQ132" s="36"/>
      <c r="QR132" s="36"/>
      <c r="QS132" s="36"/>
      <c r="QT132" s="36"/>
      <c r="QU132" s="36"/>
      <c r="QV132" s="36"/>
      <c r="QW132" s="36"/>
      <c r="QX132" s="36"/>
      <c r="QY132" s="36"/>
      <c r="QZ132" s="36"/>
      <c r="RA132" s="36"/>
      <c r="RB132" s="36"/>
      <c r="RC132" s="36"/>
      <c r="RD132" s="36"/>
      <c r="RE132" s="36"/>
      <c r="RF132" s="36"/>
      <c r="RG132" s="36"/>
      <c r="RH132" s="36"/>
      <c r="RI132" s="36"/>
      <c r="RJ132" s="36"/>
      <c r="RK132" s="36"/>
      <c r="RL132" s="36"/>
      <c r="RM132" s="36"/>
      <c r="RN132" s="36"/>
      <c r="RO132" s="36"/>
      <c r="RP132" s="36"/>
      <c r="RQ132" s="36"/>
      <c r="RR132" s="36"/>
      <c r="RS132" s="36"/>
      <c r="RT132" s="36"/>
      <c r="RU132" s="36"/>
      <c r="RV132" s="36"/>
      <c r="RW132" s="36"/>
      <c r="RX132" s="36"/>
      <c r="RY132" s="36"/>
      <c r="RZ132" s="36"/>
      <c r="SA132" s="36"/>
      <c r="SB132" s="36"/>
      <c r="SC132" s="36"/>
      <c r="SD132" s="36"/>
      <c r="SE132" s="36"/>
      <c r="SF132" s="36"/>
      <c r="SG132" s="36"/>
      <c r="SH132" s="36"/>
      <c r="SI132" s="36"/>
      <c r="SJ132" s="36"/>
      <c r="SK132" s="36"/>
      <c r="SL132" s="36"/>
      <c r="SM132" s="36"/>
      <c r="SN132" s="36"/>
      <c r="SO132" s="36"/>
      <c r="SP132" s="36"/>
      <c r="SQ132" s="36"/>
      <c r="SR132" s="36"/>
      <c r="SS132" s="36"/>
      <c r="ST132" s="36"/>
      <c r="SU132" s="36"/>
      <c r="SV132" s="36"/>
      <c r="SW132" s="36"/>
      <c r="SX132" s="36"/>
      <c r="SY132" s="36"/>
      <c r="SZ132" s="36"/>
      <c r="TA132" s="36"/>
      <c r="TB132" s="36"/>
      <c r="TC132" s="36"/>
      <c r="TD132" s="36"/>
      <c r="TE132" s="36"/>
      <c r="TF132" s="36"/>
      <c r="TG132" s="36"/>
      <c r="TH132" s="36"/>
      <c r="TI132" s="36"/>
    </row>
    <row r="133" spans="1:529" s="27" customFormat="1" ht="25.5" customHeight="1" x14ac:dyDescent="0.25">
      <c r="A133" s="43">
        <v>1014082</v>
      </c>
      <c r="B133" s="44" t="str">
        <f>'дод 3'!A81</f>
        <v>4082</v>
      </c>
      <c r="C133" s="44" t="str">
        <f>'дод 3'!B81</f>
        <v>0829</v>
      </c>
      <c r="D133" s="24" t="str">
        <f>'дод 3'!C81</f>
        <v>Інші заходи в галузі культури і мистецтва</v>
      </c>
      <c r="E133" s="69">
        <f t="shared" si="58"/>
        <v>2500700</v>
      </c>
      <c r="F133" s="69">
        <f>2265700+15000+100000+120000</f>
        <v>2500700</v>
      </c>
      <c r="G133" s="69"/>
      <c r="H133" s="69"/>
      <c r="I133" s="69"/>
      <c r="J133" s="69">
        <f t="shared" si="60"/>
        <v>0</v>
      </c>
      <c r="K133" s="69"/>
      <c r="L133" s="69"/>
      <c r="M133" s="69"/>
      <c r="N133" s="69"/>
      <c r="O133" s="69"/>
      <c r="P133" s="69">
        <f t="shared" si="59"/>
        <v>2500700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  <c r="JM133" s="36"/>
      <c r="JN133" s="36"/>
      <c r="JO133" s="36"/>
      <c r="JP133" s="36"/>
      <c r="JQ133" s="36"/>
      <c r="JR133" s="36"/>
      <c r="JS133" s="36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  <c r="KD133" s="36"/>
      <c r="KE133" s="36"/>
      <c r="KF133" s="36"/>
      <c r="KG133" s="36"/>
      <c r="KH133" s="36"/>
      <c r="KI133" s="36"/>
      <c r="KJ133" s="36"/>
      <c r="KK133" s="36"/>
      <c r="KL133" s="36"/>
      <c r="KM133" s="36"/>
      <c r="KN133" s="36"/>
      <c r="KO133" s="36"/>
      <c r="KP133" s="36"/>
      <c r="KQ133" s="36"/>
      <c r="KR133" s="36"/>
      <c r="KS133" s="36"/>
      <c r="KT133" s="36"/>
      <c r="KU133" s="36"/>
      <c r="KV133" s="36"/>
      <c r="KW133" s="36"/>
      <c r="KX133" s="36"/>
      <c r="KY133" s="36"/>
      <c r="KZ133" s="36"/>
      <c r="LA133" s="36"/>
      <c r="LB133" s="36"/>
      <c r="LC133" s="36"/>
      <c r="LD133" s="36"/>
      <c r="LE133" s="36"/>
      <c r="LF133" s="36"/>
      <c r="LG133" s="36"/>
      <c r="LH133" s="36"/>
      <c r="LI133" s="36"/>
      <c r="LJ133" s="36"/>
      <c r="LK133" s="36"/>
      <c r="LL133" s="36"/>
      <c r="LM133" s="36"/>
      <c r="LN133" s="36"/>
      <c r="LO133" s="36"/>
      <c r="LP133" s="36"/>
      <c r="LQ133" s="36"/>
      <c r="LR133" s="36"/>
      <c r="LS133" s="36"/>
      <c r="LT133" s="36"/>
      <c r="LU133" s="36"/>
      <c r="LV133" s="36"/>
      <c r="LW133" s="36"/>
      <c r="LX133" s="36"/>
      <c r="LY133" s="36"/>
      <c r="LZ133" s="36"/>
      <c r="MA133" s="36"/>
      <c r="MB133" s="36"/>
      <c r="MC133" s="36"/>
      <c r="MD133" s="36"/>
      <c r="ME133" s="36"/>
      <c r="MF133" s="36"/>
      <c r="MG133" s="36"/>
      <c r="MH133" s="36"/>
      <c r="MI133" s="36"/>
      <c r="MJ133" s="36"/>
      <c r="MK133" s="36"/>
      <c r="ML133" s="36"/>
      <c r="MM133" s="36"/>
      <c r="MN133" s="36"/>
      <c r="MO133" s="36"/>
      <c r="MP133" s="36"/>
      <c r="MQ133" s="36"/>
      <c r="MR133" s="36"/>
      <c r="MS133" s="36"/>
      <c r="MT133" s="36"/>
      <c r="MU133" s="36"/>
      <c r="MV133" s="36"/>
      <c r="MW133" s="36"/>
      <c r="MX133" s="36"/>
      <c r="MY133" s="36"/>
      <c r="MZ133" s="36"/>
      <c r="NA133" s="36"/>
      <c r="NB133" s="36"/>
      <c r="NC133" s="36"/>
      <c r="ND133" s="36"/>
      <c r="NE133" s="36"/>
      <c r="NF133" s="36"/>
      <c r="NG133" s="36"/>
      <c r="NH133" s="36"/>
      <c r="NI133" s="36"/>
      <c r="NJ133" s="36"/>
      <c r="NK133" s="36"/>
      <c r="NL133" s="36"/>
      <c r="NM133" s="36"/>
      <c r="NN133" s="36"/>
      <c r="NO133" s="36"/>
      <c r="NP133" s="36"/>
      <c r="NQ133" s="36"/>
      <c r="NR133" s="36"/>
      <c r="NS133" s="36"/>
      <c r="NT133" s="36"/>
      <c r="NU133" s="36"/>
      <c r="NV133" s="36"/>
      <c r="NW133" s="36"/>
      <c r="NX133" s="36"/>
      <c r="NY133" s="36"/>
      <c r="NZ133" s="36"/>
      <c r="OA133" s="36"/>
      <c r="OB133" s="36"/>
      <c r="OC133" s="36"/>
      <c r="OD133" s="36"/>
      <c r="OE133" s="36"/>
      <c r="OF133" s="36"/>
      <c r="OG133" s="36"/>
      <c r="OH133" s="36"/>
      <c r="OI133" s="36"/>
      <c r="OJ133" s="36"/>
      <c r="OK133" s="36"/>
      <c r="OL133" s="36"/>
      <c r="OM133" s="36"/>
      <c r="ON133" s="36"/>
      <c r="OO133" s="36"/>
      <c r="OP133" s="36"/>
      <c r="OQ133" s="36"/>
      <c r="OR133" s="36"/>
      <c r="OS133" s="36"/>
      <c r="OT133" s="36"/>
      <c r="OU133" s="36"/>
      <c r="OV133" s="36"/>
      <c r="OW133" s="36"/>
      <c r="OX133" s="36"/>
      <c r="OY133" s="36"/>
      <c r="OZ133" s="36"/>
      <c r="PA133" s="36"/>
      <c r="PB133" s="36"/>
      <c r="PC133" s="36"/>
      <c r="PD133" s="36"/>
      <c r="PE133" s="36"/>
      <c r="PF133" s="36"/>
      <c r="PG133" s="36"/>
      <c r="PH133" s="36"/>
      <c r="PI133" s="36"/>
      <c r="PJ133" s="36"/>
      <c r="PK133" s="36"/>
      <c r="PL133" s="36"/>
      <c r="PM133" s="36"/>
      <c r="PN133" s="36"/>
      <c r="PO133" s="36"/>
      <c r="PP133" s="36"/>
      <c r="PQ133" s="36"/>
      <c r="PR133" s="36"/>
      <c r="PS133" s="36"/>
      <c r="PT133" s="36"/>
      <c r="PU133" s="36"/>
      <c r="PV133" s="36"/>
      <c r="PW133" s="36"/>
      <c r="PX133" s="36"/>
      <c r="PY133" s="36"/>
      <c r="PZ133" s="36"/>
      <c r="QA133" s="36"/>
      <c r="QB133" s="36"/>
      <c r="QC133" s="36"/>
      <c r="QD133" s="36"/>
      <c r="QE133" s="36"/>
      <c r="QF133" s="36"/>
      <c r="QG133" s="36"/>
      <c r="QH133" s="36"/>
      <c r="QI133" s="36"/>
      <c r="QJ133" s="36"/>
      <c r="QK133" s="36"/>
      <c r="QL133" s="36"/>
      <c r="QM133" s="36"/>
      <c r="QN133" s="36"/>
      <c r="QO133" s="36"/>
      <c r="QP133" s="36"/>
      <c r="QQ133" s="36"/>
      <c r="QR133" s="36"/>
      <c r="QS133" s="36"/>
      <c r="QT133" s="36"/>
      <c r="QU133" s="36"/>
      <c r="QV133" s="36"/>
      <c r="QW133" s="36"/>
      <c r="QX133" s="36"/>
      <c r="QY133" s="36"/>
      <c r="QZ133" s="36"/>
      <c r="RA133" s="36"/>
      <c r="RB133" s="36"/>
      <c r="RC133" s="36"/>
      <c r="RD133" s="36"/>
      <c r="RE133" s="36"/>
      <c r="RF133" s="36"/>
      <c r="RG133" s="36"/>
      <c r="RH133" s="36"/>
      <c r="RI133" s="36"/>
      <c r="RJ133" s="36"/>
      <c r="RK133" s="36"/>
      <c r="RL133" s="36"/>
      <c r="RM133" s="36"/>
      <c r="RN133" s="36"/>
      <c r="RO133" s="36"/>
      <c r="RP133" s="36"/>
      <c r="RQ133" s="36"/>
      <c r="RR133" s="36"/>
      <c r="RS133" s="36"/>
      <c r="RT133" s="36"/>
      <c r="RU133" s="36"/>
      <c r="RV133" s="36"/>
      <c r="RW133" s="36"/>
      <c r="RX133" s="36"/>
      <c r="RY133" s="36"/>
      <c r="RZ133" s="36"/>
      <c r="SA133" s="36"/>
      <c r="SB133" s="36"/>
      <c r="SC133" s="36"/>
      <c r="SD133" s="36"/>
      <c r="SE133" s="36"/>
      <c r="SF133" s="36"/>
      <c r="SG133" s="36"/>
      <c r="SH133" s="36"/>
      <c r="SI133" s="36"/>
      <c r="SJ133" s="36"/>
      <c r="SK133" s="36"/>
      <c r="SL133" s="36"/>
      <c r="SM133" s="36"/>
      <c r="SN133" s="36"/>
      <c r="SO133" s="36"/>
      <c r="SP133" s="36"/>
      <c r="SQ133" s="36"/>
      <c r="SR133" s="36"/>
      <c r="SS133" s="36"/>
      <c r="ST133" s="36"/>
      <c r="SU133" s="36"/>
      <c r="SV133" s="36"/>
      <c r="SW133" s="36"/>
      <c r="SX133" s="36"/>
      <c r="SY133" s="36"/>
      <c r="SZ133" s="36"/>
      <c r="TA133" s="36"/>
      <c r="TB133" s="36"/>
      <c r="TC133" s="36"/>
      <c r="TD133" s="36"/>
      <c r="TE133" s="36"/>
      <c r="TF133" s="36"/>
      <c r="TG133" s="36"/>
      <c r="TH133" s="36"/>
      <c r="TI133" s="36"/>
    </row>
    <row r="134" spans="1:529" s="23" customFormat="1" ht="22.5" customHeight="1" x14ac:dyDescent="0.25">
      <c r="A134" s="43" t="s">
        <v>176</v>
      </c>
      <c r="B134" s="44" t="str">
        <f>'дод 3'!A125</f>
        <v>7640</v>
      </c>
      <c r="C134" s="44" t="str">
        <f>'дод 3'!B125</f>
        <v>0470</v>
      </c>
      <c r="D134" s="24" t="str">
        <f>'дод 3'!C125</f>
        <v>Заходи з енергозбереження</v>
      </c>
      <c r="E134" s="69">
        <f t="shared" si="58"/>
        <v>0</v>
      </c>
      <c r="F134" s="69"/>
      <c r="G134" s="69"/>
      <c r="H134" s="69"/>
      <c r="I134" s="69"/>
      <c r="J134" s="69">
        <f t="shared" si="60"/>
        <v>396000</v>
      </c>
      <c r="K134" s="69">
        <v>396000</v>
      </c>
      <c r="L134" s="69"/>
      <c r="M134" s="69"/>
      <c r="N134" s="69"/>
      <c r="O134" s="69">
        <v>396000</v>
      </c>
      <c r="P134" s="69">
        <f t="shared" si="59"/>
        <v>396000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</row>
    <row r="135" spans="1:529" s="23" customFormat="1" ht="22.5" customHeight="1" x14ac:dyDescent="0.25">
      <c r="A135" s="43">
        <v>1018340</v>
      </c>
      <c r="B135" s="44" t="str">
        <f>'дод 3'!A142</f>
        <v>8340</v>
      </c>
      <c r="C135" s="44" t="str">
        <f>'дод 3'!B142</f>
        <v>0540</v>
      </c>
      <c r="D135" s="78" t="str">
        <f>'дод 3'!C142</f>
        <v>Природоохоронні заходи за рахунок цільових фондів</v>
      </c>
      <c r="E135" s="69">
        <f t="shared" si="58"/>
        <v>0</v>
      </c>
      <c r="F135" s="69"/>
      <c r="G135" s="69"/>
      <c r="H135" s="69"/>
      <c r="I135" s="69"/>
      <c r="J135" s="69">
        <f t="shared" si="60"/>
        <v>3000</v>
      </c>
      <c r="K135" s="69"/>
      <c r="L135" s="69">
        <v>3000</v>
      </c>
      <c r="M135" s="69"/>
      <c r="N135" s="69"/>
      <c r="O135" s="69"/>
      <c r="P135" s="69">
        <f t="shared" si="59"/>
        <v>3000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</row>
    <row r="136" spans="1:529" s="31" customFormat="1" ht="34.5" customHeight="1" x14ac:dyDescent="0.2">
      <c r="A136" s="76" t="s">
        <v>231</v>
      </c>
      <c r="B136" s="74"/>
      <c r="C136" s="74"/>
      <c r="D136" s="30" t="s">
        <v>44</v>
      </c>
      <c r="E136" s="66">
        <f>E137</f>
        <v>255447124.95999998</v>
      </c>
      <c r="F136" s="66">
        <f t="shared" ref="F136:J136" si="61">F137</f>
        <v>221337592.95999998</v>
      </c>
      <c r="G136" s="66">
        <f t="shared" si="61"/>
        <v>10410700</v>
      </c>
      <c r="H136" s="66">
        <f t="shared" si="61"/>
        <v>27870106</v>
      </c>
      <c r="I136" s="66">
        <f t="shared" si="61"/>
        <v>34109532</v>
      </c>
      <c r="J136" s="66">
        <f t="shared" si="61"/>
        <v>196571455.63999999</v>
      </c>
      <c r="K136" s="66">
        <f t="shared" ref="K136" si="62">K137</f>
        <v>110602321.92</v>
      </c>
      <c r="L136" s="66">
        <f t="shared" ref="L136" si="63">L137</f>
        <v>82026890.269999996</v>
      </c>
      <c r="M136" s="66">
        <f t="shared" ref="M136" si="64">M137</f>
        <v>0</v>
      </c>
      <c r="N136" s="66">
        <f t="shared" ref="N136" si="65">N137</f>
        <v>540000</v>
      </c>
      <c r="O136" s="66">
        <f t="shared" ref="O136:P136" si="66">O137</f>
        <v>114544565.37</v>
      </c>
      <c r="P136" s="66">
        <f t="shared" si="66"/>
        <v>452018580.59999996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  <c r="IQ136" s="38"/>
      <c r="IR136" s="38"/>
      <c r="IS136" s="38"/>
      <c r="IT136" s="38"/>
      <c r="IU136" s="38"/>
      <c r="IV136" s="38"/>
      <c r="IW136" s="38"/>
      <c r="IX136" s="38"/>
      <c r="IY136" s="38"/>
      <c r="IZ136" s="38"/>
      <c r="JA136" s="38"/>
      <c r="JB136" s="38"/>
      <c r="JC136" s="38"/>
      <c r="JD136" s="38"/>
      <c r="JE136" s="38"/>
      <c r="JF136" s="38"/>
      <c r="JG136" s="38"/>
      <c r="JH136" s="38"/>
      <c r="JI136" s="38"/>
      <c r="JJ136" s="38"/>
      <c r="JK136" s="38"/>
      <c r="JL136" s="38"/>
      <c r="JM136" s="38"/>
      <c r="JN136" s="38"/>
      <c r="JO136" s="38"/>
      <c r="JP136" s="38"/>
      <c r="JQ136" s="38"/>
      <c r="JR136" s="38"/>
      <c r="JS136" s="38"/>
      <c r="JT136" s="38"/>
      <c r="JU136" s="38"/>
      <c r="JV136" s="38"/>
      <c r="JW136" s="38"/>
      <c r="JX136" s="38"/>
      <c r="JY136" s="38"/>
      <c r="JZ136" s="38"/>
      <c r="KA136" s="38"/>
      <c r="KB136" s="38"/>
      <c r="KC136" s="38"/>
      <c r="KD136" s="38"/>
      <c r="KE136" s="38"/>
      <c r="KF136" s="38"/>
      <c r="KG136" s="38"/>
      <c r="KH136" s="38"/>
      <c r="KI136" s="38"/>
      <c r="KJ136" s="38"/>
      <c r="KK136" s="38"/>
      <c r="KL136" s="38"/>
      <c r="KM136" s="38"/>
      <c r="KN136" s="38"/>
      <c r="KO136" s="38"/>
      <c r="KP136" s="38"/>
      <c r="KQ136" s="38"/>
      <c r="KR136" s="38"/>
      <c r="KS136" s="38"/>
      <c r="KT136" s="38"/>
      <c r="KU136" s="38"/>
      <c r="KV136" s="38"/>
      <c r="KW136" s="38"/>
      <c r="KX136" s="38"/>
      <c r="KY136" s="38"/>
      <c r="KZ136" s="38"/>
      <c r="LA136" s="38"/>
      <c r="LB136" s="38"/>
      <c r="LC136" s="38"/>
      <c r="LD136" s="38"/>
      <c r="LE136" s="38"/>
      <c r="LF136" s="38"/>
      <c r="LG136" s="38"/>
      <c r="LH136" s="38"/>
      <c r="LI136" s="38"/>
      <c r="LJ136" s="38"/>
      <c r="LK136" s="38"/>
      <c r="LL136" s="38"/>
      <c r="LM136" s="38"/>
      <c r="LN136" s="38"/>
      <c r="LO136" s="38"/>
      <c r="LP136" s="38"/>
      <c r="LQ136" s="38"/>
      <c r="LR136" s="38"/>
      <c r="LS136" s="38"/>
      <c r="LT136" s="38"/>
      <c r="LU136" s="38"/>
      <c r="LV136" s="38"/>
      <c r="LW136" s="38"/>
      <c r="LX136" s="38"/>
      <c r="LY136" s="38"/>
      <c r="LZ136" s="38"/>
      <c r="MA136" s="38"/>
      <c r="MB136" s="38"/>
      <c r="MC136" s="38"/>
      <c r="MD136" s="38"/>
      <c r="ME136" s="38"/>
      <c r="MF136" s="38"/>
      <c r="MG136" s="38"/>
      <c r="MH136" s="38"/>
      <c r="MI136" s="38"/>
      <c r="MJ136" s="38"/>
      <c r="MK136" s="38"/>
      <c r="ML136" s="38"/>
      <c r="MM136" s="38"/>
      <c r="MN136" s="38"/>
      <c r="MO136" s="38"/>
      <c r="MP136" s="38"/>
      <c r="MQ136" s="38"/>
      <c r="MR136" s="38"/>
      <c r="MS136" s="38"/>
      <c r="MT136" s="38"/>
      <c r="MU136" s="38"/>
      <c r="MV136" s="38"/>
      <c r="MW136" s="38"/>
      <c r="MX136" s="38"/>
      <c r="MY136" s="38"/>
      <c r="MZ136" s="38"/>
      <c r="NA136" s="38"/>
      <c r="NB136" s="38"/>
      <c r="NC136" s="38"/>
      <c r="ND136" s="38"/>
      <c r="NE136" s="38"/>
      <c r="NF136" s="38"/>
      <c r="NG136" s="38"/>
      <c r="NH136" s="3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"/>
      <c r="OC136" s="38"/>
      <c r="OD136" s="38"/>
      <c r="OE136" s="38"/>
      <c r="OF136" s="38"/>
      <c r="OG136" s="38"/>
      <c r="OH136" s="38"/>
      <c r="OI136" s="38"/>
      <c r="OJ136" s="38"/>
      <c r="OK136" s="38"/>
      <c r="OL136" s="38"/>
      <c r="OM136" s="38"/>
      <c r="ON136" s="38"/>
      <c r="OO136" s="38"/>
      <c r="OP136" s="38"/>
      <c r="OQ136" s="38"/>
      <c r="OR136" s="38"/>
      <c r="OS136" s="38"/>
      <c r="OT136" s="38"/>
      <c r="OU136" s="38"/>
      <c r="OV136" s="38"/>
      <c r="OW136" s="38"/>
      <c r="OX136" s="38"/>
      <c r="OY136" s="38"/>
      <c r="OZ136" s="38"/>
      <c r="PA136" s="38"/>
      <c r="PB136" s="38"/>
      <c r="PC136" s="38"/>
      <c r="PD136" s="38"/>
      <c r="PE136" s="38"/>
      <c r="PF136" s="38"/>
      <c r="PG136" s="38"/>
      <c r="PH136" s="38"/>
      <c r="PI136" s="38"/>
      <c r="PJ136" s="38"/>
      <c r="PK136" s="38"/>
      <c r="PL136" s="38"/>
      <c r="PM136" s="38"/>
      <c r="PN136" s="38"/>
      <c r="PO136" s="38"/>
      <c r="PP136" s="38"/>
      <c r="PQ136" s="38"/>
      <c r="PR136" s="38"/>
      <c r="PS136" s="38"/>
      <c r="PT136" s="38"/>
      <c r="PU136" s="38"/>
      <c r="PV136" s="38"/>
      <c r="PW136" s="38"/>
      <c r="PX136" s="38"/>
      <c r="PY136" s="38"/>
      <c r="PZ136" s="38"/>
      <c r="QA136" s="38"/>
      <c r="QB136" s="38"/>
      <c r="QC136" s="38"/>
      <c r="QD136" s="38"/>
      <c r="QE136" s="38"/>
      <c r="QF136" s="38"/>
      <c r="QG136" s="38"/>
      <c r="QH136" s="38"/>
      <c r="QI136" s="38"/>
      <c r="QJ136" s="38"/>
      <c r="QK136" s="38"/>
      <c r="QL136" s="38"/>
      <c r="QM136" s="38"/>
      <c r="QN136" s="38"/>
      <c r="QO136" s="38"/>
      <c r="QP136" s="38"/>
      <c r="QQ136" s="38"/>
      <c r="QR136" s="38"/>
      <c r="QS136" s="38"/>
      <c r="QT136" s="38"/>
      <c r="QU136" s="38"/>
      <c r="QV136" s="38"/>
      <c r="QW136" s="38"/>
      <c r="QX136" s="38"/>
      <c r="QY136" s="38"/>
      <c r="QZ136" s="38"/>
      <c r="RA136" s="38"/>
      <c r="RB136" s="38"/>
      <c r="RC136" s="38"/>
      <c r="RD136" s="38"/>
      <c r="RE136" s="38"/>
      <c r="RF136" s="38"/>
      <c r="RG136" s="38"/>
      <c r="RH136" s="38"/>
      <c r="RI136" s="38"/>
      <c r="RJ136" s="38"/>
      <c r="RK136" s="38"/>
      <c r="RL136" s="38"/>
      <c r="RM136" s="38"/>
      <c r="RN136" s="38"/>
      <c r="RO136" s="38"/>
      <c r="RP136" s="38"/>
      <c r="RQ136" s="38"/>
      <c r="RR136" s="38"/>
      <c r="RS136" s="38"/>
      <c r="RT136" s="38"/>
      <c r="RU136" s="38"/>
      <c r="RV136" s="38"/>
      <c r="RW136" s="38"/>
      <c r="RX136" s="38"/>
      <c r="RY136" s="38"/>
      <c r="RZ136" s="38"/>
      <c r="SA136" s="38"/>
      <c r="SB136" s="38"/>
      <c r="SC136" s="38"/>
      <c r="SD136" s="38"/>
      <c r="SE136" s="38"/>
      <c r="SF136" s="38"/>
      <c r="SG136" s="38"/>
      <c r="SH136" s="38"/>
      <c r="SI136" s="38"/>
      <c r="SJ136" s="38"/>
      <c r="SK136" s="38"/>
      <c r="SL136" s="38"/>
      <c r="SM136" s="38"/>
      <c r="SN136" s="38"/>
      <c r="SO136" s="38"/>
      <c r="SP136" s="38"/>
      <c r="SQ136" s="38"/>
      <c r="SR136" s="38"/>
      <c r="SS136" s="38"/>
      <c r="ST136" s="38"/>
      <c r="SU136" s="38"/>
      <c r="SV136" s="38"/>
      <c r="SW136" s="38"/>
      <c r="SX136" s="38"/>
      <c r="SY136" s="38"/>
      <c r="SZ136" s="38"/>
      <c r="TA136" s="38"/>
      <c r="TB136" s="38"/>
      <c r="TC136" s="38"/>
      <c r="TD136" s="38"/>
      <c r="TE136" s="38"/>
      <c r="TF136" s="38"/>
      <c r="TG136" s="38"/>
      <c r="TH136" s="38"/>
      <c r="TI136" s="38"/>
    </row>
    <row r="137" spans="1:529" s="40" customFormat="1" ht="36.75" customHeight="1" x14ac:dyDescent="0.25">
      <c r="A137" s="77" t="s">
        <v>232</v>
      </c>
      <c r="B137" s="75"/>
      <c r="C137" s="75"/>
      <c r="D137" s="33" t="s">
        <v>44</v>
      </c>
      <c r="E137" s="68">
        <f>E139+E140+E141+E142+E143+E144+E145+E146+E147+E148+E149+E151+E150+E153+E157+E158+E159+E162+E163+E152+E155+E161+E160</f>
        <v>255447124.95999998</v>
      </c>
      <c r="F137" s="68">
        <f>F139+F140+F141+F142+F143+F144+F145+F146+F147+F148+F149+F151+F150+F153+F157+F158+F159+F162+F163+F152+F155+F161+F160</f>
        <v>221337592.95999998</v>
      </c>
      <c r="G137" s="68">
        <f t="shared" ref="G137:P137" si="67">G139+G140+G141+G142+G143+G144+G145+G146+G147+G148+G149+G151+G150+G153+G157+G158+G159+G162+G163+G152+G155+G161+G160</f>
        <v>10410700</v>
      </c>
      <c r="H137" s="68">
        <f t="shared" si="67"/>
        <v>27870106</v>
      </c>
      <c r="I137" s="68">
        <f t="shared" si="67"/>
        <v>34109532</v>
      </c>
      <c r="J137" s="68">
        <f t="shared" si="67"/>
        <v>196571455.63999999</v>
      </c>
      <c r="K137" s="68">
        <f t="shared" si="67"/>
        <v>110602321.92</v>
      </c>
      <c r="L137" s="68">
        <f t="shared" si="67"/>
        <v>82026890.269999996</v>
      </c>
      <c r="M137" s="68">
        <f t="shared" si="67"/>
        <v>0</v>
      </c>
      <c r="N137" s="68">
        <f t="shared" si="67"/>
        <v>540000</v>
      </c>
      <c r="O137" s="68">
        <f t="shared" si="67"/>
        <v>114544565.37</v>
      </c>
      <c r="P137" s="68">
        <f t="shared" si="67"/>
        <v>452018580.59999996</v>
      </c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  <c r="KV137" s="39"/>
      <c r="KW137" s="39"/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/>
      <c r="LK137" s="39"/>
      <c r="LL137" s="39"/>
      <c r="LM137" s="39"/>
      <c r="LN137" s="39"/>
      <c r="LO137" s="39"/>
      <c r="LP137" s="39"/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/>
      <c r="ME137" s="39"/>
      <c r="MF137" s="39"/>
      <c r="MG137" s="39"/>
      <c r="MH137" s="39"/>
      <c r="MI137" s="39"/>
      <c r="MJ137" s="39"/>
      <c r="MK137" s="39"/>
      <c r="ML137" s="39"/>
      <c r="MM137" s="39"/>
      <c r="MN137" s="39"/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/>
      <c r="NE137" s="39"/>
      <c r="NF137" s="39"/>
      <c r="NG137" s="39"/>
      <c r="NH137" s="39"/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  <c r="OE137" s="39"/>
      <c r="OF137" s="39"/>
      <c r="OG137" s="39"/>
      <c r="OH137" s="39"/>
      <c r="OI137" s="39"/>
      <c r="OJ137" s="39"/>
      <c r="OK137" s="39"/>
      <c r="OL137" s="39"/>
      <c r="OM137" s="39"/>
      <c r="ON137" s="39"/>
      <c r="OO137" s="39"/>
      <c r="OP137" s="39"/>
      <c r="OQ137" s="39"/>
      <c r="OR137" s="39"/>
      <c r="OS137" s="39"/>
      <c r="OT137" s="39"/>
      <c r="OU137" s="39"/>
      <c r="OV137" s="39"/>
      <c r="OW137" s="39"/>
      <c r="OX137" s="39"/>
      <c r="OY137" s="39"/>
      <c r="OZ137" s="39"/>
      <c r="PA137" s="39"/>
      <c r="PB137" s="39"/>
      <c r="PC137" s="39"/>
      <c r="PD137" s="39"/>
      <c r="PE137" s="39"/>
      <c r="PF137" s="39"/>
      <c r="PG137" s="39"/>
      <c r="PH137" s="39"/>
      <c r="PI137" s="39"/>
      <c r="PJ137" s="39"/>
      <c r="PK137" s="39"/>
      <c r="PL137" s="39"/>
      <c r="PM137" s="39"/>
      <c r="PN137" s="39"/>
      <c r="PO137" s="39"/>
      <c r="PP137" s="39"/>
      <c r="PQ137" s="39"/>
      <c r="PR137" s="39"/>
      <c r="PS137" s="39"/>
      <c r="PT137" s="39"/>
      <c r="PU137" s="39"/>
      <c r="PV137" s="39"/>
      <c r="PW137" s="39"/>
      <c r="PX137" s="39"/>
      <c r="PY137" s="39"/>
      <c r="PZ137" s="39"/>
      <c r="QA137" s="39"/>
      <c r="QB137" s="39"/>
      <c r="QC137" s="39"/>
      <c r="QD137" s="39"/>
      <c r="QE137" s="39"/>
      <c r="QF137" s="39"/>
      <c r="QG137" s="39"/>
      <c r="QH137" s="39"/>
      <c r="QI137" s="39"/>
      <c r="QJ137" s="39"/>
      <c r="QK137" s="39"/>
      <c r="QL137" s="39"/>
      <c r="QM137" s="39"/>
      <c r="QN137" s="39"/>
      <c r="QO137" s="39"/>
      <c r="QP137" s="39"/>
      <c r="QQ137" s="39"/>
      <c r="QR137" s="39"/>
      <c r="QS137" s="39"/>
      <c r="QT137" s="39"/>
      <c r="QU137" s="39"/>
      <c r="QV137" s="39"/>
      <c r="QW137" s="39"/>
      <c r="QX137" s="39"/>
      <c r="QY137" s="39"/>
      <c r="QZ137" s="39"/>
      <c r="RA137" s="39"/>
      <c r="RB137" s="39"/>
      <c r="RC137" s="39"/>
      <c r="RD137" s="39"/>
      <c r="RE137" s="39"/>
      <c r="RF137" s="39"/>
      <c r="RG137" s="39"/>
      <c r="RH137" s="39"/>
      <c r="RI137" s="39"/>
      <c r="RJ137" s="39"/>
      <c r="RK137" s="39"/>
      <c r="RL137" s="39"/>
      <c r="RM137" s="39"/>
      <c r="RN137" s="39"/>
      <c r="RO137" s="39"/>
      <c r="RP137" s="39"/>
      <c r="RQ137" s="39"/>
      <c r="RR137" s="39"/>
      <c r="RS137" s="39"/>
      <c r="RT137" s="39"/>
      <c r="RU137" s="39"/>
      <c r="RV137" s="39"/>
      <c r="RW137" s="39"/>
      <c r="RX137" s="39"/>
      <c r="RY137" s="39"/>
      <c r="RZ137" s="39"/>
      <c r="SA137" s="39"/>
      <c r="SB137" s="39"/>
      <c r="SC137" s="39"/>
      <c r="SD137" s="39"/>
      <c r="SE137" s="39"/>
      <c r="SF137" s="39"/>
      <c r="SG137" s="39"/>
      <c r="SH137" s="39"/>
      <c r="SI137" s="39"/>
      <c r="SJ137" s="39"/>
      <c r="SK137" s="39"/>
      <c r="SL137" s="39"/>
      <c r="SM137" s="39"/>
      <c r="SN137" s="39"/>
      <c r="SO137" s="39"/>
      <c r="SP137" s="39"/>
      <c r="SQ137" s="39"/>
      <c r="SR137" s="39"/>
      <c r="SS137" s="39"/>
      <c r="ST137" s="39"/>
      <c r="SU137" s="39"/>
      <c r="SV137" s="39"/>
      <c r="SW137" s="39"/>
      <c r="SX137" s="39"/>
      <c r="SY137" s="39"/>
      <c r="SZ137" s="39"/>
      <c r="TA137" s="39"/>
      <c r="TB137" s="39"/>
      <c r="TC137" s="39"/>
      <c r="TD137" s="39"/>
      <c r="TE137" s="39"/>
      <c r="TF137" s="39"/>
      <c r="TG137" s="39"/>
      <c r="TH137" s="39"/>
      <c r="TI137" s="39"/>
    </row>
    <row r="138" spans="1:529" s="40" customFormat="1" ht="15" customHeight="1" x14ac:dyDescent="0.25">
      <c r="A138" s="77"/>
      <c r="B138" s="75"/>
      <c r="C138" s="75"/>
      <c r="D138" s="33" t="s">
        <v>308</v>
      </c>
      <c r="E138" s="68">
        <f>E154+E156</f>
        <v>0</v>
      </c>
      <c r="F138" s="68">
        <f t="shared" ref="F138:P138" si="68">F154+F156</f>
        <v>0</v>
      </c>
      <c r="G138" s="68">
        <f t="shared" si="68"/>
        <v>0</v>
      </c>
      <c r="H138" s="68">
        <f t="shared" si="68"/>
        <v>0</v>
      </c>
      <c r="I138" s="68">
        <f t="shared" si="68"/>
        <v>0</v>
      </c>
      <c r="J138" s="68">
        <f t="shared" si="68"/>
        <v>80937420.379999995</v>
      </c>
      <c r="K138" s="68">
        <f t="shared" si="68"/>
        <v>937420.38</v>
      </c>
      <c r="L138" s="68">
        <f t="shared" si="68"/>
        <v>80000000</v>
      </c>
      <c r="M138" s="68">
        <f t="shared" si="68"/>
        <v>0</v>
      </c>
      <c r="N138" s="68">
        <f t="shared" si="68"/>
        <v>0</v>
      </c>
      <c r="O138" s="68">
        <f t="shared" si="68"/>
        <v>937420.38</v>
      </c>
      <c r="P138" s="68">
        <f t="shared" si="68"/>
        <v>80937420.379999995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/>
      <c r="OT138" s="39"/>
      <c r="OU138" s="39"/>
      <c r="OV138" s="39"/>
      <c r="OW138" s="39"/>
      <c r="OX138" s="39"/>
      <c r="OY138" s="39"/>
      <c r="OZ138" s="39"/>
      <c r="PA138" s="39"/>
      <c r="PB138" s="39"/>
      <c r="PC138" s="39"/>
      <c r="PD138" s="39"/>
      <c r="PE138" s="39"/>
      <c r="PF138" s="39"/>
      <c r="PG138" s="39"/>
      <c r="PH138" s="39"/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/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/>
      <c r="QV138" s="39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39"/>
      <c r="RH138" s="39"/>
      <c r="RI138" s="39"/>
      <c r="RJ138" s="39"/>
      <c r="RK138" s="39"/>
      <c r="RL138" s="39"/>
      <c r="RM138" s="39"/>
      <c r="RN138" s="39"/>
      <c r="RO138" s="39"/>
      <c r="RP138" s="39"/>
      <c r="RQ138" s="39"/>
      <c r="RR138" s="39"/>
      <c r="RS138" s="39"/>
      <c r="RT138" s="39"/>
      <c r="RU138" s="39"/>
      <c r="RV138" s="39"/>
      <c r="RW138" s="39"/>
      <c r="RX138" s="39"/>
      <c r="RY138" s="39"/>
      <c r="RZ138" s="39"/>
      <c r="SA138" s="39"/>
      <c r="SB138" s="39"/>
      <c r="SC138" s="39"/>
      <c r="SD138" s="39"/>
      <c r="SE138" s="39"/>
      <c r="SF138" s="39"/>
      <c r="SG138" s="39"/>
      <c r="SH138" s="39"/>
      <c r="SI138" s="39"/>
      <c r="SJ138" s="39"/>
      <c r="SK138" s="39"/>
      <c r="SL138" s="39"/>
      <c r="SM138" s="39"/>
      <c r="SN138" s="39"/>
      <c r="SO138" s="39"/>
      <c r="SP138" s="39"/>
      <c r="SQ138" s="39"/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/>
      <c r="TC138" s="39"/>
      <c r="TD138" s="39"/>
      <c r="TE138" s="39"/>
      <c r="TF138" s="39"/>
      <c r="TG138" s="39"/>
      <c r="TH138" s="39"/>
      <c r="TI138" s="39"/>
    </row>
    <row r="139" spans="1:529" s="23" customFormat="1" ht="48.75" customHeight="1" x14ac:dyDescent="0.25">
      <c r="A139" s="43" t="s">
        <v>233</v>
      </c>
      <c r="B139" s="44" t="str">
        <f>'дод 3'!A20</f>
        <v>0160</v>
      </c>
      <c r="C139" s="44" t="str">
        <f>'дод 3'!B20</f>
        <v>0111</v>
      </c>
      <c r="D139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39" s="69">
        <f t="shared" ref="E139:E163" si="69">F139+I139</f>
        <v>13501800</v>
      </c>
      <c r="F139" s="69">
        <f>13873900+90800-678700+244800-29000</f>
        <v>13501800</v>
      </c>
      <c r="G139" s="69">
        <f>10990800-556300-23800</f>
        <v>10410700</v>
      </c>
      <c r="H139" s="69">
        <v>164000</v>
      </c>
      <c r="I139" s="69"/>
      <c r="J139" s="69">
        <f>L139+O139</f>
        <v>0</v>
      </c>
      <c r="K139" s="69"/>
      <c r="L139" s="69"/>
      <c r="M139" s="69"/>
      <c r="N139" s="69"/>
      <c r="O139" s="69"/>
      <c r="P139" s="69">
        <f t="shared" ref="P139:P163" si="70">E139+J139</f>
        <v>13501800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3" customFormat="1" ht="19.5" customHeight="1" x14ac:dyDescent="0.25">
      <c r="A140" s="52" t="s">
        <v>352</v>
      </c>
      <c r="B140" s="45" t="str">
        <f>'дод 3'!A74</f>
        <v>3210</v>
      </c>
      <c r="C140" s="45" t="str">
        <f>'дод 3'!B74</f>
        <v>1050</v>
      </c>
      <c r="D140" s="22" t="str">
        <f>'дод 3'!C74</f>
        <v>Організація та проведення громадських робіт</v>
      </c>
      <c r="E140" s="69">
        <f t="shared" si="69"/>
        <v>400000</v>
      </c>
      <c r="F140" s="69">
        <v>400000</v>
      </c>
      <c r="G140" s="69"/>
      <c r="H140" s="69"/>
      <c r="I140" s="69"/>
      <c r="J140" s="69">
        <f t="shared" ref="J140:J163" si="71">L140+O140</f>
        <v>0</v>
      </c>
      <c r="K140" s="69"/>
      <c r="L140" s="69"/>
      <c r="M140" s="69"/>
      <c r="N140" s="69"/>
      <c r="O140" s="69"/>
      <c r="P140" s="69">
        <f t="shared" si="70"/>
        <v>400000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</row>
    <row r="141" spans="1:529" s="23" customFormat="1" ht="38.25" customHeight="1" x14ac:dyDescent="0.25">
      <c r="A141" s="43" t="s">
        <v>234</v>
      </c>
      <c r="B141" s="44" t="str">
        <f>'дод 3'!A90</f>
        <v>6011</v>
      </c>
      <c r="C141" s="44" t="str">
        <f>'дод 3'!B90</f>
        <v>0610</v>
      </c>
      <c r="D141" s="24" t="str">
        <f>'дод 3'!C90</f>
        <v>Експлуатація та технічне обслуговування житлового фонду</v>
      </c>
      <c r="E141" s="69">
        <f t="shared" si="69"/>
        <v>0</v>
      </c>
      <c r="F141" s="69"/>
      <c r="G141" s="69"/>
      <c r="H141" s="69"/>
      <c r="I141" s="69"/>
      <c r="J141" s="69">
        <f t="shared" si="71"/>
        <v>12167333.93</v>
      </c>
      <c r="K141" s="69">
        <f>20000000-4500000-5000000-1188215.76-766.31+827545+291000+100000+309505+49000+1200000+49266</f>
        <v>12137333.93</v>
      </c>
      <c r="L141" s="69"/>
      <c r="M141" s="69"/>
      <c r="N141" s="69"/>
      <c r="O141" s="69">
        <f>20000000+30000-4500000-5000000-1188215.76-766.31+827545+291000+100000+309505+49000+1200000+49266</f>
        <v>12167333.93</v>
      </c>
      <c r="P141" s="69">
        <f t="shared" si="70"/>
        <v>12167333.93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33" customHeight="1" x14ac:dyDescent="0.25">
      <c r="A142" s="43" t="s">
        <v>235</v>
      </c>
      <c r="B142" s="44" t="str">
        <f>'дод 3'!A91</f>
        <v>6013</v>
      </c>
      <c r="C142" s="44" t="str">
        <f>'дод 3'!B91</f>
        <v>0620</v>
      </c>
      <c r="D142" s="24" t="str">
        <f>'дод 3'!C91</f>
        <v>Забезпечення діяльності водопровідно-каналізаційного господарства</v>
      </c>
      <c r="E142" s="69">
        <f t="shared" si="69"/>
        <v>30925000</v>
      </c>
      <c r="F142" s="69">
        <f>775000-350000</f>
        <v>425000</v>
      </c>
      <c r="G142" s="69"/>
      <c r="H142" s="69"/>
      <c r="I142" s="69">
        <f>30150000+350000</f>
        <v>30500000</v>
      </c>
      <c r="J142" s="69">
        <f t="shared" si="71"/>
        <v>1721000</v>
      </c>
      <c r="K142" s="69">
        <f>1700000+20000+1000</f>
        <v>1721000</v>
      </c>
      <c r="L142" s="69"/>
      <c r="M142" s="69"/>
      <c r="N142" s="69"/>
      <c r="O142" s="69">
        <f>1700000+20000+1000</f>
        <v>1721000</v>
      </c>
      <c r="P142" s="69">
        <f t="shared" si="70"/>
        <v>32646000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27.75" customHeight="1" x14ac:dyDescent="0.25">
      <c r="A143" s="43" t="s">
        <v>301</v>
      </c>
      <c r="B143" s="44" t="str">
        <f>'дод 3'!A92</f>
        <v>6015</v>
      </c>
      <c r="C143" s="44" t="str">
        <f>'дод 3'!B92</f>
        <v>0620</v>
      </c>
      <c r="D143" s="24" t="str">
        <f>'дод 3'!C92</f>
        <v>Забезпечення надійної та безперебійної експлуатації ліфтів</v>
      </c>
      <c r="E143" s="69">
        <f t="shared" si="69"/>
        <v>193887</v>
      </c>
      <c r="F143" s="69">
        <f>200000-6113</f>
        <v>193887</v>
      </c>
      <c r="G143" s="69"/>
      <c r="H143" s="69"/>
      <c r="I143" s="69"/>
      <c r="J143" s="69">
        <f t="shared" si="71"/>
        <v>13408448.83</v>
      </c>
      <c r="K143" s="69">
        <f>15000000+9-1500000-405560.17+164000+100000-935318+935318</f>
        <v>13358448.83</v>
      </c>
      <c r="L143" s="69"/>
      <c r="M143" s="69"/>
      <c r="N143" s="69"/>
      <c r="O143" s="69">
        <f>15000000+50000+9-1500000-405560.17+164000+100000-935318+935318</f>
        <v>13408448.83</v>
      </c>
      <c r="P143" s="69">
        <f t="shared" si="70"/>
        <v>13602335.83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3" customFormat="1" ht="38.25" customHeight="1" x14ac:dyDescent="0.25">
      <c r="A144" s="43" t="s">
        <v>304</v>
      </c>
      <c r="B144" s="44" t="str">
        <f>'дод 3'!A93</f>
        <v>6017</v>
      </c>
      <c r="C144" s="44" t="str">
        <f>'дод 3'!B93</f>
        <v>0620</v>
      </c>
      <c r="D144" s="24" t="str">
        <f>'дод 3'!C93</f>
        <v>Інша діяльність, пов’язана з експлуатацією об’єктів житлово-комунального господарства</v>
      </c>
      <c r="E144" s="69">
        <f t="shared" si="69"/>
        <v>100000</v>
      </c>
      <c r="F144" s="69">
        <f>100000+1500000-1500000</f>
        <v>100000</v>
      </c>
      <c r="G144" s="69"/>
      <c r="H144" s="69"/>
      <c r="I144" s="69"/>
      <c r="J144" s="69">
        <f t="shared" si="71"/>
        <v>0</v>
      </c>
      <c r="K144" s="69"/>
      <c r="L144" s="69"/>
      <c r="M144" s="69"/>
      <c r="N144" s="69"/>
      <c r="O144" s="69"/>
      <c r="P144" s="69">
        <f t="shared" si="70"/>
        <v>100000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</row>
    <row r="145" spans="1:529" s="23" customFormat="1" ht="45" x14ac:dyDescent="0.25">
      <c r="A145" s="43" t="s">
        <v>236</v>
      </c>
      <c r="B145" s="44" t="str">
        <f>'дод 3'!A94</f>
        <v>6020</v>
      </c>
      <c r="C145" s="44" t="str">
        <f>'дод 3'!B94</f>
        <v>0620</v>
      </c>
      <c r="D145" s="24" t="str">
        <f>'дод 3'!C94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5" s="69">
        <f t="shared" si="69"/>
        <v>2605232</v>
      </c>
      <c r="F145" s="69"/>
      <c r="G145" s="69"/>
      <c r="H145" s="69"/>
      <c r="I145" s="69">
        <f>2595232+2000000+10000-2000000</f>
        <v>2605232</v>
      </c>
      <c r="J145" s="69">
        <f t="shared" si="71"/>
        <v>2000000</v>
      </c>
      <c r="K145" s="69">
        <f>2000000-2000000+2000000</f>
        <v>2000000</v>
      </c>
      <c r="L145" s="69"/>
      <c r="M145" s="69"/>
      <c r="N145" s="69"/>
      <c r="O145" s="69">
        <f>2000000-2000000+2000000</f>
        <v>2000000</v>
      </c>
      <c r="P145" s="69">
        <f t="shared" si="70"/>
        <v>4605232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3" customFormat="1" ht="21.75" customHeight="1" x14ac:dyDescent="0.25">
      <c r="A146" s="43" t="s">
        <v>237</v>
      </c>
      <c r="B146" s="44" t="str">
        <f>'дод 3'!A95</f>
        <v>6030</v>
      </c>
      <c r="C146" s="44" t="str">
        <f>'дод 3'!B95</f>
        <v>0620</v>
      </c>
      <c r="D146" s="24" t="str">
        <f>'дод 3'!C95</f>
        <v>Організація благоустрою населених пунктів</v>
      </c>
      <c r="E146" s="69">
        <f t="shared" si="69"/>
        <v>192585770.56999999</v>
      </c>
      <c r="F146" s="69">
        <f>191911836-108000-2000000-100000-2000000+2907700+786500+575000+788511.57-2000000+199000-300000-100000+489939+100000-95000+377000+150000-16200-180000+180000-200000-127000+900000+211155+200000+35329</f>
        <v>192585770.56999999</v>
      </c>
      <c r="G146" s="69"/>
      <c r="H146" s="69">
        <f>27870906-16200-180000-59000</f>
        <v>27615706</v>
      </c>
      <c r="I146" s="69"/>
      <c r="J146" s="69">
        <f t="shared" si="71"/>
        <v>34361415.150000006</v>
      </c>
      <c r="K146" s="69">
        <f>27800000+1000000+5000000+5550000-5000000+150000+100000-4000000+10112784.63-4629526.59+12715677.07-18000+75000+110000-575000+163369.04+569000-199000-6600000-6700000-50000+110000+177000-1499889</f>
        <v>34361415.150000006</v>
      </c>
      <c r="L146" s="71"/>
      <c r="M146" s="69"/>
      <c r="N146" s="69"/>
      <c r="O146" s="69">
        <f>27800000+1000000+5000000+5550000-5000000+150000+100000-4000000+10112784.63-4629526.59+12715677.07-18000+75000+110000-575000+163369.04+569000-199000-6600000-6700000-50000+110000+177000-1499889</f>
        <v>34361415.150000006</v>
      </c>
      <c r="P146" s="69">
        <f t="shared" si="70"/>
        <v>226947185.72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3" customFormat="1" ht="31.5" customHeight="1" x14ac:dyDescent="0.25">
      <c r="A147" s="43" t="s">
        <v>294</v>
      </c>
      <c r="B147" s="44" t="str">
        <f>'дод 3'!A97</f>
        <v>6090</v>
      </c>
      <c r="C147" s="44" t="str">
        <f>'дод 3'!B97</f>
        <v>0640</v>
      </c>
      <c r="D147" s="24" t="str">
        <f>'дод 3'!C97</f>
        <v>Інша діяльність у сфері житлово-комунального господарства</v>
      </c>
      <c r="E147" s="69">
        <f t="shared" si="69"/>
        <v>11179117.390000001</v>
      </c>
      <c r="F147" s="69">
        <f>16709746+579084+27300000-4300-19001249-1991050-1006880.61-569000-70000-70000-100000-5170304-100000-2351000-49000-166000-110000-15000-1428134-32000-13000-633100-492595-41400</f>
        <v>11174817.390000001</v>
      </c>
      <c r="G147" s="69"/>
      <c r="H147" s="69">
        <v>42400</v>
      </c>
      <c r="I147" s="69">
        <v>4300</v>
      </c>
      <c r="J147" s="69">
        <f t="shared" si="71"/>
        <v>800708.78999999911</v>
      </c>
      <c r="K147" s="69">
        <f>21793738-10545638.97-1288734.74-6359655.5-305000-2494000</f>
        <v>800708.78999999911</v>
      </c>
      <c r="L147" s="69"/>
      <c r="M147" s="69"/>
      <c r="N147" s="69"/>
      <c r="O147" s="69">
        <f>21793738-10545638.97-1288734.74-6359655.5-305000-2494000</f>
        <v>800708.78999999911</v>
      </c>
      <c r="P147" s="69">
        <f t="shared" si="70"/>
        <v>11979826.18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ht="33" customHeight="1" x14ac:dyDescent="0.25">
      <c r="A148" s="43" t="s">
        <v>314</v>
      </c>
      <c r="B148" s="44" t="str">
        <f>'дод 3'!A104</f>
        <v>7310</v>
      </c>
      <c r="C148" s="44" t="str">
        <f>'дод 3'!B104</f>
        <v>0443</v>
      </c>
      <c r="D148" s="24" t="str">
        <f>'дод 3'!C104</f>
        <v>Будівництво об'єктів житлово-комунального господарства</v>
      </c>
      <c r="E148" s="69">
        <f t="shared" si="69"/>
        <v>0</v>
      </c>
      <c r="F148" s="69"/>
      <c r="G148" s="69"/>
      <c r="H148" s="69"/>
      <c r="I148" s="69"/>
      <c r="J148" s="69">
        <f t="shared" si="71"/>
        <v>8872297.7599999979</v>
      </c>
      <c r="K148" s="69">
        <f>12540000-60000+40000+8953612-4000000+2338215.76-3000+2000-8410000-1200000-494730+230000-1380000+300000+16200</f>
        <v>8872297.7599999979</v>
      </c>
      <c r="L148" s="69"/>
      <c r="M148" s="69"/>
      <c r="N148" s="69"/>
      <c r="O148" s="69">
        <f>12540000-60000+40000+8953612-4000000+2338215.76-3000+2000-8410000-1200000-494730+230000-1380000+300000+16200</f>
        <v>8872297.7599999979</v>
      </c>
      <c r="P148" s="69">
        <f t="shared" si="70"/>
        <v>8872297.7599999979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3" customFormat="1" ht="21.75" customHeight="1" x14ac:dyDescent="0.25">
      <c r="A149" s="43" t="s">
        <v>316</v>
      </c>
      <c r="B149" s="44" t="str">
        <f>'дод 3'!A108</f>
        <v>7330</v>
      </c>
      <c r="C149" s="44" t="str">
        <f>'дод 3'!B108</f>
        <v>0443</v>
      </c>
      <c r="D149" s="24" t="str">
        <f>'дод 3'!C108</f>
        <v>Будівництво інших об'єктів комунальної власності</v>
      </c>
      <c r="E149" s="69">
        <f t="shared" si="69"/>
        <v>0</v>
      </c>
      <c r="F149" s="69"/>
      <c r="G149" s="69"/>
      <c r="H149" s="69"/>
      <c r="I149" s="69"/>
      <c r="J149" s="69">
        <f t="shared" si="71"/>
        <v>7258887.7699999996</v>
      </c>
      <c r="K149" s="69">
        <f>15750000+4777000+3000-50000-100000-5550000-700000+550000-4000000+432854.34-1950000+4818144.43+210000+68000-8500000+1499889</f>
        <v>7258887.7699999996</v>
      </c>
      <c r="L149" s="69"/>
      <c r="M149" s="69"/>
      <c r="N149" s="69"/>
      <c r="O149" s="69">
        <f>15750000+4777000+3000-50000-100000-5550000-700000+550000-4000000+432854.34-1950000+4818144.43+210000+68000-8500000+1499889</f>
        <v>7258887.7699999996</v>
      </c>
      <c r="P149" s="69">
        <f t="shared" si="70"/>
        <v>7258887.7699999996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3" customFormat="1" ht="29.25" customHeight="1" x14ac:dyDescent="0.25">
      <c r="A150" s="43" t="s">
        <v>238</v>
      </c>
      <c r="B150" s="44">
        <f>'дод 3'!A107</f>
        <v>7325</v>
      </c>
      <c r="C150" s="44">
        <f>'дод 3'!B107</f>
        <v>443</v>
      </c>
      <c r="D150" s="24" t="str">
        <f>'дод 3'!C107</f>
        <v>Будівництво споруд, установ та закладів фізичної культури і спорту</v>
      </c>
      <c r="E150" s="69">
        <f t="shared" ref="E150" si="72">F150+I150</f>
        <v>0</v>
      </c>
      <c r="F150" s="69"/>
      <c r="G150" s="69"/>
      <c r="H150" s="69"/>
      <c r="I150" s="69"/>
      <c r="J150" s="69">
        <f t="shared" ref="J150" si="73">L150+O150</f>
        <v>3000000</v>
      </c>
      <c r="K150" s="69">
        <v>3000000</v>
      </c>
      <c r="L150" s="69"/>
      <c r="M150" s="69"/>
      <c r="N150" s="69"/>
      <c r="O150" s="69">
        <v>3000000</v>
      </c>
      <c r="P150" s="69">
        <f t="shared" ref="P150" si="74">E150+J150</f>
        <v>3000000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ht="49.5" customHeight="1" x14ac:dyDescent="0.25">
      <c r="A151" s="43" t="s">
        <v>446</v>
      </c>
      <c r="B151" s="44">
        <f>'дод 3'!A110</f>
        <v>7361</v>
      </c>
      <c r="C151" s="44" t="str">
        <f>'дод 3'!B110</f>
        <v>0490</v>
      </c>
      <c r="D151" s="24" t="str">
        <f>'дод 3'!C110</f>
        <v>Співфінансування інвестиційних проектів, що реалізуються за рахунок коштів державного фонду регіонального розвитку</v>
      </c>
      <c r="E151" s="69">
        <f t="shared" si="69"/>
        <v>0</v>
      </c>
      <c r="F151" s="69"/>
      <c r="G151" s="69"/>
      <c r="H151" s="69"/>
      <c r="I151" s="69"/>
      <c r="J151" s="69">
        <f t="shared" si="71"/>
        <v>1386113</v>
      </c>
      <c r="K151" s="69">
        <v>1386113</v>
      </c>
      <c r="L151" s="69"/>
      <c r="M151" s="69"/>
      <c r="N151" s="69"/>
      <c r="O151" s="69">
        <v>1386113</v>
      </c>
      <c r="P151" s="69">
        <f t="shared" si="70"/>
        <v>1386113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23" customFormat="1" ht="30" x14ac:dyDescent="0.25">
      <c r="A152" s="43">
        <v>1217362</v>
      </c>
      <c r="B152" s="44">
        <f>'дод 3'!A111</f>
        <v>7362</v>
      </c>
      <c r="C152" s="44" t="str">
        <f>'дод 3'!B111</f>
        <v>0490</v>
      </c>
      <c r="D152" s="24" t="str">
        <f>'дод 3'!C111</f>
        <v>Виконання інвестиційних проектів в рамках підтримки розвитку об'єднаних територіальних громад</v>
      </c>
      <c r="E152" s="69">
        <f t="shared" si="69"/>
        <v>0</v>
      </c>
      <c r="F152" s="69"/>
      <c r="G152" s="69"/>
      <c r="H152" s="69"/>
      <c r="I152" s="69"/>
      <c r="J152" s="69">
        <f t="shared" si="71"/>
        <v>75600</v>
      </c>
      <c r="K152" s="69">
        <v>75600</v>
      </c>
      <c r="L152" s="69"/>
      <c r="M152" s="69"/>
      <c r="N152" s="69"/>
      <c r="O152" s="69">
        <v>75600</v>
      </c>
      <c r="P152" s="69">
        <f t="shared" si="70"/>
        <v>75600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3" customFormat="1" ht="45" x14ac:dyDescent="0.25">
      <c r="A153" s="43" t="s">
        <v>442</v>
      </c>
      <c r="B153" s="44">
        <v>7363</v>
      </c>
      <c r="C153" s="117" t="s">
        <v>102</v>
      </c>
      <c r="D153" s="118" t="s">
        <v>438</v>
      </c>
      <c r="E153" s="69">
        <f t="shared" si="69"/>
        <v>0</v>
      </c>
      <c r="F153" s="69"/>
      <c r="G153" s="69"/>
      <c r="H153" s="69"/>
      <c r="I153" s="69"/>
      <c r="J153" s="69">
        <f t="shared" si="71"/>
        <v>956186.69000000006</v>
      </c>
      <c r="K153" s="69">
        <f>18766.31+937420.38</f>
        <v>956186.69000000006</v>
      </c>
      <c r="L153" s="69"/>
      <c r="M153" s="69"/>
      <c r="N153" s="69"/>
      <c r="O153" s="69">
        <f>18766.31+937420.38</f>
        <v>956186.69000000006</v>
      </c>
      <c r="P153" s="69">
        <f t="shared" si="70"/>
        <v>956186.69000000006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</row>
    <row r="154" spans="1:529" s="23" customFormat="1" x14ac:dyDescent="0.25">
      <c r="A154" s="43"/>
      <c r="B154" s="44"/>
      <c r="C154" s="44"/>
      <c r="D154" s="22" t="s">
        <v>308</v>
      </c>
      <c r="E154" s="69">
        <f t="shared" si="69"/>
        <v>0</v>
      </c>
      <c r="F154" s="69"/>
      <c r="G154" s="69"/>
      <c r="H154" s="69"/>
      <c r="I154" s="69"/>
      <c r="J154" s="69">
        <f t="shared" si="71"/>
        <v>937420.38</v>
      </c>
      <c r="K154" s="69">
        <v>937420.38</v>
      </c>
      <c r="L154" s="69"/>
      <c r="M154" s="69"/>
      <c r="N154" s="69"/>
      <c r="O154" s="69">
        <v>937420.38</v>
      </c>
      <c r="P154" s="69">
        <f t="shared" si="70"/>
        <v>937420.38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134" customFormat="1" ht="47.25" customHeight="1" x14ac:dyDescent="0.25">
      <c r="A155" s="43" t="s">
        <v>452</v>
      </c>
      <c r="B155" s="44">
        <f>'дод 3'!A119</f>
        <v>7462</v>
      </c>
      <c r="C155" s="44">
        <f>'дод 3'!B119</f>
        <v>456</v>
      </c>
      <c r="D155" s="78" t="str">
        <f>'дод 3'!C119</f>
        <v>Утримання та розвиток автомобільних доріг та дорожньої інфраструктури за рахунок субвенції з державного бюджету</v>
      </c>
      <c r="E155" s="69">
        <f t="shared" ref="E155:E156" si="75">F155+I155</f>
        <v>0</v>
      </c>
      <c r="F155" s="69"/>
      <c r="G155" s="69"/>
      <c r="H155" s="69"/>
      <c r="I155" s="69"/>
      <c r="J155" s="69">
        <f t="shared" ref="J155:J156" si="76">L155+O155</f>
        <v>80000000</v>
      </c>
      <c r="K155" s="69"/>
      <c r="L155" s="69">
        <v>80000000</v>
      </c>
      <c r="M155" s="69"/>
      <c r="N155" s="69"/>
      <c r="O155" s="69"/>
      <c r="P155" s="69">
        <f t="shared" ref="P155:P156" si="77">E155+J155</f>
        <v>80000000</v>
      </c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  <c r="EW155" s="133"/>
      <c r="EX155" s="133"/>
      <c r="EY155" s="133"/>
      <c r="EZ155" s="133"/>
      <c r="FA155" s="133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GW155" s="133"/>
      <c r="GX155" s="133"/>
      <c r="GY155" s="133"/>
      <c r="GZ155" s="133"/>
      <c r="HA155" s="133"/>
      <c r="HB155" s="133"/>
      <c r="HC155" s="133"/>
      <c r="HD155" s="133"/>
      <c r="HE155" s="133"/>
      <c r="HF155" s="133"/>
      <c r="HG155" s="133"/>
      <c r="HH155" s="133"/>
      <c r="HI155" s="133"/>
      <c r="HJ155" s="133"/>
      <c r="HK155" s="133"/>
      <c r="HL155" s="133"/>
      <c r="HM155" s="133"/>
      <c r="HN155" s="133"/>
      <c r="HO155" s="133"/>
      <c r="HP155" s="133"/>
      <c r="HQ155" s="133"/>
      <c r="HR155" s="133"/>
      <c r="HS155" s="133"/>
      <c r="HT155" s="133"/>
      <c r="HU155" s="133"/>
      <c r="HV155" s="133"/>
      <c r="HW155" s="133"/>
      <c r="HX155" s="133"/>
      <c r="HY155" s="133"/>
      <c r="HZ155" s="133"/>
      <c r="IA155" s="133"/>
      <c r="IB155" s="133"/>
      <c r="IC155" s="133"/>
      <c r="ID155" s="133"/>
      <c r="IE155" s="133"/>
      <c r="IF155" s="133"/>
      <c r="IG155" s="133"/>
      <c r="IH155" s="133"/>
      <c r="II155" s="133"/>
      <c r="IJ155" s="133"/>
      <c r="IK155" s="133"/>
      <c r="IL155" s="133"/>
      <c r="IM155" s="133"/>
      <c r="IN155" s="133"/>
      <c r="IO155" s="133"/>
      <c r="IP155" s="133"/>
      <c r="IQ155" s="133"/>
      <c r="IR155" s="133"/>
      <c r="IS155" s="133"/>
      <c r="IT155" s="133"/>
      <c r="IU155" s="133"/>
      <c r="IV155" s="133"/>
      <c r="IW155" s="133"/>
      <c r="IX155" s="133"/>
      <c r="IY155" s="133"/>
      <c r="IZ155" s="133"/>
      <c r="JA155" s="133"/>
      <c r="JB155" s="133"/>
      <c r="JC155" s="133"/>
      <c r="JD155" s="133"/>
      <c r="JE155" s="133"/>
      <c r="JF155" s="133"/>
      <c r="JG155" s="133"/>
      <c r="JH155" s="133"/>
      <c r="JI155" s="133"/>
      <c r="JJ155" s="133"/>
      <c r="JK155" s="133"/>
      <c r="JL155" s="133"/>
      <c r="JM155" s="133"/>
      <c r="JN155" s="133"/>
      <c r="JO155" s="133"/>
      <c r="JP155" s="133"/>
      <c r="JQ155" s="133"/>
      <c r="JR155" s="133"/>
      <c r="JS155" s="133"/>
      <c r="JT155" s="133"/>
      <c r="JU155" s="133"/>
      <c r="JV155" s="133"/>
      <c r="JW155" s="133"/>
      <c r="JX155" s="133"/>
      <c r="JY155" s="133"/>
      <c r="JZ155" s="133"/>
      <c r="KA155" s="133"/>
      <c r="KB155" s="133"/>
      <c r="KC155" s="133"/>
      <c r="KD155" s="133"/>
      <c r="KE155" s="133"/>
      <c r="KF155" s="133"/>
      <c r="KG155" s="133"/>
      <c r="KH155" s="133"/>
      <c r="KI155" s="133"/>
      <c r="KJ155" s="133"/>
      <c r="KK155" s="133"/>
      <c r="KL155" s="133"/>
      <c r="KM155" s="133"/>
      <c r="KN155" s="133"/>
      <c r="KO155" s="133"/>
      <c r="KP155" s="133"/>
      <c r="KQ155" s="133"/>
      <c r="KR155" s="133"/>
      <c r="KS155" s="133"/>
      <c r="KT155" s="133"/>
      <c r="KU155" s="133"/>
      <c r="KV155" s="133"/>
      <c r="KW155" s="133"/>
      <c r="KX155" s="133"/>
      <c r="KY155" s="133"/>
      <c r="KZ155" s="133"/>
      <c r="LA155" s="133"/>
      <c r="LB155" s="133"/>
      <c r="LC155" s="133"/>
      <c r="LD155" s="133"/>
      <c r="LE155" s="133"/>
      <c r="LF155" s="133"/>
      <c r="LG155" s="133"/>
      <c r="LH155" s="133"/>
      <c r="LI155" s="133"/>
      <c r="LJ155" s="133"/>
      <c r="LK155" s="133"/>
      <c r="LL155" s="133"/>
      <c r="LM155" s="133"/>
      <c r="LN155" s="133"/>
      <c r="LO155" s="133"/>
      <c r="LP155" s="133"/>
      <c r="LQ155" s="133"/>
      <c r="LR155" s="133"/>
      <c r="LS155" s="133"/>
      <c r="LT155" s="133"/>
      <c r="LU155" s="133"/>
      <c r="LV155" s="133"/>
      <c r="LW155" s="133"/>
      <c r="LX155" s="133"/>
      <c r="LY155" s="133"/>
      <c r="LZ155" s="133"/>
      <c r="MA155" s="133"/>
      <c r="MB155" s="133"/>
      <c r="MC155" s="133"/>
      <c r="MD155" s="133"/>
      <c r="ME155" s="133"/>
      <c r="MF155" s="133"/>
      <c r="MG155" s="133"/>
      <c r="MH155" s="133"/>
      <c r="MI155" s="133"/>
      <c r="MJ155" s="133"/>
      <c r="MK155" s="133"/>
      <c r="ML155" s="133"/>
      <c r="MM155" s="133"/>
      <c r="MN155" s="133"/>
      <c r="MO155" s="133"/>
      <c r="MP155" s="133"/>
      <c r="MQ155" s="133"/>
      <c r="MR155" s="133"/>
      <c r="MS155" s="133"/>
      <c r="MT155" s="133"/>
      <c r="MU155" s="133"/>
      <c r="MV155" s="133"/>
      <c r="MW155" s="133"/>
      <c r="MX155" s="133"/>
      <c r="MY155" s="133"/>
      <c r="MZ155" s="133"/>
      <c r="NA155" s="133"/>
      <c r="NB155" s="133"/>
      <c r="NC155" s="133"/>
      <c r="ND155" s="133"/>
      <c r="NE155" s="133"/>
      <c r="NF155" s="133"/>
      <c r="NG155" s="133"/>
      <c r="NH155" s="133"/>
      <c r="NI155" s="133"/>
      <c r="NJ155" s="133"/>
      <c r="NK155" s="133"/>
      <c r="NL155" s="133"/>
      <c r="NM155" s="133"/>
      <c r="NN155" s="133"/>
      <c r="NO155" s="133"/>
      <c r="NP155" s="133"/>
      <c r="NQ155" s="133"/>
      <c r="NR155" s="133"/>
      <c r="NS155" s="133"/>
      <c r="NT155" s="133"/>
      <c r="NU155" s="133"/>
      <c r="NV155" s="133"/>
      <c r="NW155" s="133"/>
      <c r="NX155" s="133"/>
      <c r="NY155" s="133"/>
      <c r="NZ155" s="133"/>
      <c r="OA155" s="133"/>
      <c r="OB155" s="133"/>
      <c r="OC155" s="133"/>
      <c r="OD155" s="133"/>
      <c r="OE155" s="133"/>
      <c r="OF155" s="133"/>
      <c r="OG155" s="133"/>
      <c r="OH155" s="133"/>
      <c r="OI155" s="133"/>
      <c r="OJ155" s="133"/>
      <c r="OK155" s="133"/>
      <c r="OL155" s="133"/>
      <c r="OM155" s="133"/>
      <c r="ON155" s="133"/>
      <c r="OO155" s="133"/>
      <c r="OP155" s="133"/>
      <c r="OQ155" s="133"/>
      <c r="OR155" s="133"/>
      <c r="OS155" s="133"/>
      <c r="OT155" s="133"/>
      <c r="OU155" s="133"/>
      <c r="OV155" s="133"/>
      <c r="OW155" s="133"/>
      <c r="OX155" s="133"/>
      <c r="OY155" s="133"/>
      <c r="OZ155" s="133"/>
      <c r="PA155" s="133"/>
      <c r="PB155" s="133"/>
      <c r="PC155" s="133"/>
      <c r="PD155" s="133"/>
      <c r="PE155" s="133"/>
      <c r="PF155" s="133"/>
      <c r="PG155" s="133"/>
      <c r="PH155" s="133"/>
      <c r="PI155" s="133"/>
      <c r="PJ155" s="133"/>
      <c r="PK155" s="133"/>
      <c r="PL155" s="133"/>
      <c r="PM155" s="133"/>
      <c r="PN155" s="133"/>
      <c r="PO155" s="133"/>
      <c r="PP155" s="133"/>
      <c r="PQ155" s="133"/>
      <c r="PR155" s="133"/>
      <c r="PS155" s="133"/>
      <c r="PT155" s="133"/>
      <c r="PU155" s="133"/>
      <c r="PV155" s="133"/>
      <c r="PW155" s="133"/>
      <c r="PX155" s="133"/>
      <c r="PY155" s="133"/>
      <c r="PZ155" s="133"/>
      <c r="QA155" s="133"/>
      <c r="QB155" s="133"/>
      <c r="QC155" s="133"/>
      <c r="QD155" s="133"/>
      <c r="QE155" s="133"/>
      <c r="QF155" s="133"/>
      <c r="QG155" s="133"/>
      <c r="QH155" s="133"/>
      <c r="QI155" s="133"/>
      <c r="QJ155" s="133"/>
      <c r="QK155" s="133"/>
      <c r="QL155" s="133"/>
      <c r="QM155" s="133"/>
      <c r="QN155" s="133"/>
      <c r="QO155" s="133"/>
      <c r="QP155" s="133"/>
      <c r="QQ155" s="133"/>
      <c r="QR155" s="133"/>
      <c r="QS155" s="133"/>
      <c r="QT155" s="133"/>
      <c r="QU155" s="133"/>
      <c r="QV155" s="133"/>
      <c r="QW155" s="133"/>
      <c r="QX155" s="133"/>
      <c r="QY155" s="133"/>
      <c r="QZ155" s="133"/>
      <c r="RA155" s="133"/>
      <c r="RB155" s="133"/>
      <c r="RC155" s="133"/>
      <c r="RD155" s="133"/>
      <c r="RE155" s="133"/>
      <c r="RF155" s="133"/>
      <c r="RG155" s="133"/>
      <c r="RH155" s="133"/>
      <c r="RI155" s="133"/>
      <c r="RJ155" s="133"/>
      <c r="RK155" s="133"/>
      <c r="RL155" s="133"/>
      <c r="RM155" s="133"/>
      <c r="RN155" s="133"/>
      <c r="RO155" s="133"/>
      <c r="RP155" s="133"/>
      <c r="RQ155" s="133"/>
      <c r="RR155" s="133"/>
      <c r="RS155" s="133"/>
      <c r="RT155" s="133"/>
      <c r="RU155" s="133"/>
      <c r="RV155" s="133"/>
      <c r="RW155" s="133"/>
      <c r="RX155" s="133"/>
      <c r="RY155" s="133"/>
      <c r="RZ155" s="133"/>
      <c r="SA155" s="133"/>
      <c r="SB155" s="133"/>
      <c r="SC155" s="133"/>
      <c r="SD155" s="133"/>
      <c r="SE155" s="133"/>
      <c r="SF155" s="133"/>
      <c r="SG155" s="133"/>
      <c r="SH155" s="133"/>
      <c r="SI155" s="133"/>
      <c r="SJ155" s="133"/>
      <c r="SK155" s="133"/>
      <c r="SL155" s="133"/>
      <c r="SM155" s="133"/>
      <c r="SN155" s="133"/>
      <c r="SO155" s="133"/>
      <c r="SP155" s="133"/>
      <c r="SQ155" s="133"/>
      <c r="SR155" s="133"/>
      <c r="SS155" s="133"/>
      <c r="ST155" s="133"/>
      <c r="SU155" s="133"/>
      <c r="SV155" s="133"/>
      <c r="SW155" s="133"/>
      <c r="SX155" s="133"/>
      <c r="SY155" s="133"/>
      <c r="SZ155" s="133"/>
      <c r="TA155" s="133"/>
      <c r="TB155" s="133"/>
      <c r="TC155" s="133"/>
      <c r="TD155" s="133"/>
      <c r="TE155" s="133"/>
      <c r="TF155" s="133"/>
      <c r="TG155" s="133"/>
      <c r="TH155" s="133"/>
      <c r="TI155" s="133"/>
    </row>
    <row r="156" spans="1:529" s="134" customFormat="1" x14ac:dyDescent="0.25">
      <c r="A156" s="43"/>
      <c r="B156" s="44"/>
      <c r="C156" s="44"/>
      <c r="D156" s="22" t="s">
        <v>308</v>
      </c>
      <c r="E156" s="69">
        <f t="shared" si="75"/>
        <v>0</v>
      </c>
      <c r="F156" s="69"/>
      <c r="G156" s="69"/>
      <c r="H156" s="69"/>
      <c r="I156" s="69"/>
      <c r="J156" s="69">
        <f t="shared" si="76"/>
        <v>80000000</v>
      </c>
      <c r="K156" s="69"/>
      <c r="L156" s="69">
        <v>80000000</v>
      </c>
      <c r="M156" s="69"/>
      <c r="N156" s="69"/>
      <c r="O156" s="69"/>
      <c r="P156" s="69">
        <f t="shared" si="77"/>
        <v>80000000</v>
      </c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  <c r="EW156" s="133"/>
      <c r="EX156" s="133"/>
      <c r="EY156" s="133"/>
      <c r="EZ156" s="133"/>
      <c r="FA156" s="133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GW156" s="133"/>
      <c r="GX156" s="133"/>
      <c r="GY156" s="133"/>
      <c r="GZ156" s="133"/>
      <c r="HA156" s="133"/>
      <c r="HB156" s="133"/>
      <c r="HC156" s="133"/>
      <c r="HD156" s="133"/>
      <c r="HE156" s="133"/>
      <c r="HF156" s="133"/>
      <c r="HG156" s="133"/>
      <c r="HH156" s="133"/>
      <c r="HI156" s="133"/>
      <c r="HJ156" s="133"/>
      <c r="HK156" s="133"/>
      <c r="HL156" s="133"/>
      <c r="HM156" s="133"/>
      <c r="HN156" s="133"/>
      <c r="HO156" s="133"/>
      <c r="HP156" s="133"/>
      <c r="HQ156" s="133"/>
      <c r="HR156" s="133"/>
      <c r="HS156" s="133"/>
      <c r="HT156" s="133"/>
      <c r="HU156" s="133"/>
      <c r="HV156" s="133"/>
      <c r="HW156" s="133"/>
      <c r="HX156" s="133"/>
      <c r="HY156" s="133"/>
      <c r="HZ156" s="133"/>
      <c r="IA156" s="133"/>
      <c r="IB156" s="133"/>
      <c r="IC156" s="133"/>
      <c r="ID156" s="133"/>
      <c r="IE156" s="133"/>
      <c r="IF156" s="133"/>
      <c r="IG156" s="133"/>
      <c r="IH156" s="133"/>
      <c r="II156" s="133"/>
      <c r="IJ156" s="133"/>
      <c r="IK156" s="133"/>
      <c r="IL156" s="133"/>
      <c r="IM156" s="133"/>
      <c r="IN156" s="133"/>
      <c r="IO156" s="133"/>
      <c r="IP156" s="133"/>
      <c r="IQ156" s="133"/>
      <c r="IR156" s="133"/>
      <c r="IS156" s="133"/>
      <c r="IT156" s="133"/>
      <c r="IU156" s="133"/>
      <c r="IV156" s="133"/>
      <c r="IW156" s="133"/>
      <c r="IX156" s="133"/>
      <c r="IY156" s="133"/>
      <c r="IZ156" s="133"/>
      <c r="JA156" s="133"/>
      <c r="JB156" s="133"/>
      <c r="JC156" s="133"/>
      <c r="JD156" s="133"/>
      <c r="JE156" s="133"/>
      <c r="JF156" s="133"/>
      <c r="JG156" s="133"/>
      <c r="JH156" s="133"/>
      <c r="JI156" s="133"/>
      <c r="JJ156" s="133"/>
      <c r="JK156" s="133"/>
      <c r="JL156" s="133"/>
      <c r="JM156" s="133"/>
      <c r="JN156" s="133"/>
      <c r="JO156" s="133"/>
      <c r="JP156" s="133"/>
      <c r="JQ156" s="133"/>
      <c r="JR156" s="133"/>
      <c r="JS156" s="133"/>
      <c r="JT156" s="133"/>
      <c r="JU156" s="133"/>
      <c r="JV156" s="133"/>
      <c r="JW156" s="133"/>
      <c r="JX156" s="133"/>
      <c r="JY156" s="133"/>
      <c r="JZ156" s="133"/>
      <c r="KA156" s="133"/>
      <c r="KB156" s="133"/>
      <c r="KC156" s="133"/>
      <c r="KD156" s="133"/>
      <c r="KE156" s="133"/>
      <c r="KF156" s="133"/>
      <c r="KG156" s="133"/>
      <c r="KH156" s="133"/>
      <c r="KI156" s="133"/>
      <c r="KJ156" s="133"/>
      <c r="KK156" s="133"/>
      <c r="KL156" s="133"/>
      <c r="KM156" s="133"/>
      <c r="KN156" s="133"/>
      <c r="KO156" s="133"/>
      <c r="KP156" s="133"/>
      <c r="KQ156" s="133"/>
      <c r="KR156" s="133"/>
      <c r="KS156" s="133"/>
      <c r="KT156" s="133"/>
      <c r="KU156" s="133"/>
      <c r="KV156" s="133"/>
      <c r="KW156" s="133"/>
      <c r="KX156" s="133"/>
      <c r="KY156" s="133"/>
      <c r="KZ156" s="133"/>
      <c r="LA156" s="133"/>
      <c r="LB156" s="133"/>
      <c r="LC156" s="133"/>
      <c r="LD156" s="133"/>
      <c r="LE156" s="133"/>
      <c r="LF156" s="133"/>
      <c r="LG156" s="133"/>
      <c r="LH156" s="133"/>
      <c r="LI156" s="133"/>
      <c r="LJ156" s="133"/>
      <c r="LK156" s="133"/>
      <c r="LL156" s="133"/>
      <c r="LM156" s="133"/>
      <c r="LN156" s="133"/>
      <c r="LO156" s="133"/>
      <c r="LP156" s="133"/>
      <c r="LQ156" s="133"/>
      <c r="LR156" s="133"/>
      <c r="LS156" s="133"/>
      <c r="LT156" s="133"/>
      <c r="LU156" s="133"/>
      <c r="LV156" s="133"/>
      <c r="LW156" s="133"/>
      <c r="LX156" s="133"/>
      <c r="LY156" s="133"/>
      <c r="LZ156" s="133"/>
      <c r="MA156" s="133"/>
      <c r="MB156" s="133"/>
      <c r="MC156" s="133"/>
      <c r="MD156" s="133"/>
      <c r="ME156" s="133"/>
      <c r="MF156" s="133"/>
      <c r="MG156" s="133"/>
      <c r="MH156" s="133"/>
      <c r="MI156" s="133"/>
      <c r="MJ156" s="133"/>
      <c r="MK156" s="133"/>
      <c r="ML156" s="133"/>
      <c r="MM156" s="133"/>
      <c r="MN156" s="133"/>
      <c r="MO156" s="133"/>
      <c r="MP156" s="133"/>
      <c r="MQ156" s="133"/>
      <c r="MR156" s="133"/>
      <c r="MS156" s="133"/>
      <c r="MT156" s="133"/>
      <c r="MU156" s="133"/>
      <c r="MV156" s="133"/>
      <c r="MW156" s="133"/>
      <c r="MX156" s="133"/>
      <c r="MY156" s="133"/>
      <c r="MZ156" s="133"/>
      <c r="NA156" s="133"/>
      <c r="NB156" s="133"/>
      <c r="NC156" s="133"/>
      <c r="ND156" s="133"/>
      <c r="NE156" s="133"/>
      <c r="NF156" s="133"/>
      <c r="NG156" s="133"/>
      <c r="NH156" s="133"/>
      <c r="NI156" s="133"/>
      <c r="NJ156" s="133"/>
      <c r="NK156" s="133"/>
      <c r="NL156" s="133"/>
      <c r="NM156" s="133"/>
      <c r="NN156" s="133"/>
      <c r="NO156" s="133"/>
      <c r="NP156" s="133"/>
      <c r="NQ156" s="133"/>
      <c r="NR156" s="133"/>
      <c r="NS156" s="133"/>
      <c r="NT156" s="133"/>
      <c r="NU156" s="133"/>
      <c r="NV156" s="133"/>
      <c r="NW156" s="133"/>
      <c r="NX156" s="133"/>
      <c r="NY156" s="133"/>
      <c r="NZ156" s="133"/>
      <c r="OA156" s="133"/>
      <c r="OB156" s="133"/>
      <c r="OC156" s="133"/>
      <c r="OD156" s="133"/>
      <c r="OE156" s="133"/>
      <c r="OF156" s="133"/>
      <c r="OG156" s="133"/>
      <c r="OH156" s="133"/>
      <c r="OI156" s="133"/>
      <c r="OJ156" s="133"/>
      <c r="OK156" s="133"/>
      <c r="OL156" s="133"/>
      <c r="OM156" s="133"/>
      <c r="ON156" s="133"/>
      <c r="OO156" s="133"/>
      <c r="OP156" s="133"/>
      <c r="OQ156" s="133"/>
      <c r="OR156" s="133"/>
      <c r="OS156" s="133"/>
      <c r="OT156" s="133"/>
      <c r="OU156" s="133"/>
      <c r="OV156" s="133"/>
      <c r="OW156" s="133"/>
      <c r="OX156" s="133"/>
      <c r="OY156" s="133"/>
      <c r="OZ156" s="133"/>
      <c r="PA156" s="133"/>
      <c r="PB156" s="133"/>
      <c r="PC156" s="133"/>
      <c r="PD156" s="133"/>
      <c r="PE156" s="133"/>
      <c r="PF156" s="133"/>
      <c r="PG156" s="133"/>
      <c r="PH156" s="133"/>
      <c r="PI156" s="133"/>
      <c r="PJ156" s="133"/>
      <c r="PK156" s="133"/>
      <c r="PL156" s="133"/>
      <c r="PM156" s="133"/>
      <c r="PN156" s="133"/>
      <c r="PO156" s="133"/>
      <c r="PP156" s="133"/>
      <c r="PQ156" s="133"/>
      <c r="PR156" s="133"/>
      <c r="PS156" s="133"/>
      <c r="PT156" s="133"/>
      <c r="PU156" s="133"/>
      <c r="PV156" s="133"/>
      <c r="PW156" s="133"/>
      <c r="PX156" s="133"/>
      <c r="PY156" s="133"/>
      <c r="PZ156" s="133"/>
      <c r="QA156" s="133"/>
      <c r="QB156" s="133"/>
      <c r="QC156" s="133"/>
      <c r="QD156" s="133"/>
      <c r="QE156" s="133"/>
      <c r="QF156" s="133"/>
      <c r="QG156" s="133"/>
      <c r="QH156" s="133"/>
      <c r="QI156" s="133"/>
      <c r="QJ156" s="133"/>
      <c r="QK156" s="133"/>
      <c r="QL156" s="133"/>
      <c r="QM156" s="133"/>
      <c r="QN156" s="133"/>
      <c r="QO156" s="133"/>
      <c r="QP156" s="133"/>
      <c r="QQ156" s="133"/>
      <c r="QR156" s="133"/>
      <c r="QS156" s="133"/>
      <c r="QT156" s="133"/>
      <c r="QU156" s="133"/>
      <c r="QV156" s="133"/>
      <c r="QW156" s="133"/>
      <c r="QX156" s="133"/>
      <c r="QY156" s="133"/>
      <c r="QZ156" s="133"/>
      <c r="RA156" s="133"/>
      <c r="RB156" s="133"/>
      <c r="RC156" s="133"/>
      <c r="RD156" s="133"/>
      <c r="RE156" s="133"/>
      <c r="RF156" s="133"/>
      <c r="RG156" s="133"/>
      <c r="RH156" s="133"/>
      <c r="RI156" s="133"/>
      <c r="RJ156" s="133"/>
      <c r="RK156" s="133"/>
      <c r="RL156" s="133"/>
      <c r="RM156" s="133"/>
      <c r="RN156" s="133"/>
      <c r="RO156" s="133"/>
      <c r="RP156" s="133"/>
      <c r="RQ156" s="133"/>
      <c r="RR156" s="133"/>
      <c r="RS156" s="133"/>
      <c r="RT156" s="133"/>
      <c r="RU156" s="133"/>
      <c r="RV156" s="133"/>
      <c r="RW156" s="133"/>
      <c r="RX156" s="133"/>
      <c r="RY156" s="133"/>
      <c r="RZ156" s="133"/>
      <c r="SA156" s="133"/>
      <c r="SB156" s="133"/>
      <c r="SC156" s="133"/>
      <c r="SD156" s="133"/>
      <c r="SE156" s="133"/>
      <c r="SF156" s="133"/>
      <c r="SG156" s="133"/>
      <c r="SH156" s="133"/>
      <c r="SI156" s="133"/>
      <c r="SJ156" s="133"/>
      <c r="SK156" s="133"/>
      <c r="SL156" s="133"/>
      <c r="SM156" s="133"/>
      <c r="SN156" s="133"/>
      <c r="SO156" s="133"/>
      <c r="SP156" s="133"/>
      <c r="SQ156" s="133"/>
      <c r="SR156" s="133"/>
      <c r="SS156" s="133"/>
      <c r="ST156" s="133"/>
      <c r="SU156" s="133"/>
      <c r="SV156" s="133"/>
      <c r="SW156" s="133"/>
      <c r="SX156" s="133"/>
      <c r="SY156" s="133"/>
      <c r="SZ156" s="133"/>
      <c r="TA156" s="133"/>
      <c r="TB156" s="133"/>
      <c r="TC156" s="133"/>
      <c r="TD156" s="133"/>
      <c r="TE156" s="133"/>
      <c r="TF156" s="133"/>
      <c r="TG156" s="133"/>
      <c r="TH156" s="133"/>
      <c r="TI156" s="133"/>
    </row>
    <row r="157" spans="1:529" s="23" customFormat="1" ht="20.25" customHeight="1" x14ac:dyDescent="0.25">
      <c r="A157" s="43" t="s">
        <v>239</v>
      </c>
      <c r="B157" s="44" t="str">
        <f>'дод 3'!A125</f>
        <v>7640</v>
      </c>
      <c r="C157" s="44" t="str">
        <f>'дод 3'!B125</f>
        <v>0470</v>
      </c>
      <c r="D157" s="24" t="str">
        <f>'дод 3'!C125</f>
        <v>Заходи з енергозбереження</v>
      </c>
      <c r="E157" s="69">
        <f t="shared" si="69"/>
        <v>1500000</v>
      </c>
      <c r="F157" s="69">
        <f>750000-250000</f>
        <v>500000</v>
      </c>
      <c r="G157" s="69"/>
      <c r="H157" s="69"/>
      <c r="I157" s="69">
        <f>750000+250000</f>
        <v>1000000</v>
      </c>
      <c r="J157" s="69">
        <f t="shared" si="71"/>
        <v>0</v>
      </c>
      <c r="K157" s="69"/>
      <c r="L157" s="69"/>
      <c r="M157" s="69"/>
      <c r="N157" s="69"/>
      <c r="O157" s="69"/>
      <c r="P157" s="69">
        <f t="shared" si="70"/>
        <v>1500000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23.25" customHeight="1" x14ac:dyDescent="0.25">
      <c r="A158" s="43" t="s">
        <v>388</v>
      </c>
      <c r="B158" s="44" t="str">
        <f>'дод 3'!A128</f>
        <v>7670</v>
      </c>
      <c r="C158" s="44" t="str">
        <f>'дод 3'!B128</f>
        <v>0490</v>
      </c>
      <c r="D158" s="24" t="str">
        <f>'дод 3'!C128</f>
        <v>Внески до статутного капіталу суб’єктів господарювання</v>
      </c>
      <c r="E158" s="69">
        <f t="shared" si="69"/>
        <v>0</v>
      </c>
      <c r="F158" s="69"/>
      <c r="G158" s="69"/>
      <c r="H158" s="69"/>
      <c r="I158" s="69"/>
      <c r="J158" s="69">
        <f t="shared" si="71"/>
        <v>17042330</v>
      </c>
      <c r="K158" s="69">
        <f>7042330+10000000</f>
        <v>17042330</v>
      </c>
      <c r="L158" s="69"/>
      <c r="M158" s="69"/>
      <c r="N158" s="69"/>
      <c r="O158" s="69">
        <f>7042330+10000000</f>
        <v>17042330</v>
      </c>
      <c r="P158" s="69">
        <f t="shared" si="70"/>
        <v>17042330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3" customFormat="1" ht="102" customHeight="1" x14ac:dyDescent="0.25">
      <c r="A159" s="52" t="s">
        <v>350</v>
      </c>
      <c r="B159" s="45">
        <v>7691</v>
      </c>
      <c r="C159" s="45" t="s">
        <v>102</v>
      </c>
      <c r="D159" s="22" t="str">
        <f>'дод 3'!C130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9" s="69">
        <f t="shared" si="69"/>
        <v>0</v>
      </c>
      <c r="F159" s="69"/>
      <c r="G159" s="69"/>
      <c r="H159" s="69"/>
      <c r="I159" s="69"/>
      <c r="J159" s="69">
        <f t="shared" si="71"/>
        <v>290090.27</v>
      </c>
      <c r="K159" s="69"/>
      <c r="L159" s="69">
        <f>41000+115890.27</f>
        <v>156890.27000000002</v>
      </c>
      <c r="M159" s="69"/>
      <c r="N159" s="69"/>
      <c r="O159" s="69">
        <v>133200</v>
      </c>
      <c r="P159" s="69">
        <f t="shared" si="70"/>
        <v>290090.27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38.25" customHeight="1" x14ac:dyDescent="0.25">
      <c r="A160" s="52" t="s">
        <v>468</v>
      </c>
      <c r="B160" s="45" t="str">
        <f>'дод 3'!A136</f>
        <v>8110</v>
      </c>
      <c r="C160" s="45" t="str">
        <f>'дод 3'!B136</f>
        <v>0320</v>
      </c>
      <c r="D160" s="150" t="str">
        <f>'дод 3'!C136</f>
        <v>Заходи із запобігання та ліквідації надзвичайних ситуацій та наслідків стихійного лиха</v>
      </c>
      <c r="E160" s="69">
        <f t="shared" ref="E160" si="78">F160+I160</f>
        <v>2088318</v>
      </c>
      <c r="F160" s="69">
        <f>1610000+1443000-64682-900000</f>
        <v>2088318</v>
      </c>
      <c r="G160" s="69"/>
      <c r="H160" s="69">
        <v>48000</v>
      </c>
      <c r="I160" s="69"/>
      <c r="J160" s="69">
        <f t="shared" ref="J160" si="79">L160+O160</f>
        <v>0</v>
      </c>
      <c r="K160" s="69"/>
      <c r="L160" s="69"/>
      <c r="M160" s="69"/>
      <c r="N160" s="69"/>
      <c r="O160" s="69"/>
      <c r="P160" s="69">
        <f t="shared" ref="P160" si="80">E160+J160</f>
        <v>2088318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3" customFormat="1" ht="33.75" hidden="1" customHeight="1" x14ac:dyDescent="0.25">
      <c r="A161" s="52" t="s">
        <v>466</v>
      </c>
      <c r="B161" s="45" t="str">
        <f>'дод 3'!A139</f>
        <v>8230</v>
      </c>
      <c r="C161" s="45" t="str">
        <f>'дод 3'!B139</f>
        <v>0380</v>
      </c>
      <c r="D161" s="150" t="str">
        <f>'дод 3'!C139</f>
        <v>Інші заходи громадського порядку та безпеки</v>
      </c>
      <c r="E161" s="69">
        <f t="shared" ref="E161" si="81">F161+I161</f>
        <v>0</v>
      </c>
      <c r="F161" s="69">
        <f>110000-110000</f>
        <v>0</v>
      </c>
      <c r="G161" s="69"/>
      <c r="H161" s="69"/>
      <c r="I161" s="69"/>
      <c r="J161" s="69">
        <f t="shared" ref="J161" si="82">L161+O161</f>
        <v>0</v>
      </c>
      <c r="K161" s="69"/>
      <c r="L161" s="69"/>
      <c r="M161" s="69"/>
      <c r="N161" s="69"/>
      <c r="O161" s="69"/>
      <c r="P161" s="69">
        <f t="shared" ref="P161" si="83">E161+J161</f>
        <v>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23" customFormat="1" ht="24.75" customHeight="1" x14ac:dyDescent="0.25">
      <c r="A162" s="43" t="s">
        <v>240</v>
      </c>
      <c r="B162" s="44" t="str">
        <f>'дод 3'!A142</f>
        <v>8340</v>
      </c>
      <c r="C162" s="44" t="str">
        <f>'дод 3'!B142</f>
        <v>0540</v>
      </c>
      <c r="D162" s="24" t="str">
        <f>'дод 3'!C142</f>
        <v>Природоохоронні заходи за рахунок цільових фондів</v>
      </c>
      <c r="E162" s="69">
        <f t="shared" si="69"/>
        <v>0</v>
      </c>
      <c r="F162" s="69"/>
      <c r="G162" s="69"/>
      <c r="H162" s="69"/>
      <c r="I162" s="69"/>
      <c r="J162" s="69">
        <f t="shared" si="71"/>
        <v>5599043.4500000002</v>
      </c>
      <c r="K162" s="69"/>
      <c r="L162" s="69">
        <v>1870000</v>
      </c>
      <c r="M162" s="69"/>
      <c r="N162" s="69">
        <v>540000</v>
      </c>
      <c r="O162" s="69">
        <f>1946500+1782543.45</f>
        <v>3729043.45</v>
      </c>
      <c r="P162" s="69">
        <f t="shared" si="70"/>
        <v>5599043.4500000002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23" customFormat="1" ht="23.25" customHeight="1" x14ac:dyDescent="0.25">
      <c r="A163" s="43" t="s">
        <v>241</v>
      </c>
      <c r="B163" s="44" t="str">
        <f>'дод 3'!A151</f>
        <v>9770</v>
      </c>
      <c r="C163" s="44" t="str">
        <f>'дод 3'!B151</f>
        <v>0180</v>
      </c>
      <c r="D163" s="24" t="str">
        <f>'дод 3'!C151</f>
        <v>Інші субвенції з місцевого бюджету</v>
      </c>
      <c r="E163" s="69">
        <f t="shared" si="69"/>
        <v>368000</v>
      </c>
      <c r="F163" s="69">
        <v>368000</v>
      </c>
      <c r="G163" s="69"/>
      <c r="H163" s="69"/>
      <c r="I163" s="69"/>
      <c r="J163" s="69">
        <f t="shared" si="71"/>
        <v>7632000</v>
      </c>
      <c r="K163" s="69">
        <f>8000000-368000</f>
        <v>7632000</v>
      </c>
      <c r="L163" s="69"/>
      <c r="M163" s="69"/>
      <c r="N163" s="69"/>
      <c r="O163" s="69">
        <f>8000000-368000</f>
        <v>7632000</v>
      </c>
      <c r="P163" s="69">
        <f t="shared" si="70"/>
        <v>8000000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31" customFormat="1" ht="33.75" customHeight="1" x14ac:dyDescent="0.2">
      <c r="A164" s="76" t="s">
        <v>37</v>
      </c>
      <c r="B164" s="74"/>
      <c r="C164" s="74"/>
      <c r="D164" s="30" t="s">
        <v>47</v>
      </c>
      <c r="E164" s="66">
        <f>E165</f>
        <v>6146000</v>
      </c>
      <c r="F164" s="66">
        <f t="shared" ref="F164:J165" si="84">F165</f>
        <v>6146000</v>
      </c>
      <c r="G164" s="66">
        <f t="shared" si="84"/>
        <v>4779400</v>
      </c>
      <c r="H164" s="66">
        <f t="shared" si="84"/>
        <v>98300</v>
      </c>
      <c r="I164" s="66">
        <f t="shared" si="84"/>
        <v>0</v>
      </c>
      <c r="J164" s="66">
        <f t="shared" si="84"/>
        <v>160000</v>
      </c>
      <c r="K164" s="66">
        <f t="shared" ref="K164:K165" si="85">K165</f>
        <v>160000</v>
      </c>
      <c r="L164" s="66">
        <f t="shared" ref="L164:L165" si="86">L165</f>
        <v>0</v>
      </c>
      <c r="M164" s="66">
        <f t="shared" ref="M164:M165" si="87">M165</f>
        <v>0</v>
      </c>
      <c r="N164" s="66">
        <f t="shared" ref="N164:N165" si="88">N165</f>
        <v>0</v>
      </c>
      <c r="O164" s="66">
        <f t="shared" ref="O164:P165" si="89">O165</f>
        <v>160000</v>
      </c>
      <c r="P164" s="66">
        <f t="shared" si="89"/>
        <v>6306000</v>
      </c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8"/>
      <c r="JC164" s="38"/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/>
      <c r="KG164" s="38"/>
      <c r="KH164" s="38"/>
      <c r="KI164" s="38"/>
      <c r="KJ164" s="38"/>
      <c r="KK164" s="38"/>
      <c r="KL164" s="38"/>
      <c r="KM164" s="38"/>
      <c r="KN164" s="38"/>
      <c r="KO164" s="38"/>
      <c r="KP164" s="38"/>
      <c r="KQ164" s="38"/>
      <c r="KR164" s="38"/>
      <c r="KS164" s="38"/>
      <c r="KT164" s="38"/>
      <c r="KU164" s="38"/>
      <c r="KV164" s="38"/>
      <c r="KW164" s="38"/>
      <c r="KX164" s="38"/>
      <c r="KY164" s="38"/>
      <c r="KZ164" s="38"/>
      <c r="LA164" s="38"/>
      <c r="LB164" s="38"/>
      <c r="LC164" s="38"/>
      <c r="LD164" s="38"/>
      <c r="LE164" s="38"/>
      <c r="LF164" s="38"/>
      <c r="LG164" s="38"/>
      <c r="LH164" s="38"/>
      <c r="LI164" s="38"/>
      <c r="LJ164" s="38"/>
      <c r="LK164" s="38"/>
      <c r="LL164" s="38"/>
      <c r="LM164" s="38"/>
      <c r="LN164" s="38"/>
      <c r="LO164" s="38"/>
      <c r="LP164" s="38"/>
      <c r="LQ164" s="38"/>
      <c r="LR164" s="38"/>
      <c r="LS164" s="38"/>
      <c r="LT164" s="38"/>
      <c r="LU164" s="38"/>
      <c r="LV164" s="38"/>
      <c r="LW164" s="38"/>
      <c r="LX164" s="38"/>
      <c r="LY164" s="38"/>
      <c r="LZ164" s="38"/>
      <c r="MA164" s="38"/>
      <c r="MB164" s="38"/>
      <c r="MC164" s="38"/>
      <c r="MD164" s="38"/>
      <c r="ME164" s="38"/>
      <c r="MF164" s="38"/>
      <c r="MG164" s="38"/>
      <c r="MH164" s="38"/>
      <c r="MI164" s="38"/>
      <c r="MJ164" s="38"/>
      <c r="MK164" s="38"/>
      <c r="ML164" s="38"/>
      <c r="MM164" s="38"/>
      <c r="MN164" s="38"/>
      <c r="MO164" s="38"/>
      <c r="MP164" s="38"/>
      <c r="MQ164" s="38"/>
      <c r="MR164" s="38"/>
      <c r="MS164" s="38"/>
      <c r="MT164" s="38"/>
      <c r="MU164" s="38"/>
      <c r="MV164" s="38"/>
      <c r="MW164" s="38"/>
      <c r="MX164" s="38"/>
      <c r="MY164" s="38"/>
      <c r="MZ164" s="38"/>
      <c r="NA164" s="38"/>
      <c r="NB164" s="38"/>
      <c r="NC164" s="38"/>
      <c r="ND164" s="38"/>
      <c r="NE164" s="38"/>
      <c r="NF164" s="38"/>
      <c r="NG164" s="38"/>
      <c r="NH164" s="38"/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38"/>
      <c r="OC164" s="38"/>
      <c r="OD164" s="38"/>
      <c r="OE164" s="38"/>
      <c r="OF164" s="38"/>
      <c r="OG164" s="38"/>
      <c r="OH164" s="38"/>
      <c r="OI164" s="38"/>
      <c r="OJ164" s="38"/>
      <c r="OK164" s="38"/>
      <c r="OL164" s="38"/>
      <c r="OM164" s="38"/>
      <c r="ON164" s="38"/>
      <c r="OO164" s="38"/>
      <c r="OP164" s="38"/>
      <c r="OQ164" s="38"/>
      <c r="OR164" s="38"/>
      <c r="OS164" s="38"/>
      <c r="OT164" s="38"/>
      <c r="OU164" s="38"/>
      <c r="OV164" s="38"/>
      <c r="OW164" s="38"/>
      <c r="OX164" s="38"/>
      <c r="OY164" s="38"/>
      <c r="OZ164" s="38"/>
      <c r="PA164" s="38"/>
      <c r="PB164" s="38"/>
      <c r="PC164" s="38"/>
      <c r="PD164" s="38"/>
      <c r="PE164" s="38"/>
      <c r="PF164" s="38"/>
      <c r="PG164" s="38"/>
      <c r="PH164" s="38"/>
      <c r="PI164" s="38"/>
      <c r="PJ164" s="38"/>
      <c r="PK164" s="38"/>
      <c r="PL164" s="38"/>
      <c r="PM164" s="38"/>
      <c r="PN164" s="38"/>
      <c r="PO164" s="38"/>
      <c r="PP164" s="38"/>
      <c r="PQ164" s="38"/>
      <c r="PR164" s="38"/>
      <c r="PS164" s="38"/>
      <c r="PT164" s="38"/>
      <c r="PU164" s="38"/>
      <c r="PV164" s="38"/>
      <c r="PW164" s="38"/>
      <c r="PX164" s="38"/>
      <c r="PY164" s="38"/>
      <c r="PZ164" s="38"/>
      <c r="QA164" s="38"/>
      <c r="QB164" s="38"/>
      <c r="QC164" s="38"/>
      <c r="QD164" s="38"/>
      <c r="QE164" s="38"/>
      <c r="QF164" s="38"/>
      <c r="QG164" s="38"/>
      <c r="QH164" s="38"/>
      <c r="QI164" s="38"/>
      <c r="QJ164" s="38"/>
      <c r="QK164" s="38"/>
      <c r="QL164" s="38"/>
      <c r="QM164" s="38"/>
      <c r="QN164" s="38"/>
      <c r="QO164" s="38"/>
      <c r="QP164" s="38"/>
      <c r="QQ164" s="38"/>
      <c r="QR164" s="38"/>
      <c r="QS164" s="38"/>
      <c r="QT164" s="38"/>
      <c r="QU164" s="38"/>
      <c r="QV164" s="38"/>
      <c r="QW164" s="38"/>
      <c r="QX164" s="38"/>
      <c r="QY164" s="38"/>
      <c r="QZ164" s="38"/>
      <c r="RA164" s="38"/>
      <c r="RB164" s="38"/>
      <c r="RC164" s="38"/>
      <c r="RD164" s="38"/>
      <c r="RE164" s="38"/>
      <c r="RF164" s="38"/>
      <c r="RG164" s="38"/>
      <c r="RH164" s="38"/>
      <c r="RI164" s="38"/>
      <c r="RJ164" s="38"/>
      <c r="RK164" s="38"/>
      <c r="RL164" s="38"/>
      <c r="RM164" s="38"/>
      <c r="RN164" s="38"/>
      <c r="RO164" s="38"/>
      <c r="RP164" s="38"/>
      <c r="RQ164" s="38"/>
      <c r="RR164" s="38"/>
      <c r="RS164" s="38"/>
      <c r="RT164" s="38"/>
      <c r="RU164" s="38"/>
      <c r="RV164" s="38"/>
      <c r="RW164" s="38"/>
      <c r="RX164" s="38"/>
      <c r="RY164" s="38"/>
      <c r="RZ164" s="38"/>
      <c r="SA164" s="38"/>
      <c r="SB164" s="38"/>
      <c r="SC164" s="38"/>
      <c r="SD164" s="38"/>
      <c r="SE164" s="38"/>
      <c r="SF164" s="38"/>
      <c r="SG164" s="38"/>
      <c r="SH164" s="38"/>
      <c r="SI164" s="38"/>
      <c r="SJ164" s="38"/>
      <c r="SK164" s="38"/>
      <c r="SL164" s="38"/>
      <c r="SM164" s="38"/>
      <c r="SN164" s="38"/>
      <c r="SO164" s="38"/>
      <c r="SP164" s="38"/>
      <c r="SQ164" s="38"/>
      <c r="SR164" s="38"/>
      <c r="SS164" s="38"/>
      <c r="ST164" s="38"/>
      <c r="SU164" s="38"/>
      <c r="SV164" s="38"/>
      <c r="SW164" s="38"/>
      <c r="SX164" s="38"/>
      <c r="SY164" s="38"/>
      <c r="SZ164" s="38"/>
      <c r="TA164" s="38"/>
      <c r="TB164" s="38"/>
      <c r="TC164" s="38"/>
      <c r="TD164" s="38"/>
      <c r="TE164" s="38"/>
      <c r="TF164" s="38"/>
      <c r="TG164" s="38"/>
      <c r="TH164" s="38"/>
      <c r="TI164" s="38"/>
    </row>
    <row r="165" spans="1:529" s="40" customFormat="1" ht="36.75" customHeight="1" x14ac:dyDescent="0.25">
      <c r="A165" s="77" t="s">
        <v>139</v>
      </c>
      <c r="B165" s="75"/>
      <c r="C165" s="75"/>
      <c r="D165" s="33" t="s">
        <v>47</v>
      </c>
      <c r="E165" s="68">
        <f>E166</f>
        <v>6146000</v>
      </c>
      <c r="F165" s="68">
        <f t="shared" si="84"/>
        <v>6146000</v>
      </c>
      <c r="G165" s="68">
        <f t="shared" si="84"/>
        <v>4779400</v>
      </c>
      <c r="H165" s="68">
        <f t="shared" si="84"/>
        <v>98300</v>
      </c>
      <c r="I165" s="68">
        <f t="shared" si="84"/>
        <v>0</v>
      </c>
      <c r="J165" s="68">
        <f t="shared" si="84"/>
        <v>160000</v>
      </c>
      <c r="K165" s="68">
        <f t="shared" si="85"/>
        <v>160000</v>
      </c>
      <c r="L165" s="68">
        <f t="shared" si="86"/>
        <v>0</v>
      </c>
      <c r="M165" s="68">
        <f t="shared" si="87"/>
        <v>0</v>
      </c>
      <c r="N165" s="68">
        <f t="shared" si="88"/>
        <v>0</v>
      </c>
      <c r="O165" s="68">
        <f t="shared" si="89"/>
        <v>160000</v>
      </c>
      <c r="P165" s="68">
        <f t="shared" si="89"/>
        <v>6306000</v>
      </c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  <c r="JF165" s="39"/>
      <c r="JG165" s="39"/>
      <c r="JH165" s="39"/>
      <c r="JI165" s="39"/>
      <c r="JJ165" s="39"/>
      <c r="JK165" s="39"/>
      <c r="JL165" s="39"/>
      <c r="JM165" s="39"/>
      <c r="JN165" s="39"/>
      <c r="JO165" s="39"/>
      <c r="JP165" s="39"/>
      <c r="JQ165" s="39"/>
      <c r="JR165" s="39"/>
      <c r="JS165" s="39"/>
      <c r="JT165" s="39"/>
      <c r="JU165" s="39"/>
      <c r="JV165" s="39"/>
      <c r="JW165" s="39"/>
      <c r="JX165" s="39"/>
      <c r="JY165" s="39"/>
      <c r="JZ165" s="39"/>
      <c r="KA165" s="39"/>
      <c r="KB165" s="39"/>
      <c r="KC165" s="39"/>
      <c r="KD165" s="39"/>
      <c r="KE165" s="39"/>
      <c r="KF165" s="39"/>
      <c r="KG165" s="39"/>
      <c r="KH165" s="39"/>
      <c r="KI165" s="39"/>
      <c r="KJ165" s="39"/>
      <c r="KK165" s="39"/>
      <c r="KL165" s="39"/>
      <c r="KM165" s="39"/>
      <c r="KN165" s="39"/>
      <c r="KO165" s="39"/>
      <c r="KP165" s="39"/>
      <c r="KQ165" s="39"/>
      <c r="KR165" s="39"/>
      <c r="KS165" s="39"/>
      <c r="KT165" s="39"/>
      <c r="KU165" s="39"/>
      <c r="KV165" s="39"/>
      <c r="KW165" s="39"/>
      <c r="KX165" s="39"/>
      <c r="KY165" s="39"/>
      <c r="KZ165" s="39"/>
      <c r="LA165" s="39"/>
      <c r="LB165" s="39"/>
      <c r="LC165" s="39"/>
      <c r="LD165" s="39"/>
      <c r="LE165" s="39"/>
      <c r="LF165" s="39"/>
      <c r="LG165" s="39"/>
      <c r="LH165" s="39"/>
      <c r="LI165" s="39"/>
      <c r="LJ165" s="39"/>
      <c r="LK165" s="39"/>
      <c r="LL165" s="39"/>
      <c r="LM165" s="39"/>
      <c r="LN165" s="39"/>
      <c r="LO165" s="39"/>
      <c r="LP165" s="39"/>
      <c r="LQ165" s="39"/>
      <c r="LR165" s="39"/>
      <c r="LS165" s="39"/>
      <c r="LT165" s="39"/>
      <c r="LU165" s="39"/>
      <c r="LV165" s="39"/>
      <c r="LW165" s="39"/>
      <c r="LX165" s="39"/>
      <c r="LY165" s="39"/>
      <c r="LZ165" s="39"/>
      <c r="MA165" s="39"/>
      <c r="MB165" s="39"/>
      <c r="MC165" s="39"/>
      <c r="MD165" s="39"/>
      <c r="ME165" s="39"/>
      <c r="MF165" s="39"/>
      <c r="MG165" s="39"/>
      <c r="MH165" s="39"/>
      <c r="MI165" s="39"/>
      <c r="MJ165" s="39"/>
      <c r="MK165" s="39"/>
      <c r="ML165" s="39"/>
      <c r="MM165" s="39"/>
      <c r="MN165" s="39"/>
      <c r="MO165" s="39"/>
      <c r="MP165" s="39"/>
      <c r="MQ165" s="39"/>
      <c r="MR165" s="39"/>
      <c r="MS165" s="39"/>
      <c r="MT165" s="39"/>
      <c r="MU165" s="39"/>
      <c r="MV165" s="39"/>
      <c r="MW165" s="39"/>
      <c r="MX165" s="39"/>
      <c r="MY165" s="39"/>
      <c r="MZ165" s="39"/>
      <c r="NA165" s="39"/>
      <c r="NB165" s="39"/>
      <c r="NC165" s="39"/>
      <c r="ND165" s="39"/>
      <c r="NE165" s="39"/>
      <c r="NF165" s="39"/>
      <c r="NG165" s="39"/>
      <c r="NH165" s="39"/>
      <c r="NI165" s="39"/>
      <c r="NJ165" s="39"/>
      <c r="NK165" s="39"/>
      <c r="NL165" s="39"/>
      <c r="NM165" s="39"/>
      <c r="NN165" s="39"/>
      <c r="NO165" s="39"/>
      <c r="NP165" s="39"/>
      <c r="NQ165" s="39"/>
      <c r="NR165" s="39"/>
      <c r="NS165" s="39"/>
      <c r="NT165" s="39"/>
      <c r="NU165" s="39"/>
      <c r="NV165" s="39"/>
      <c r="NW165" s="39"/>
      <c r="NX165" s="39"/>
      <c r="NY165" s="39"/>
      <c r="NZ165" s="39"/>
      <c r="OA165" s="39"/>
      <c r="OB165" s="39"/>
      <c r="OC165" s="39"/>
      <c r="OD165" s="39"/>
      <c r="OE165" s="39"/>
      <c r="OF165" s="39"/>
      <c r="OG165" s="39"/>
      <c r="OH165" s="39"/>
      <c r="OI165" s="39"/>
      <c r="OJ165" s="39"/>
      <c r="OK165" s="39"/>
      <c r="OL165" s="39"/>
      <c r="OM165" s="39"/>
      <c r="ON165" s="39"/>
      <c r="OO165" s="39"/>
      <c r="OP165" s="39"/>
      <c r="OQ165" s="39"/>
      <c r="OR165" s="39"/>
      <c r="OS165" s="39"/>
      <c r="OT165" s="39"/>
      <c r="OU165" s="39"/>
      <c r="OV165" s="39"/>
      <c r="OW165" s="39"/>
      <c r="OX165" s="39"/>
      <c r="OY165" s="39"/>
      <c r="OZ165" s="39"/>
      <c r="PA165" s="39"/>
      <c r="PB165" s="39"/>
      <c r="PC165" s="39"/>
      <c r="PD165" s="39"/>
      <c r="PE165" s="39"/>
      <c r="PF165" s="39"/>
      <c r="PG165" s="39"/>
      <c r="PH165" s="39"/>
      <c r="PI165" s="39"/>
      <c r="PJ165" s="39"/>
      <c r="PK165" s="39"/>
      <c r="PL165" s="39"/>
      <c r="PM165" s="39"/>
      <c r="PN165" s="39"/>
      <c r="PO165" s="39"/>
      <c r="PP165" s="39"/>
      <c r="PQ165" s="39"/>
      <c r="PR165" s="39"/>
      <c r="PS165" s="39"/>
      <c r="PT165" s="39"/>
      <c r="PU165" s="39"/>
      <c r="PV165" s="39"/>
      <c r="PW165" s="39"/>
      <c r="PX165" s="39"/>
      <c r="PY165" s="39"/>
      <c r="PZ165" s="39"/>
      <c r="QA165" s="39"/>
      <c r="QB165" s="39"/>
      <c r="QC165" s="39"/>
      <c r="QD165" s="39"/>
      <c r="QE165" s="39"/>
      <c r="QF165" s="39"/>
      <c r="QG165" s="39"/>
      <c r="QH165" s="39"/>
      <c r="QI165" s="39"/>
      <c r="QJ165" s="39"/>
      <c r="QK165" s="39"/>
      <c r="QL165" s="39"/>
      <c r="QM165" s="39"/>
      <c r="QN165" s="39"/>
      <c r="QO165" s="39"/>
      <c r="QP165" s="39"/>
      <c r="QQ165" s="39"/>
      <c r="QR165" s="39"/>
      <c r="QS165" s="39"/>
      <c r="QT165" s="39"/>
      <c r="QU165" s="39"/>
      <c r="QV165" s="39"/>
      <c r="QW165" s="39"/>
      <c r="QX165" s="39"/>
      <c r="QY165" s="39"/>
      <c r="QZ165" s="39"/>
      <c r="RA165" s="39"/>
      <c r="RB165" s="39"/>
      <c r="RC165" s="39"/>
      <c r="RD165" s="39"/>
      <c r="RE165" s="39"/>
      <c r="RF165" s="39"/>
      <c r="RG165" s="39"/>
      <c r="RH165" s="39"/>
      <c r="RI165" s="39"/>
      <c r="RJ165" s="39"/>
      <c r="RK165" s="39"/>
      <c r="RL165" s="39"/>
      <c r="RM165" s="39"/>
      <c r="RN165" s="39"/>
      <c r="RO165" s="39"/>
      <c r="RP165" s="39"/>
      <c r="RQ165" s="39"/>
      <c r="RR165" s="39"/>
      <c r="RS165" s="39"/>
      <c r="RT165" s="39"/>
      <c r="RU165" s="39"/>
      <c r="RV165" s="39"/>
      <c r="RW165" s="39"/>
      <c r="RX165" s="39"/>
      <c r="RY165" s="39"/>
      <c r="RZ165" s="39"/>
      <c r="SA165" s="39"/>
      <c r="SB165" s="39"/>
      <c r="SC165" s="39"/>
      <c r="SD165" s="39"/>
      <c r="SE165" s="39"/>
      <c r="SF165" s="39"/>
      <c r="SG165" s="39"/>
      <c r="SH165" s="39"/>
      <c r="SI165" s="39"/>
      <c r="SJ165" s="39"/>
      <c r="SK165" s="39"/>
      <c r="SL165" s="39"/>
      <c r="SM165" s="39"/>
      <c r="SN165" s="39"/>
      <c r="SO165" s="39"/>
      <c r="SP165" s="39"/>
      <c r="SQ165" s="39"/>
      <c r="SR165" s="39"/>
      <c r="SS165" s="39"/>
      <c r="ST165" s="39"/>
      <c r="SU165" s="39"/>
      <c r="SV165" s="39"/>
      <c r="SW165" s="39"/>
      <c r="SX165" s="39"/>
      <c r="SY165" s="39"/>
      <c r="SZ165" s="39"/>
      <c r="TA165" s="39"/>
      <c r="TB165" s="39"/>
      <c r="TC165" s="39"/>
      <c r="TD165" s="39"/>
      <c r="TE165" s="39"/>
      <c r="TF165" s="39"/>
      <c r="TG165" s="39"/>
      <c r="TH165" s="39"/>
      <c r="TI165" s="39"/>
    </row>
    <row r="166" spans="1:529" s="23" customFormat="1" ht="45" x14ac:dyDescent="0.25">
      <c r="A166" s="43" t="s">
        <v>0</v>
      </c>
      <c r="B166" s="44" t="str">
        <f>'дод 3'!A20</f>
        <v>0160</v>
      </c>
      <c r="C166" s="44" t="str">
        <f>'дод 3'!B20</f>
        <v>0111</v>
      </c>
      <c r="D16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6" s="69">
        <f>F166+I166</f>
        <v>6146000</v>
      </c>
      <c r="F166" s="69">
        <f>6462800+10100-315400-11500</f>
        <v>6146000</v>
      </c>
      <c r="G166" s="69">
        <f>5047300-258500-9400</f>
        <v>4779400</v>
      </c>
      <c r="H166" s="69">
        <v>98300</v>
      </c>
      <c r="I166" s="69"/>
      <c r="J166" s="69">
        <f>L166+O166</f>
        <v>160000</v>
      </c>
      <c r="K166" s="69">
        <v>160000</v>
      </c>
      <c r="L166" s="69"/>
      <c r="M166" s="69"/>
      <c r="N166" s="69"/>
      <c r="O166" s="69">
        <v>160000</v>
      </c>
      <c r="P166" s="69">
        <f>E166+J166</f>
        <v>6306000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31" customFormat="1" ht="34.5" customHeight="1" x14ac:dyDescent="0.2">
      <c r="A167" s="76" t="s">
        <v>39</v>
      </c>
      <c r="B167" s="74"/>
      <c r="C167" s="74"/>
      <c r="D167" s="30" t="s">
        <v>46</v>
      </c>
      <c r="E167" s="66">
        <f>E168</f>
        <v>3706717</v>
      </c>
      <c r="F167" s="66">
        <f t="shared" ref="F167:J167" si="90">F168</f>
        <v>3621811</v>
      </c>
      <c r="G167" s="66">
        <f t="shared" si="90"/>
        <v>1552300</v>
      </c>
      <c r="H167" s="66">
        <f t="shared" si="90"/>
        <v>0</v>
      </c>
      <c r="I167" s="66">
        <f t="shared" si="90"/>
        <v>84906</v>
      </c>
      <c r="J167" s="66">
        <f t="shared" si="90"/>
        <v>173564492.18000001</v>
      </c>
      <c r="K167" s="66">
        <f t="shared" ref="K167" si="91">K168</f>
        <v>159717220</v>
      </c>
      <c r="L167" s="66">
        <f t="shared" ref="L167" si="92">L168</f>
        <v>3200000</v>
      </c>
      <c r="M167" s="66">
        <f t="shared" ref="M167" si="93">M168</f>
        <v>2348000</v>
      </c>
      <c r="N167" s="66">
        <f t="shared" ref="N167" si="94">N168</f>
        <v>90600</v>
      </c>
      <c r="O167" s="66">
        <f t="shared" ref="O167:P167" si="95">O168</f>
        <v>170364492.18000001</v>
      </c>
      <c r="P167" s="66">
        <f t="shared" si="95"/>
        <v>177271209.18000001</v>
      </c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  <c r="IH167" s="38"/>
      <c r="II167" s="38"/>
      <c r="IJ167" s="38"/>
      <c r="IK167" s="38"/>
      <c r="IL167" s="38"/>
      <c r="IM167" s="38"/>
      <c r="IN167" s="38"/>
      <c r="IO167" s="38"/>
      <c r="IP167" s="38"/>
      <c r="IQ167" s="38"/>
      <c r="IR167" s="38"/>
      <c r="IS167" s="38"/>
      <c r="IT167" s="38"/>
      <c r="IU167" s="38"/>
      <c r="IV167" s="38"/>
      <c r="IW167" s="38"/>
      <c r="IX167" s="38"/>
      <c r="IY167" s="38"/>
      <c r="IZ167" s="38"/>
      <c r="JA167" s="38"/>
      <c r="JB167" s="38"/>
      <c r="JC167" s="38"/>
      <c r="JD167" s="38"/>
      <c r="JE167" s="38"/>
      <c r="JF167" s="38"/>
      <c r="JG167" s="38"/>
      <c r="JH167" s="38"/>
      <c r="JI167" s="38"/>
      <c r="JJ167" s="38"/>
      <c r="JK167" s="38"/>
      <c r="JL167" s="38"/>
      <c r="JM167" s="38"/>
      <c r="JN167" s="38"/>
      <c r="JO167" s="38"/>
      <c r="JP167" s="38"/>
      <c r="JQ167" s="38"/>
      <c r="JR167" s="38"/>
      <c r="JS167" s="38"/>
      <c r="JT167" s="38"/>
      <c r="JU167" s="38"/>
      <c r="JV167" s="38"/>
      <c r="JW167" s="38"/>
      <c r="JX167" s="38"/>
      <c r="JY167" s="38"/>
      <c r="JZ167" s="38"/>
      <c r="KA167" s="38"/>
      <c r="KB167" s="38"/>
      <c r="KC167" s="38"/>
      <c r="KD167" s="38"/>
      <c r="KE167" s="38"/>
      <c r="KF167" s="38"/>
      <c r="KG167" s="38"/>
      <c r="KH167" s="38"/>
      <c r="KI167" s="38"/>
      <c r="KJ167" s="38"/>
      <c r="KK167" s="38"/>
      <c r="KL167" s="38"/>
      <c r="KM167" s="38"/>
      <c r="KN167" s="38"/>
      <c r="KO167" s="38"/>
      <c r="KP167" s="38"/>
      <c r="KQ167" s="38"/>
      <c r="KR167" s="38"/>
      <c r="KS167" s="38"/>
      <c r="KT167" s="38"/>
      <c r="KU167" s="38"/>
      <c r="KV167" s="38"/>
      <c r="KW167" s="38"/>
      <c r="KX167" s="38"/>
      <c r="KY167" s="38"/>
      <c r="KZ167" s="38"/>
      <c r="LA167" s="38"/>
      <c r="LB167" s="38"/>
      <c r="LC167" s="38"/>
      <c r="LD167" s="38"/>
      <c r="LE167" s="38"/>
      <c r="LF167" s="38"/>
      <c r="LG167" s="38"/>
      <c r="LH167" s="38"/>
      <c r="LI167" s="38"/>
      <c r="LJ167" s="38"/>
      <c r="LK167" s="38"/>
      <c r="LL167" s="38"/>
      <c r="LM167" s="38"/>
      <c r="LN167" s="38"/>
      <c r="LO167" s="38"/>
      <c r="LP167" s="38"/>
      <c r="LQ167" s="38"/>
      <c r="LR167" s="38"/>
      <c r="LS167" s="38"/>
      <c r="LT167" s="38"/>
      <c r="LU167" s="38"/>
      <c r="LV167" s="38"/>
      <c r="LW167" s="38"/>
      <c r="LX167" s="38"/>
      <c r="LY167" s="38"/>
      <c r="LZ167" s="38"/>
      <c r="MA167" s="38"/>
      <c r="MB167" s="38"/>
      <c r="MC167" s="38"/>
      <c r="MD167" s="38"/>
      <c r="ME167" s="38"/>
      <c r="MF167" s="38"/>
      <c r="MG167" s="38"/>
      <c r="MH167" s="38"/>
      <c r="MI167" s="38"/>
      <c r="MJ167" s="38"/>
      <c r="MK167" s="38"/>
      <c r="ML167" s="38"/>
      <c r="MM167" s="38"/>
      <c r="MN167" s="38"/>
      <c r="MO167" s="38"/>
      <c r="MP167" s="38"/>
      <c r="MQ167" s="38"/>
      <c r="MR167" s="38"/>
      <c r="MS167" s="38"/>
      <c r="MT167" s="38"/>
      <c r="MU167" s="38"/>
      <c r="MV167" s="38"/>
      <c r="MW167" s="38"/>
      <c r="MX167" s="38"/>
      <c r="MY167" s="38"/>
      <c r="MZ167" s="38"/>
      <c r="NA167" s="38"/>
      <c r="NB167" s="38"/>
      <c r="NC167" s="38"/>
      <c r="ND167" s="38"/>
      <c r="NE167" s="38"/>
      <c r="NF167" s="38"/>
      <c r="NG167" s="38"/>
      <c r="NH167" s="38"/>
      <c r="NI167" s="38"/>
      <c r="NJ167" s="38"/>
      <c r="NK167" s="38"/>
      <c r="NL167" s="38"/>
      <c r="NM167" s="38"/>
      <c r="NN167" s="38"/>
      <c r="NO167" s="38"/>
      <c r="NP167" s="38"/>
      <c r="NQ167" s="38"/>
      <c r="NR167" s="38"/>
      <c r="NS167" s="38"/>
      <c r="NT167" s="38"/>
      <c r="NU167" s="38"/>
      <c r="NV167" s="38"/>
      <c r="NW167" s="38"/>
      <c r="NX167" s="38"/>
      <c r="NY167" s="38"/>
      <c r="NZ167" s="38"/>
      <c r="OA167" s="38"/>
      <c r="OB167" s="38"/>
      <c r="OC167" s="38"/>
      <c r="OD167" s="38"/>
      <c r="OE167" s="38"/>
      <c r="OF167" s="38"/>
      <c r="OG167" s="38"/>
      <c r="OH167" s="38"/>
      <c r="OI167" s="38"/>
      <c r="OJ167" s="38"/>
      <c r="OK167" s="38"/>
      <c r="OL167" s="38"/>
      <c r="OM167" s="38"/>
      <c r="ON167" s="38"/>
      <c r="OO167" s="38"/>
      <c r="OP167" s="38"/>
      <c r="OQ167" s="38"/>
      <c r="OR167" s="38"/>
      <c r="OS167" s="38"/>
      <c r="OT167" s="38"/>
      <c r="OU167" s="38"/>
      <c r="OV167" s="38"/>
      <c r="OW167" s="38"/>
      <c r="OX167" s="38"/>
      <c r="OY167" s="38"/>
      <c r="OZ167" s="38"/>
      <c r="PA167" s="38"/>
      <c r="PB167" s="38"/>
      <c r="PC167" s="38"/>
      <c r="PD167" s="38"/>
      <c r="PE167" s="38"/>
      <c r="PF167" s="38"/>
      <c r="PG167" s="38"/>
      <c r="PH167" s="38"/>
      <c r="PI167" s="38"/>
      <c r="PJ167" s="38"/>
      <c r="PK167" s="38"/>
      <c r="PL167" s="38"/>
      <c r="PM167" s="38"/>
      <c r="PN167" s="38"/>
      <c r="PO167" s="38"/>
      <c r="PP167" s="38"/>
      <c r="PQ167" s="38"/>
      <c r="PR167" s="38"/>
      <c r="PS167" s="38"/>
      <c r="PT167" s="38"/>
      <c r="PU167" s="38"/>
      <c r="PV167" s="38"/>
      <c r="PW167" s="38"/>
      <c r="PX167" s="38"/>
      <c r="PY167" s="38"/>
      <c r="PZ167" s="38"/>
      <c r="QA167" s="38"/>
      <c r="QB167" s="38"/>
      <c r="QC167" s="38"/>
      <c r="QD167" s="38"/>
      <c r="QE167" s="38"/>
      <c r="QF167" s="38"/>
      <c r="QG167" s="38"/>
      <c r="QH167" s="38"/>
      <c r="QI167" s="38"/>
      <c r="QJ167" s="38"/>
      <c r="QK167" s="38"/>
      <c r="QL167" s="38"/>
      <c r="QM167" s="38"/>
      <c r="QN167" s="38"/>
      <c r="QO167" s="38"/>
      <c r="QP167" s="38"/>
      <c r="QQ167" s="38"/>
      <c r="QR167" s="38"/>
      <c r="QS167" s="38"/>
      <c r="QT167" s="38"/>
      <c r="QU167" s="38"/>
      <c r="QV167" s="38"/>
      <c r="QW167" s="38"/>
      <c r="QX167" s="38"/>
      <c r="QY167" s="38"/>
      <c r="QZ167" s="38"/>
      <c r="RA167" s="38"/>
      <c r="RB167" s="38"/>
      <c r="RC167" s="38"/>
      <c r="RD167" s="38"/>
      <c r="RE167" s="38"/>
      <c r="RF167" s="38"/>
      <c r="RG167" s="38"/>
      <c r="RH167" s="38"/>
      <c r="RI167" s="38"/>
      <c r="RJ167" s="38"/>
      <c r="RK167" s="38"/>
      <c r="RL167" s="38"/>
      <c r="RM167" s="38"/>
      <c r="RN167" s="38"/>
      <c r="RO167" s="38"/>
      <c r="RP167" s="38"/>
      <c r="RQ167" s="38"/>
      <c r="RR167" s="38"/>
      <c r="RS167" s="38"/>
      <c r="RT167" s="38"/>
      <c r="RU167" s="38"/>
      <c r="RV167" s="38"/>
      <c r="RW167" s="38"/>
      <c r="RX167" s="38"/>
      <c r="RY167" s="38"/>
      <c r="RZ167" s="38"/>
      <c r="SA167" s="38"/>
      <c r="SB167" s="38"/>
      <c r="SC167" s="38"/>
      <c r="SD167" s="38"/>
      <c r="SE167" s="38"/>
      <c r="SF167" s="38"/>
      <c r="SG167" s="38"/>
      <c r="SH167" s="38"/>
      <c r="SI167" s="38"/>
      <c r="SJ167" s="38"/>
      <c r="SK167" s="38"/>
      <c r="SL167" s="38"/>
      <c r="SM167" s="38"/>
      <c r="SN167" s="38"/>
      <c r="SO167" s="38"/>
      <c r="SP167" s="38"/>
      <c r="SQ167" s="38"/>
      <c r="SR167" s="38"/>
      <c r="SS167" s="38"/>
      <c r="ST167" s="38"/>
      <c r="SU167" s="38"/>
      <c r="SV167" s="38"/>
      <c r="SW167" s="38"/>
      <c r="SX167" s="38"/>
      <c r="SY167" s="38"/>
      <c r="SZ167" s="38"/>
      <c r="TA167" s="38"/>
      <c r="TB167" s="38"/>
      <c r="TC167" s="38"/>
      <c r="TD167" s="38"/>
      <c r="TE167" s="38"/>
      <c r="TF167" s="38"/>
      <c r="TG167" s="38"/>
      <c r="TH167" s="38"/>
      <c r="TI167" s="38"/>
    </row>
    <row r="168" spans="1:529" s="40" customFormat="1" ht="38.25" customHeight="1" x14ac:dyDescent="0.25">
      <c r="A168" s="77" t="s">
        <v>40</v>
      </c>
      <c r="B168" s="75"/>
      <c r="C168" s="75"/>
      <c r="D168" s="33" t="s">
        <v>46</v>
      </c>
      <c r="E168" s="68">
        <f>SUM(E169+E170+E171+E172+E173+E174+E176+E177+E178+E179+E175+E180)</f>
        <v>3706717</v>
      </c>
      <c r="F168" s="68">
        <f t="shared" ref="F168:P168" si="96">SUM(F169+F170+F171+F172+F173+F174+F176+F177+F178+F179+F175+F180)</f>
        <v>3621811</v>
      </c>
      <c r="G168" s="68">
        <f t="shared" si="96"/>
        <v>1552300</v>
      </c>
      <c r="H168" s="68">
        <f t="shared" si="96"/>
        <v>0</v>
      </c>
      <c r="I168" s="68">
        <f t="shared" si="96"/>
        <v>84906</v>
      </c>
      <c r="J168" s="68">
        <f t="shared" si="96"/>
        <v>173564492.18000001</v>
      </c>
      <c r="K168" s="68">
        <f t="shared" si="96"/>
        <v>159717220</v>
      </c>
      <c r="L168" s="68">
        <f t="shared" si="96"/>
        <v>3200000</v>
      </c>
      <c r="M168" s="68">
        <f t="shared" si="96"/>
        <v>2348000</v>
      </c>
      <c r="N168" s="68">
        <f t="shared" si="96"/>
        <v>90600</v>
      </c>
      <c r="O168" s="68">
        <f t="shared" si="96"/>
        <v>170364492.18000001</v>
      </c>
      <c r="P168" s="68">
        <f t="shared" si="96"/>
        <v>177271209.18000001</v>
      </c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/>
      <c r="KN168" s="39"/>
      <c r="KO168" s="39"/>
      <c r="KP168" s="39"/>
      <c r="KQ168" s="39"/>
      <c r="KR168" s="39"/>
      <c r="KS168" s="39"/>
      <c r="KT168" s="39"/>
      <c r="KU168" s="39"/>
      <c r="KV168" s="39"/>
      <c r="KW168" s="39"/>
      <c r="KX168" s="39"/>
      <c r="KY168" s="39"/>
      <c r="KZ168" s="39"/>
      <c r="LA168" s="39"/>
      <c r="LB168" s="39"/>
      <c r="LC168" s="39"/>
      <c r="LD168" s="39"/>
      <c r="LE168" s="39"/>
      <c r="LF168" s="39"/>
      <c r="LG168" s="39"/>
      <c r="LH168" s="39"/>
      <c r="LI168" s="39"/>
      <c r="LJ168" s="39"/>
      <c r="LK168" s="39"/>
      <c r="LL168" s="39"/>
      <c r="LM168" s="39"/>
      <c r="LN168" s="39"/>
      <c r="LO168" s="39"/>
      <c r="LP168" s="39"/>
      <c r="LQ168" s="39"/>
      <c r="LR168" s="39"/>
      <c r="LS168" s="39"/>
      <c r="LT168" s="39"/>
      <c r="LU168" s="39"/>
      <c r="LV168" s="39"/>
      <c r="LW168" s="39"/>
      <c r="LX168" s="39"/>
      <c r="LY168" s="39"/>
      <c r="LZ168" s="39"/>
      <c r="MA168" s="39"/>
      <c r="MB168" s="39"/>
      <c r="MC168" s="39"/>
      <c r="MD168" s="39"/>
      <c r="ME168" s="39"/>
      <c r="MF168" s="39"/>
      <c r="MG168" s="39"/>
      <c r="MH168" s="39"/>
      <c r="MI168" s="39"/>
      <c r="MJ168" s="39"/>
      <c r="MK168" s="39"/>
      <c r="ML168" s="39"/>
      <c r="MM168" s="39"/>
      <c r="MN168" s="39"/>
      <c r="MO168" s="39"/>
      <c r="MP168" s="39"/>
      <c r="MQ168" s="39"/>
      <c r="MR168" s="39"/>
      <c r="MS168" s="39"/>
      <c r="MT168" s="39"/>
      <c r="MU168" s="39"/>
      <c r="MV168" s="39"/>
      <c r="MW168" s="39"/>
      <c r="MX168" s="39"/>
      <c r="MY168" s="39"/>
      <c r="MZ168" s="39"/>
      <c r="NA168" s="39"/>
      <c r="NB168" s="39"/>
      <c r="NC168" s="39"/>
      <c r="ND168" s="39"/>
      <c r="NE168" s="39"/>
      <c r="NF168" s="39"/>
      <c r="NG168" s="39"/>
      <c r="NH168" s="39"/>
      <c r="NI168" s="39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/>
      <c r="NT168" s="39"/>
      <c r="NU168" s="39"/>
      <c r="NV168" s="39"/>
      <c r="NW168" s="39"/>
      <c r="NX168" s="39"/>
      <c r="NY168" s="39"/>
      <c r="NZ168" s="39"/>
      <c r="OA168" s="39"/>
      <c r="OB168" s="39"/>
      <c r="OC168" s="39"/>
      <c r="OD168" s="39"/>
      <c r="OE168" s="39"/>
      <c r="OF168" s="39"/>
      <c r="OG168" s="39"/>
      <c r="OH168" s="39"/>
      <c r="OI168" s="39"/>
      <c r="OJ168" s="39"/>
      <c r="OK168" s="39"/>
      <c r="OL168" s="39"/>
      <c r="OM168" s="39"/>
      <c r="ON168" s="39"/>
      <c r="OO168" s="39"/>
      <c r="OP168" s="39"/>
      <c r="OQ168" s="39"/>
      <c r="OR168" s="39"/>
      <c r="OS168" s="39"/>
      <c r="OT168" s="39"/>
      <c r="OU168" s="39"/>
      <c r="OV168" s="39"/>
      <c r="OW168" s="39"/>
      <c r="OX168" s="39"/>
      <c r="OY168" s="39"/>
      <c r="OZ168" s="39"/>
      <c r="PA168" s="39"/>
      <c r="PB168" s="39"/>
      <c r="PC168" s="39"/>
      <c r="PD168" s="39"/>
      <c r="PE168" s="39"/>
      <c r="PF168" s="39"/>
      <c r="PG168" s="39"/>
      <c r="PH168" s="39"/>
      <c r="PI168" s="39"/>
      <c r="PJ168" s="39"/>
      <c r="PK168" s="39"/>
      <c r="PL168" s="39"/>
      <c r="PM168" s="39"/>
      <c r="PN168" s="39"/>
      <c r="PO168" s="39"/>
      <c r="PP168" s="39"/>
      <c r="PQ168" s="39"/>
      <c r="PR168" s="39"/>
      <c r="PS168" s="39"/>
      <c r="PT168" s="39"/>
      <c r="PU168" s="39"/>
      <c r="PV168" s="39"/>
      <c r="PW168" s="39"/>
      <c r="PX168" s="39"/>
      <c r="PY168" s="39"/>
      <c r="PZ168" s="39"/>
      <c r="QA168" s="39"/>
      <c r="QB168" s="39"/>
      <c r="QC168" s="39"/>
      <c r="QD168" s="39"/>
      <c r="QE168" s="39"/>
      <c r="QF168" s="39"/>
      <c r="QG168" s="39"/>
      <c r="QH168" s="39"/>
      <c r="QI168" s="39"/>
      <c r="QJ168" s="39"/>
      <c r="QK168" s="39"/>
      <c r="QL168" s="39"/>
      <c r="QM168" s="39"/>
      <c r="QN168" s="39"/>
      <c r="QO168" s="39"/>
      <c r="QP168" s="39"/>
      <c r="QQ168" s="39"/>
      <c r="QR168" s="39"/>
      <c r="QS168" s="39"/>
      <c r="QT168" s="39"/>
      <c r="QU168" s="39"/>
      <c r="QV168" s="39"/>
      <c r="QW168" s="39"/>
      <c r="QX168" s="39"/>
      <c r="QY168" s="39"/>
      <c r="QZ168" s="39"/>
      <c r="RA168" s="39"/>
      <c r="RB168" s="39"/>
      <c r="RC168" s="39"/>
      <c r="RD168" s="39"/>
      <c r="RE168" s="39"/>
      <c r="RF168" s="39"/>
      <c r="RG168" s="39"/>
      <c r="RH168" s="39"/>
      <c r="RI168" s="39"/>
      <c r="RJ168" s="39"/>
      <c r="RK168" s="39"/>
      <c r="RL168" s="39"/>
      <c r="RM168" s="39"/>
      <c r="RN168" s="39"/>
      <c r="RO168" s="39"/>
      <c r="RP168" s="39"/>
      <c r="RQ168" s="39"/>
      <c r="RR168" s="39"/>
      <c r="RS168" s="39"/>
      <c r="RT168" s="39"/>
      <c r="RU168" s="39"/>
      <c r="RV168" s="39"/>
      <c r="RW168" s="39"/>
      <c r="RX168" s="39"/>
      <c r="RY168" s="39"/>
      <c r="RZ168" s="39"/>
      <c r="SA168" s="39"/>
      <c r="SB168" s="39"/>
      <c r="SC168" s="39"/>
      <c r="SD168" s="39"/>
      <c r="SE168" s="39"/>
      <c r="SF168" s="39"/>
      <c r="SG168" s="39"/>
      <c r="SH168" s="39"/>
      <c r="SI168" s="39"/>
      <c r="SJ168" s="39"/>
      <c r="SK168" s="39"/>
      <c r="SL168" s="39"/>
      <c r="SM168" s="39"/>
      <c r="SN168" s="39"/>
      <c r="SO168" s="39"/>
      <c r="SP168" s="39"/>
      <c r="SQ168" s="39"/>
      <c r="SR168" s="39"/>
      <c r="SS168" s="39"/>
      <c r="ST168" s="39"/>
      <c r="SU168" s="39"/>
      <c r="SV168" s="39"/>
      <c r="SW168" s="39"/>
      <c r="SX168" s="39"/>
      <c r="SY168" s="39"/>
      <c r="SZ168" s="39"/>
      <c r="TA168" s="39"/>
      <c r="TB168" s="39"/>
      <c r="TC168" s="39"/>
      <c r="TD168" s="39"/>
      <c r="TE168" s="39"/>
      <c r="TF168" s="39"/>
      <c r="TG168" s="39"/>
      <c r="TH168" s="39"/>
      <c r="TI168" s="39"/>
    </row>
    <row r="169" spans="1:529" s="23" customFormat="1" ht="44.25" customHeight="1" x14ac:dyDescent="0.25">
      <c r="A169" s="43" t="s">
        <v>170</v>
      </c>
      <c r="B169" s="44" t="str">
        <f>'дод 3'!A20</f>
        <v>0160</v>
      </c>
      <c r="C169" s="44" t="str">
        <f>'дод 3'!B20</f>
        <v>0111</v>
      </c>
      <c r="D169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9" s="69">
        <f t="shared" ref="E169:E180" si="97">F169+I169</f>
        <v>1893800</v>
      </c>
      <c r="F169" s="69">
        <f>1976700-82900</f>
        <v>1893800</v>
      </c>
      <c r="G169" s="69">
        <f>1620200-67900</f>
        <v>1552300</v>
      </c>
      <c r="H169" s="69"/>
      <c r="I169" s="69"/>
      <c r="J169" s="69">
        <f>L169+O169</f>
        <v>3200000</v>
      </c>
      <c r="K169" s="69"/>
      <c r="L169" s="69">
        <v>3200000</v>
      </c>
      <c r="M169" s="69">
        <v>2348000</v>
      </c>
      <c r="N169" s="69">
        <v>90600</v>
      </c>
      <c r="O169" s="69"/>
      <c r="P169" s="69">
        <f t="shared" ref="P169:P180" si="98">E169+J169</f>
        <v>5093800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22.5" customHeight="1" x14ac:dyDescent="0.25">
      <c r="A170" s="43" t="s">
        <v>242</v>
      </c>
      <c r="B170" s="44" t="str">
        <f>'дод 3'!A95</f>
        <v>6030</v>
      </c>
      <c r="C170" s="44" t="str">
        <f>'дод 3'!B95</f>
        <v>0620</v>
      </c>
      <c r="D170" s="24" t="str">
        <f>'дод 3'!C95</f>
        <v>Організація благоустрою населених пунктів</v>
      </c>
      <c r="E170" s="69">
        <f t="shared" si="97"/>
        <v>0</v>
      </c>
      <c r="F170" s="69"/>
      <c r="G170" s="69"/>
      <c r="H170" s="69"/>
      <c r="I170" s="69"/>
      <c r="J170" s="69">
        <f t="shared" ref="J170:J185" si="99">L170+O170</f>
        <v>15454000</v>
      </c>
      <c r="K170" s="69">
        <f>60000000-5000000-3750000-35796000</f>
        <v>15454000</v>
      </c>
      <c r="L170" s="69"/>
      <c r="M170" s="69"/>
      <c r="N170" s="69"/>
      <c r="O170" s="69">
        <f>60000000-5000000-3750000-35796000</f>
        <v>15454000</v>
      </c>
      <c r="P170" s="69">
        <f t="shared" si="98"/>
        <v>15454000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54.75" customHeight="1" x14ac:dyDescent="0.25">
      <c r="A171" s="43" t="s">
        <v>243</v>
      </c>
      <c r="B171" s="44" t="str">
        <f>'дод 3'!A96</f>
        <v>6084</v>
      </c>
      <c r="C171" s="44" t="str">
        <f>'дод 3'!B96</f>
        <v>0610</v>
      </c>
      <c r="D171" s="24" t="str">
        <f>'дод 3'!C96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71" s="69">
        <f t="shared" si="97"/>
        <v>84906</v>
      </c>
      <c r="F171" s="69"/>
      <c r="G171" s="69"/>
      <c r="H171" s="69"/>
      <c r="I171" s="69">
        <v>84906</v>
      </c>
      <c r="J171" s="69">
        <f t="shared" si="99"/>
        <v>77703.06</v>
      </c>
      <c r="K171" s="69"/>
      <c r="L171" s="71"/>
      <c r="M171" s="69"/>
      <c r="N171" s="69"/>
      <c r="O171" s="69">
        <f>46724+30979.06</f>
        <v>77703.06</v>
      </c>
      <c r="P171" s="69">
        <f t="shared" si="98"/>
        <v>162609.06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33.75" customHeight="1" x14ac:dyDescent="0.25">
      <c r="A172" s="43" t="s">
        <v>318</v>
      </c>
      <c r="B172" s="44" t="str">
        <f>'дод 3'!A104</f>
        <v>7310</v>
      </c>
      <c r="C172" s="44" t="str">
        <f>'дод 3'!B104</f>
        <v>0443</v>
      </c>
      <c r="D172" s="24" t="str">
        <f>'дод 3'!C104</f>
        <v>Будівництво об'єктів житлово-комунального господарства</v>
      </c>
      <c r="E172" s="69">
        <f t="shared" si="97"/>
        <v>0</v>
      </c>
      <c r="F172" s="69"/>
      <c r="G172" s="69"/>
      <c r="H172" s="69"/>
      <c r="I172" s="69"/>
      <c r="J172" s="69">
        <f t="shared" si="99"/>
        <v>4590000</v>
      </c>
      <c r="K172" s="69">
        <f>3000000+1590000</f>
        <v>4590000</v>
      </c>
      <c r="L172" s="69"/>
      <c r="M172" s="69"/>
      <c r="N172" s="69"/>
      <c r="O172" s="69">
        <f>3000000+1590000</f>
        <v>4590000</v>
      </c>
      <c r="P172" s="69">
        <f t="shared" si="98"/>
        <v>4590000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21.75" customHeight="1" x14ac:dyDescent="0.25">
      <c r="A173" s="43" t="s">
        <v>319</v>
      </c>
      <c r="B173" s="44" t="str">
        <f>'дод 3'!A105</f>
        <v>7321</v>
      </c>
      <c r="C173" s="44" t="str">
        <f>'дод 3'!B105</f>
        <v>0443</v>
      </c>
      <c r="D173" s="24" t="str">
        <f>'дод 3'!C105</f>
        <v>Будівництво освітніх установ та закладів</v>
      </c>
      <c r="E173" s="69">
        <f t="shared" si="97"/>
        <v>0</v>
      </c>
      <c r="F173" s="69"/>
      <c r="G173" s="69"/>
      <c r="H173" s="69"/>
      <c r="I173" s="69"/>
      <c r="J173" s="69">
        <f t="shared" si="99"/>
        <v>4000000</v>
      </c>
      <c r="K173" s="69">
        <f>9000000-5000000</f>
        <v>4000000</v>
      </c>
      <c r="L173" s="69"/>
      <c r="M173" s="69"/>
      <c r="N173" s="69"/>
      <c r="O173" s="69">
        <f>9000000-5000000</f>
        <v>4000000</v>
      </c>
      <c r="P173" s="69">
        <f t="shared" si="98"/>
        <v>4000000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23" customFormat="1" ht="18" customHeight="1" x14ac:dyDescent="0.25">
      <c r="A174" s="43" t="s">
        <v>321</v>
      </c>
      <c r="B174" s="44" t="str">
        <f>'дод 3'!A106</f>
        <v>7322</v>
      </c>
      <c r="C174" s="44" t="str">
        <f>'дод 3'!B106</f>
        <v>0443</v>
      </c>
      <c r="D174" s="24" t="str">
        <f>'дод 3'!C106</f>
        <v>Будівництво медичних установ та закладів</v>
      </c>
      <c r="E174" s="69">
        <f t="shared" si="97"/>
        <v>0</v>
      </c>
      <c r="F174" s="69"/>
      <c r="G174" s="69"/>
      <c r="H174" s="69"/>
      <c r="I174" s="69"/>
      <c r="J174" s="69">
        <f t="shared" si="99"/>
        <v>12454849</v>
      </c>
      <c r="K174" s="69">
        <f>7000000-3286719+741568+8000000</f>
        <v>12454849</v>
      </c>
      <c r="L174" s="69"/>
      <c r="M174" s="69"/>
      <c r="N174" s="69"/>
      <c r="O174" s="69">
        <f>7000000-3286719+741568+8000000</f>
        <v>12454849</v>
      </c>
      <c r="P174" s="69">
        <f t="shared" si="98"/>
        <v>12454849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23" customFormat="1" ht="30" x14ac:dyDescent="0.25">
      <c r="A175" s="43" t="s">
        <v>421</v>
      </c>
      <c r="B175" s="44">
        <f>'дод 3'!A107</f>
        <v>7325</v>
      </c>
      <c r="C175" s="44">
        <f>'дод 3'!B107</f>
        <v>443</v>
      </c>
      <c r="D175" s="24" t="str">
        <f>'дод 3'!C107</f>
        <v>Будівництво споруд, установ та закладів фізичної культури і спорту</v>
      </c>
      <c r="E175" s="69"/>
      <c r="F175" s="69"/>
      <c r="G175" s="69"/>
      <c r="H175" s="69"/>
      <c r="I175" s="69"/>
      <c r="J175" s="69">
        <f t="shared" si="99"/>
        <v>500000</v>
      </c>
      <c r="K175" s="69">
        <f>7000000-7000000+100000+400000</f>
        <v>500000</v>
      </c>
      <c r="L175" s="69"/>
      <c r="M175" s="69"/>
      <c r="N175" s="69"/>
      <c r="O175" s="69">
        <f>7000000-7000000+100000+400000</f>
        <v>500000</v>
      </c>
      <c r="P175" s="69">
        <f t="shared" si="98"/>
        <v>500000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23.25" customHeight="1" x14ac:dyDescent="0.25">
      <c r="A176" s="43" t="s">
        <v>323</v>
      </c>
      <c r="B176" s="44" t="str">
        <f>'дод 3'!A108</f>
        <v>7330</v>
      </c>
      <c r="C176" s="44" t="str">
        <f>'дод 3'!B108</f>
        <v>0443</v>
      </c>
      <c r="D176" s="24" t="str">
        <f>'дод 3'!C108</f>
        <v>Будівництво інших об'єктів комунальної власності</v>
      </c>
      <c r="E176" s="69">
        <f t="shared" si="97"/>
        <v>0</v>
      </c>
      <c r="F176" s="69"/>
      <c r="G176" s="69"/>
      <c r="H176" s="69"/>
      <c r="I176" s="69"/>
      <c r="J176" s="69">
        <f t="shared" si="99"/>
        <v>43270823</v>
      </c>
      <c r="K176" s="69">
        <f>41200000+100000-1000000+300000+1000000+1000000-1800000+860151+8034260+1003444+2000000+282968-10000000+290000</f>
        <v>43270823</v>
      </c>
      <c r="L176" s="69"/>
      <c r="M176" s="69"/>
      <c r="N176" s="69"/>
      <c r="O176" s="69">
        <f>41200000+100000-1000000+300000+1000000+1000000-1800000+860151+8034260+1003444+2000000+282968-10000000+290000</f>
        <v>43270823</v>
      </c>
      <c r="P176" s="69">
        <f t="shared" si="98"/>
        <v>43270823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44.25" customHeight="1" x14ac:dyDescent="0.25">
      <c r="A177" s="43" t="s">
        <v>447</v>
      </c>
      <c r="B177" s="44">
        <f>'дод 3'!A110</f>
        <v>7361</v>
      </c>
      <c r="C177" s="44" t="str">
        <f>'дод 3'!B110</f>
        <v>0490</v>
      </c>
      <c r="D177" s="24" t="str">
        <f>'дод 3'!C110</f>
        <v>Співфінансування інвестиційних проектів, що реалізуються за рахунок коштів державного фонду регіонального розвитку</v>
      </c>
      <c r="E177" s="69">
        <f t="shared" ref="E177" si="100">F177+I177</f>
        <v>0</v>
      </c>
      <c r="F177" s="69"/>
      <c r="G177" s="69"/>
      <c r="H177" s="69"/>
      <c r="I177" s="69"/>
      <c r="J177" s="69">
        <f t="shared" ref="J177" si="101">L177+O177</f>
        <v>5000000</v>
      </c>
      <c r="K177" s="69">
        <v>5000000</v>
      </c>
      <c r="L177" s="69"/>
      <c r="M177" s="69"/>
      <c r="N177" s="69"/>
      <c r="O177" s="69">
        <v>5000000</v>
      </c>
      <c r="P177" s="69">
        <f t="shared" si="98"/>
        <v>5000000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23" customFormat="1" ht="42.75" customHeight="1" x14ac:dyDescent="0.25">
      <c r="A178" s="43" t="s">
        <v>437</v>
      </c>
      <c r="B178" s="44">
        <v>7363</v>
      </c>
      <c r="C178" s="43" t="s">
        <v>102</v>
      </c>
      <c r="D178" s="24" t="s">
        <v>438</v>
      </c>
      <c r="E178" s="69">
        <f t="shared" si="97"/>
        <v>0</v>
      </c>
      <c r="F178" s="69"/>
      <c r="G178" s="69"/>
      <c r="H178" s="69"/>
      <c r="I178" s="69"/>
      <c r="J178" s="69">
        <f t="shared" si="99"/>
        <v>95000</v>
      </c>
      <c r="K178" s="69">
        <v>95000</v>
      </c>
      <c r="L178" s="69"/>
      <c r="M178" s="69"/>
      <c r="N178" s="69"/>
      <c r="O178" s="69">
        <v>95000</v>
      </c>
      <c r="P178" s="69">
        <f t="shared" si="98"/>
        <v>95000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</row>
    <row r="179" spans="1:529" s="23" customFormat="1" ht="21.75" customHeight="1" x14ac:dyDescent="0.25">
      <c r="A179" s="43" t="s">
        <v>177</v>
      </c>
      <c r="B179" s="44" t="str">
        <f>'дод 3'!A125</f>
        <v>7640</v>
      </c>
      <c r="C179" s="44" t="str">
        <f>'дод 3'!B125</f>
        <v>0470</v>
      </c>
      <c r="D179" s="24" t="str">
        <f>'дод 3'!C125</f>
        <v>Заходи з енергозбереження</v>
      </c>
      <c r="E179" s="69">
        <f t="shared" si="97"/>
        <v>1728011</v>
      </c>
      <c r="F179" s="69">
        <v>1728011</v>
      </c>
      <c r="G179" s="69"/>
      <c r="H179" s="69"/>
      <c r="I179" s="69"/>
      <c r="J179" s="69">
        <f t="shared" si="99"/>
        <v>84089000</v>
      </c>
      <c r="K179" s="69">
        <v>74352548</v>
      </c>
      <c r="L179" s="71"/>
      <c r="M179" s="69"/>
      <c r="N179" s="69"/>
      <c r="O179" s="69">
        <f>74352548+9736452</f>
        <v>84089000</v>
      </c>
      <c r="P179" s="69">
        <f t="shared" si="98"/>
        <v>85817011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23" customFormat="1" ht="107.25" customHeight="1" x14ac:dyDescent="0.25">
      <c r="A180" s="43" t="s">
        <v>443</v>
      </c>
      <c r="B180" s="44">
        <v>7691</v>
      </c>
      <c r="C180" s="46" t="s">
        <v>102</v>
      </c>
      <c r="D180" s="24" t="s">
        <v>367</v>
      </c>
      <c r="E180" s="69">
        <f t="shared" si="97"/>
        <v>0</v>
      </c>
      <c r="F180" s="69"/>
      <c r="G180" s="69"/>
      <c r="H180" s="69"/>
      <c r="I180" s="69"/>
      <c r="J180" s="69">
        <f t="shared" si="99"/>
        <v>833117.12</v>
      </c>
      <c r="K180" s="69"/>
      <c r="L180" s="71"/>
      <c r="M180" s="69"/>
      <c r="N180" s="69"/>
      <c r="O180" s="69">
        <v>833117.12</v>
      </c>
      <c r="P180" s="69">
        <f t="shared" si="98"/>
        <v>833117.12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31" customFormat="1" ht="35.25" customHeight="1" x14ac:dyDescent="0.2">
      <c r="A181" s="76" t="s">
        <v>244</v>
      </c>
      <c r="B181" s="74"/>
      <c r="C181" s="74"/>
      <c r="D181" s="30" t="s">
        <v>53</v>
      </c>
      <c r="E181" s="66">
        <f>E182</f>
        <v>9048300</v>
      </c>
      <c r="F181" s="66">
        <f t="shared" ref="F181:J181" si="102">F182</f>
        <v>9048300</v>
      </c>
      <c r="G181" s="66">
        <f t="shared" si="102"/>
        <v>6934200</v>
      </c>
      <c r="H181" s="66">
        <f t="shared" si="102"/>
        <v>92400</v>
      </c>
      <c r="I181" s="66">
        <f t="shared" si="102"/>
        <v>0</v>
      </c>
      <c r="J181" s="66">
        <f t="shared" si="102"/>
        <v>2696249.54</v>
      </c>
      <c r="K181" s="66">
        <f t="shared" ref="K181" si="103">K182</f>
        <v>0</v>
      </c>
      <c r="L181" s="66">
        <f t="shared" ref="L181" si="104">L182</f>
        <v>1946249.54</v>
      </c>
      <c r="M181" s="66">
        <f t="shared" ref="M181" si="105">M182</f>
        <v>0</v>
      </c>
      <c r="N181" s="66">
        <f t="shared" ref="N181" si="106">N182</f>
        <v>0</v>
      </c>
      <c r="O181" s="66">
        <f t="shared" ref="O181:P181" si="107">O182</f>
        <v>750000</v>
      </c>
      <c r="P181" s="66">
        <f t="shared" si="107"/>
        <v>11744549.539999999</v>
      </c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8"/>
      <c r="GE181" s="38"/>
      <c r="GF181" s="38"/>
      <c r="GG181" s="38"/>
      <c r="GH181" s="38"/>
      <c r="GI181" s="38"/>
      <c r="GJ181" s="38"/>
      <c r="GK181" s="38"/>
      <c r="GL181" s="38"/>
      <c r="GM181" s="38"/>
      <c r="GN181" s="38"/>
      <c r="GO181" s="38"/>
      <c r="GP181" s="38"/>
      <c r="GQ181" s="38"/>
      <c r="GR181" s="38"/>
      <c r="GS181" s="38"/>
      <c r="GT181" s="38"/>
      <c r="GU181" s="38"/>
      <c r="GV181" s="38"/>
      <c r="GW181" s="38"/>
      <c r="GX181" s="38"/>
      <c r="GY181" s="38"/>
      <c r="GZ181" s="38"/>
      <c r="HA181" s="38"/>
      <c r="HB181" s="38"/>
      <c r="HC181" s="38"/>
      <c r="HD181" s="38"/>
      <c r="HE181" s="38"/>
      <c r="HF181" s="38"/>
      <c r="HG181" s="38"/>
      <c r="HH181" s="38"/>
      <c r="HI181" s="38"/>
      <c r="HJ181" s="38"/>
      <c r="HK181" s="38"/>
      <c r="HL181" s="38"/>
      <c r="HM181" s="38"/>
      <c r="HN181" s="38"/>
      <c r="HO181" s="38"/>
      <c r="HP181" s="38"/>
      <c r="HQ181" s="38"/>
      <c r="HR181" s="38"/>
      <c r="HS181" s="38"/>
      <c r="HT181" s="38"/>
      <c r="HU181" s="38"/>
      <c r="HV181" s="38"/>
      <c r="HW181" s="38"/>
      <c r="HX181" s="38"/>
      <c r="HY181" s="38"/>
      <c r="HZ181" s="38"/>
      <c r="IA181" s="38"/>
      <c r="IB181" s="38"/>
      <c r="IC181" s="38"/>
      <c r="ID181" s="38"/>
      <c r="IE181" s="38"/>
      <c r="IF181" s="38"/>
      <c r="IG181" s="38"/>
      <c r="IH181" s="38"/>
      <c r="II181" s="38"/>
      <c r="IJ181" s="38"/>
      <c r="IK181" s="38"/>
      <c r="IL181" s="38"/>
      <c r="IM181" s="38"/>
      <c r="IN181" s="38"/>
      <c r="IO181" s="38"/>
      <c r="IP181" s="38"/>
      <c r="IQ181" s="38"/>
      <c r="IR181" s="38"/>
      <c r="IS181" s="38"/>
      <c r="IT181" s="38"/>
      <c r="IU181" s="38"/>
      <c r="IV181" s="38"/>
      <c r="IW181" s="38"/>
      <c r="IX181" s="38"/>
      <c r="IY181" s="38"/>
      <c r="IZ181" s="38"/>
      <c r="JA181" s="38"/>
      <c r="JB181" s="38"/>
      <c r="JC181" s="38"/>
      <c r="JD181" s="38"/>
      <c r="JE181" s="38"/>
      <c r="JF181" s="38"/>
      <c r="JG181" s="38"/>
      <c r="JH181" s="38"/>
      <c r="JI181" s="38"/>
      <c r="JJ181" s="38"/>
      <c r="JK181" s="38"/>
      <c r="JL181" s="38"/>
      <c r="JM181" s="38"/>
      <c r="JN181" s="38"/>
      <c r="JO181" s="38"/>
      <c r="JP181" s="38"/>
      <c r="JQ181" s="38"/>
      <c r="JR181" s="38"/>
      <c r="JS181" s="38"/>
      <c r="JT181" s="38"/>
      <c r="JU181" s="38"/>
      <c r="JV181" s="38"/>
      <c r="JW181" s="38"/>
      <c r="JX181" s="38"/>
      <c r="JY181" s="38"/>
      <c r="JZ181" s="38"/>
      <c r="KA181" s="38"/>
      <c r="KB181" s="38"/>
      <c r="KC181" s="38"/>
      <c r="KD181" s="38"/>
      <c r="KE181" s="38"/>
      <c r="KF181" s="38"/>
      <c r="KG181" s="38"/>
      <c r="KH181" s="38"/>
      <c r="KI181" s="38"/>
      <c r="KJ181" s="38"/>
      <c r="KK181" s="38"/>
      <c r="KL181" s="38"/>
      <c r="KM181" s="38"/>
      <c r="KN181" s="38"/>
      <c r="KO181" s="38"/>
      <c r="KP181" s="38"/>
      <c r="KQ181" s="38"/>
      <c r="KR181" s="38"/>
      <c r="KS181" s="38"/>
      <c r="KT181" s="38"/>
      <c r="KU181" s="38"/>
      <c r="KV181" s="38"/>
      <c r="KW181" s="38"/>
      <c r="KX181" s="38"/>
      <c r="KY181" s="38"/>
      <c r="KZ181" s="38"/>
      <c r="LA181" s="38"/>
      <c r="LB181" s="38"/>
      <c r="LC181" s="38"/>
      <c r="LD181" s="38"/>
      <c r="LE181" s="38"/>
      <c r="LF181" s="38"/>
      <c r="LG181" s="38"/>
      <c r="LH181" s="38"/>
      <c r="LI181" s="38"/>
      <c r="LJ181" s="38"/>
      <c r="LK181" s="38"/>
      <c r="LL181" s="38"/>
      <c r="LM181" s="38"/>
      <c r="LN181" s="38"/>
      <c r="LO181" s="38"/>
      <c r="LP181" s="38"/>
      <c r="LQ181" s="38"/>
      <c r="LR181" s="38"/>
      <c r="LS181" s="38"/>
      <c r="LT181" s="38"/>
      <c r="LU181" s="38"/>
      <c r="LV181" s="38"/>
      <c r="LW181" s="38"/>
      <c r="LX181" s="38"/>
      <c r="LY181" s="38"/>
      <c r="LZ181" s="38"/>
      <c r="MA181" s="38"/>
      <c r="MB181" s="38"/>
      <c r="MC181" s="38"/>
      <c r="MD181" s="38"/>
      <c r="ME181" s="38"/>
      <c r="MF181" s="38"/>
      <c r="MG181" s="38"/>
      <c r="MH181" s="38"/>
      <c r="MI181" s="38"/>
      <c r="MJ181" s="38"/>
      <c r="MK181" s="38"/>
      <c r="ML181" s="38"/>
      <c r="MM181" s="38"/>
      <c r="MN181" s="38"/>
      <c r="MO181" s="38"/>
      <c r="MP181" s="38"/>
      <c r="MQ181" s="38"/>
      <c r="MR181" s="38"/>
      <c r="MS181" s="38"/>
      <c r="MT181" s="38"/>
      <c r="MU181" s="38"/>
      <c r="MV181" s="38"/>
      <c r="MW181" s="38"/>
      <c r="MX181" s="38"/>
      <c r="MY181" s="38"/>
      <c r="MZ181" s="38"/>
      <c r="NA181" s="38"/>
      <c r="NB181" s="38"/>
      <c r="NC181" s="38"/>
      <c r="ND181" s="38"/>
      <c r="NE181" s="38"/>
      <c r="NF181" s="38"/>
      <c r="NG181" s="38"/>
      <c r="NH181" s="3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38"/>
      <c r="OI181" s="38"/>
      <c r="OJ181" s="38"/>
      <c r="OK181" s="38"/>
      <c r="OL181" s="38"/>
      <c r="OM181" s="38"/>
      <c r="ON181" s="38"/>
      <c r="OO181" s="38"/>
      <c r="OP181" s="38"/>
      <c r="OQ181" s="38"/>
      <c r="OR181" s="38"/>
      <c r="OS181" s="38"/>
      <c r="OT181" s="38"/>
      <c r="OU181" s="38"/>
      <c r="OV181" s="38"/>
      <c r="OW181" s="38"/>
      <c r="OX181" s="38"/>
      <c r="OY181" s="38"/>
      <c r="OZ181" s="38"/>
      <c r="PA181" s="38"/>
      <c r="PB181" s="38"/>
      <c r="PC181" s="38"/>
      <c r="PD181" s="38"/>
      <c r="PE181" s="38"/>
      <c r="PF181" s="38"/>
      <c r="PG181" s="38"/>
      <c r="PH181" s="38"/>
      <c r="PI181" s="38"/>
      <c r="PJ181" s="38"/>
      <c r="PK181" s="38"/>
      <c r="PL181" s="38"/>
      <c r="PM181" s="38"/>
      <c r="PN181" s="38"/>
      <c r="PO181" s="38"/>
      <c r="PP181" s="38"/>
      <c r="PQ181" s="38"/>
      <c r="PR181" s="38"/>
      <c r="PS181" s="38"/>
      <c r="PT181" s="38"/>
      <c r="PU181" s="38"/>
      <c r="PV181" s="38"/>
      <c r="PW181" s="38"/>
      <c r="PX181" s="38"/>
      <c r="PY181" s="38"/>
      <c r="PZ181" s="38"/>
      <c r="QA181" s="38"/>
      <c r="QB181" s="38"/>
      <c r="QC181" s="38"/>
      <c r="QD181" s="38"/>
      <c r="QE181" s="38"/>
      <c r="QF181" s="38"/>
      <c r="QG181" s="38"/>
      <c r="QH181" s="38"/>
      <c r="QI181" s="38"/>
      <c r="QJ181" s="38"/>
      <c r="QK181" s="38"/>
      <c r="QL181" s="38"/>
      <c r="QM181" s="38"/>
      <c r="QN181" s="38"/>
      <c r="QO181" s="38"/>
      <c r="QP181" s="38"/>
      <c r="QQ181" s="38"/>
      <c r="QR181" s="38"/>
      <c r="QS181" s="38"/>
      <c r="QT181" s="38"/>
      <c r="QU181" s="38"/>
      <c r="QV181" s="38"/>
      <c r="QW181" s="38"/>
      <c r="QX181" s="38"/>
      <c r="QY181" s="38"/>
      <c r="QZ181" s="38"/>
      <c r="RA181" s="38"/>
      <c r="RB181" s="38"/>
      <c r="RC181" s="38"/>
      <c r="RD181" s="38"/>
      <c r="RE181" s="38"/>
      <c r="RF181" s="38"/>
      <c r="RG181" s="38"/>
      <c r="RH181" s="38"/>
      <c r="RI181" s="38"/>
      <c r="RJ181" s="38"/>
      <c r="RK181" s="38"/>
      <c r="RL181" s="38"/>
      <c r="RM181" s="38"/>
      <c r="RN181" s="38"/>
      <c r="RO181" s="38"/>
      <c r="RP181" s="38"/>
      <c r="RQ181" s="38"/>
      <c r="RR181" s="38"/>
      <c r="RS181" s="38"/>
      <c r="RT181" s="38"/>
      <c r="RU181" s="38"/>
      <c r="RV181" s="38"/>
      <c r="RW181" s="38"/>
      <c r="RX181" s="38"/>
      <c r="RY181" s="38"/>
      <c r="RZ181" s="38"/>
      <c r="SA181" s="38"/>
      <c r="SB181" s="38"/>
      <c r="SC181" s="38"/>
      <c r="SD181" s="38"/>
      <c r="SE181" s="38"/>
      <c r="SF181" s="38"/>
      <c r="SG181" s="38"/>
      <c r="SH181" s="38"/>
      <c r="SI181" s="38"/>
      <c r="SJ181" s="38"/>
      <c r="SK181" s="38"/>
      <c r="SL181" s="38"/>
      <c r="SM181" s="38"/>
      <c r="SN181" s="38"/>
      <c r="SO181" s="38"/>
      <c r="SP181" s="38"/>
      <c r="SQ181" s="38"/>
      <c r="SR181" s="38"/>
      <c r="SS181" s="38"/>
      <c r="ST181" s="38"/>
      <c r="SU181" s="38"/>
      <c r="SV181" s="38"/>
      <c r="SW181" s="38"/>
      <c r="SX181" s="38"/>
      <c r="SY181" s="38"/>
      <c r="SZ181" s="38"/>
      <c r="TA181" s="38"/>
      <c r="TB181" s="38"/>
      <c r="TC181" s="38"/>
      <c r="TD181" s="38"/>
      <c r="TE181" s="38"/>
      <c r="TF181" s="38"/>
      <c r="TG181" s="38"/>
      <c r="TH181" s="38"/>
      <c r="TI181" s="38"/>
    </row>
    <row r="182" spans="1:529" s="40" customFormat="1" ht="41.25" customHeight="1" x14ac:dyDescent="0.25">
      <c r="A182" s="77" t="s">
        <v>245</v>
      </c>
      <c r="B182" s="75"/>
      <c r="C182" s="75"/>
      <c r="D182" s="33" t="s">
        <v>53</v>
      </c>
      <c r="E182" s="68">
        <f>E183+E184+E185</f>
        <v>9048300</v>
      </c>
      <c r="F182" s="68">
        <f t="shared" ref="F182:P182" si="108">F183+F184+F185</f>
        <v>9048300</v>
      </c>
      <c r="G182" s="68">
        <f t="shared" si="108"/>
        <v>6934200</v>
      </c>
      <c r="H182" s="68">
        <f t="shared" si="108"/>
        <v>92400</v>
      </c>
      <c r="I182" s="68">
        <f t="shared" si="108"/>
        <v>0</v>
      </c>
      <c r="J182" s="68">
        <f t="shared" si="108"/>
        <v>2696249.54</v>
      </c>
      <c r="K182" s="68">
        <f t="shared" si="108"/>
        <v>0</v>
      </c>
      <c r="L182" s="68">
        <f>L183+L184+L185</f>
        <v>1946249.54</v>
      </c>
      <c r="M182" s="68">
        <f t="shared" si="108"/>
        <v>0</v>
      </c>
      <c r="N182" s="68">
        <f t="shared" si="108"/>
        <v>0</v>
      </c>
      <c r="O182" s="68">
        <f t="shared" si="108"/>
        <v>750000</v>
      </c>
      <c r="P182" s="68">
        <f t="shared" si="108"/>
        <v>11744549.539999999</v>
      </c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  <c r="IW182" s="39"/>
      <c r="IX182" s="39"/>
      <c r="IY182" s="39"/>
      <c r="IZ182" s="39"/>
      <c r="JA182" s="39"/>
      <c r="JB182" s="39"/>
      <c r="JC182" s="39"/>
      <c r="JD182" s="39"/>
      <c r="JE182" s="39"/>
      <c r="JF182" s="39"/>
      <c r="JG182" s="39"/>
      <c r="JH182" s="39"/>
      <c r="JI182" s="39"/>
      <c r="JJ182" s="39"/>
      <c r="JK182" s="39"/>
      <c r="JL182" s="39"/>
      <c r="JM182" s="39"/>
      <c r="JN182" s="39"/>
      <c r="JO182" s="39"/>
      <c r="JP182" s="39"/>
      <c r="JQ182" s="39"/>
      <c r="JR182" s="39"/>
      <c r="JS182" s="39"/>
      <c r="JT182" s="39"/>
      <c r="JU182" s="39"/>
      <c r="JV182" s="39"/>
      <c r="JW182" s="39"/>
      <c r="JX182" s="39"/>
      <c r="JY182" s="39"/>
      <c r="JZ182" s="39"/>
      <c r="KA182" s="39"/>
      <c r="KB182" s="39"/>
      <c r="KC182" s="39"/>
      <c r="KD182" s="39"/>
      <c r="KE182" s="39"/>
      <c r="KF182" s="39"/>
      <c r="KG182" s="39"/>
      <c r="KH182" s="39"/>
      <c r="KI182" s="39"/>
      <c r="KJ182" s="39"/>
      <c r="KK182" s="39"/>
      <c r="KL182" s="39"/>
      <c r="KM182" s="39"/>
      <c r="KN182" s="39"/>
      <c r="KO182" s="39"/>
      <c r="KP182" s="39"/>
      <c r="KQ182" s="39"/>
      <c r="KR182" s="39"/>
      <c r="KS182" s="39"/>
      <c r="KT182" s="39"/>
      <c r="KU182" s="39"/>
      <c r="KV182" s="39"/>
      <c r="KW182" s="39"/>
      <c r="KX182" s="39"/>
      <c r="KY182" s="39"/>
      <c r="KZ182" s="39"/>
      <c r="LA182" s="39"/>
      <c r="LB182" s="39"/>
      <c r="LC182" s="39"/>
      <c r="LD182" s="39"/>
      <c r="LE182" s="39"/>
      <c r="LF182" s="39"/>
      <c r="LG182" s="39"/>
      <c r="LH182" s="39"/>
      <c r="LI182" s="39"/>
      <c r="LJ182" s="39"/>
      <c r="LK182" s="39"/>
      <c r="LL182" s="39"/>
      <c r="LM182" s="39"/>
      <c r="LN182" s="39"/>
      <c r="LO182" s="39"/>
      <c r="LP182" s="39"/>
      <c r="LQ182" s="39"/>
      <c r="LR182" s="39"/>
      <c r="LS182" s="39"/>
      <c r="LT182" s="39"/>
      <c r="LU182" s="39"/>
      <c r="LV182" s="39"/>
      <c r="LW182" s="39"/>
      <c r="LX182" s="39"/>
      <c r="LY182" s="39"/>
      <c r="LZ182" s="39"/>
      <c r="MA182" s="39"/>
      <c r="MB182" s="39"/>
      <c r="MC182" s="39"/>
      <c r="MD182" s="39"/>
      <c r="ME182" s="39"/>
      <c r="MF182" s="39"/>
      <c r="MG182" s="39"/>
      <c r="MH182" s="39"/>
      <c r="MI182" s="39"/>
      <c r="MJ182" s="39"/>
      <c r="MK182" s="39"/>
      <c r="ML182" s="39"/>
      <c r="MM182" s="39"/>
      <c r="MN182" s="39"/>
      <c r="MO182" s="39"/>
      <c r="MP182" s="39"/>
      <c r="MQ182" s="39"/>
      <c r="MR182" s="39"/>
      <c r="MS182" s="39"/>
      <c r="MT182" s="39"/>
      <c r="MU182" s="39"/>
      <c r="MV182" s="39"/>
      <c r="MW182" s="39"/>
      <c r="MX182" s="39"/>
      <c r="MY182" s="39"/>
      <c r="MZ182" s="39"/>
      <c r="NA182" s="39"/>
      <c r="NB182" s="39"/>
      <c r="NC182" s="39"/>
      <c r="ND182" s="39"/>
      <c r="NE182" s="39"/>
      <c r="NF182" s="39"/>
      <c r="NG182" s="39"/>
      <c r="NH182" s="39"/>
      <c r="NI182" s="39"/>
      <c r="NJ182" s="39"/>
      <c r="NK182" s="39"/>
      <c r="NL182" s="39"/>
      <c r="NM182" s="39"/>
      <c r="NN182" s="39"/>
      <c r="NO182" s="39"/>
      <c r="NP182" s="39"/>
      <c r="NQ182" s="39"/>
      <c r="NR182" s="39"/>
      <c r="NS182" s="39"/>
      <c r="NT182" s="39"/>
      <c r="NU182" s="39"/>
      <c r="NV182" s="39"/>
      <c r="NW182" s="39"/>
      <c r="NX182" s="39"/>
      <c r="NY182" s="39"/>
      <c r="NZ182" s="39"/>
      <c r="OA182" s="39"/>
      <c r="OB182" s="39"/>
      <c r="OC182" s="39"/>
      <c r="OD182" s="39"/>
      <c r="OE182" s="39"/>
      <c r="OF182" s="39"/>
      <c r="OG182" s="39"/>
      <c r="OH182" s="39"/>
      <c r="OI182" s="39"/>
      <c r="OJ182" s="39"/>
      <c r="OK182" s="39"/>
      <c r="OL182" s="39"/>
      <c r="OM182" s="39"/>
      <c r="ON182" s="39"/>
      <c r="OO182" s="39"/>
      <c r="OP182" s="39"/>
      <c r="OQ182" s="39"/>
      <c r="OR182" s="39"/>
      <c r="OS182" s="39"/>
      <c r="OT182" s="39"/>
      <c r="OU182" s="39"/>
      <c r="OV182" s="39"/>
      <c r="OW182" s="39"/>
      <c r="OX182" s="39"/>
      <c r="OY182" s="39"/>
      <c r="OZ182" s="39"/>
      <c r="PA182" s="39"/>
      <c r="PB182" s="39"/>
      <c r="PC182" s="39"/>
      <c r="PD182" s="39"/>
      <c r="PE182" s="39"/>
      <c r="PF182" s="39"/>
      <c r="PG182" s="39"/>
      <c r="PH182" s="39"/>
      <c r="PI182" s="39"/>
      <c r="PJ182" s="39"/>
      <c r="PK182" s="39"/>
      <c r="PL182" s="39"/>
      <c r="PM182" s="39"/>
      <c r="PN182" s="39"/>
      <c r="PO182" s="39"/>
      <c r="PP182" s="39"/>
      <c r="PQ182" s="39"/>
      <c r="PR182" s="39"/>
      <c r="PS182" s="39"/>
      <c r="PT182" s="39"/>
      <c r="PU182" s="39"/>
      <c r="PV182" s="39"/>
      <c r="PW182" s="39"/>
      <c r="PX182" s="39"/>
      <c r="PY182" s="39"/>
      <c r="PZ182" s="39"/>
      <c r="QA182" s="39"/>
      <c r="QB182" s="39"/>
      <c r="QC182" s="39"/>
      <c r="QD182" s="39"/>
      <c r="QE182" s="39"/>
      <c r="QF182" s="39"/>
      <c r="QG182" s="39"/>
      <c r="QH182" s="39"/>
      <c r="QI182" s="39"/>
      <c r="QJ182" s="39"/>
      <c r="QK182" s="39"/>
      <c r="QL182" s="39"/>
      <c r="QM182" s="39"/>
      <c r="QN182" s="39"/>
      <c r="QO182" s="39"/>
      <c r="QP182" s="39"/>
      <c r="QQ182" s="39"/>
      <c r="QR182" s="39"/>
      <c r="QS182" s="39"/>
      <c r="QT182" s="39"/>
      <c r="QU182" s="39"/>
      <c r="QV182" s="39"/>
      <c r="QW182" s="39"/>
      <c r="QX182" s="39"/>
      <c r="QY182" s="39"/>
      <c r="QZ182" s="39"/>
      <c r="RA182" s="39"/>
      <c r="RB182" s="39"/>
      <c r="RC182" s="39"/>
      <c r="RD182" s="39"/>
      <c r="RE182" s="39"/>
      <c r="RF182" s="39"/>
      <c r="RG182" s="39"/>
      <c r="RH182" s="39"/>
      <c r="RI182" s="39"/>
      <c r="RJ182" s="39"/>
      <c r="RK182" s="39"/>
      <c r="RL182" s="39"/>
      <c r="RM182" s="39"/>
      <c r="RN182" s="39"/>
      <c r="RO182" s="39"/>
      <c r="RP182" s="39"/>
      <c r="RQ182" s="39"/>
      <c r="RR182" s="39"/>
      <c r="RS182" s="39"/>
      <c r="RT182" s="39"/>
      <c r="RU182" s="39"/>
      <c r="RV182" s="39"/>
      <c r="RW182" s="39"/>
      <c r="RX182" s="39"/>
      <c r="RY182" s="39"/>
      <c r="RZ182" s="39"/>
      <c r="SA182" s="39"/>
      <c r="SB182" s="39"/>
      <c r="SC182" s="39"/>
      <c r="SD182" s="39"/>
      <c r="SE182" s="39"/>
      <c r="SF182" s="39"/>
      <c r="SG182" s="39"/>
      <c r="SH182" s="39"/>
      <c r="SI182" s="39"/>
      <c r="SJ182" s="39"/>
      <c r="SK182" s="39"/>
      <c r="SL182" s="39"/>
      <c r="SM182" s="39"/>
      <c r="SN182" s="39"/>
      <c r="SO182" s="39"/>
      <c r="SP182" s="39"/>
      <c r="SQ182" s="39"/>
      <c r="SR182" s="39"/>
      <c r="SS182" s="39"/>
      <c r="ST182" s="39"/>
      <c r="SU182" s="39"/>
      <c r="SV182" s="39"/>
      <c r="SW182" s="39"/>
      <c r="SX182" s="39"/>
      <c r="SY182" s="39"/>
      <c r="SZ182" s="39"/>
      <c r="TA182" s="39"/>
      <c r="TB182" s="39"/>
      <c r="TC182" s="39"/>
      <c r="TD182" s="39"/>
      <c r="TE182" s="39"/>
      <c r="TF182" s="39"/>
      <c r="TG182" s="39"/>
      <c r="TH182" s="39"/>
      <c r="TI182" s="39"/>
    </row>
    <row r="183" spans="1:529" s="23" customFormat="1" ht="45" customHeight="1" x14ac:dyDescent="0.25">
      <c r="A183" s="43" t="s">
        <v>246</v>
      </c>
      <c r="B183" s="44" t="str">
        <f>'дод 3'!A20</f>
        <v>0160</v>
      </c>
      <c r="C183" s="44" t="str">
        <f>'дод 3'!B20</f>
        <v>0111</v>
      </c>
      <c r="D183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3" s="69">
        <f>F183+I183</f>
        <v>8873300</v>
      </c>
      <c r="F183" s="69">
        <f>8936200+12100+288619-394119+50000-19500</f>
        <v>8873300</v>
      </c>
      <c r="G183" s="69">
        <f>7036700+236573-323073-16000</f>
        <v>6934200</v>
      </c>
      <c r="H183" s="69">
        <v>92400</v>
      </c>
      <c r="I183" s="69"/>
      <c r="J183" s="69">
        <f t="shared" si="99"/>
        <v>0</v>
      </c>
      <c r="K183" s="69"/>
      <c r="L183" s="69"/>
      <c r="M183" s="69"/>
      <c r="N183" s="69"/>
      <c r="O183" s="69"/>
      <c r="P183" s="69">
        <f>E183+J183</f>
        <v>8873300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</row>
    <row r="184" spans="1:529" s="23" customFormat="1" ht="34.5" customHeight="1" x14ac:dyDescent="0.25">
      <c r="A184" s="43" t="s">
        <v>363</v>
      </c>
      <c r="B184" s="44" t="str">
        <f>'дод 3'!A97</f>
        <v>6090</v>
      </c>
      <c r="C184" s="44" t="str">
        <f>'дод 3'!B97</f>
        <v>0640</v>
      </c>
      <c r="D184" s="24" t="str">
        <f>'дод 3'!C97</f>
        <v>Інша діяльність у сфері житлово-комунального господарства</v>
      </c>
      <c r="E184" s="69">
        <f>F184+I184</f>
        <v>175000</v>
      </c>
      <c r="F184" s="69">
        <v>175000</v>
      </c>
      <c r="G184" s="69"/>
      <c r="H184" s="69"/>
      <c r="I184" s="69"/>
      <c r="J184" s="69">
        <f t="shared" si="99"/>
        <v>0</v>
      </c>
      <c r="K184" s="69"/>
      <c r="L184" s="69"/>
      <c r="M184" s="69"/>
      <c r="N184" s="69"/>
      <c r="O184" s="69"/>
      <c r="P184" s="69">
        <f>E184+J184</f>
        <v>175000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23" customFormat="1" ht="87.75" customHeight="1" x14ac:dyDescent="0.25">
      <c r="A185" s="52" t="s">
        <v>349</v>
      </c>
      <c r="B185" s="45" t="str">
        <f>'дод 3'!A130</f>
        <v>7691</v>
      </c>
      <c r="C185" s="45" t="str">
        <f>'дод 3'!B130</f>
        <v>0490</v>
      </c>
      <c r="D185" s="22" t="str">
        <f>'дод 3'!C130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5" s="69">
        <f>F185+I185</f>
        <v>0</v>
      </c>
      <c r="F185" s="69"/>
      <c r="G185" s="69"/>
      <c r="H185" s="69"/>
      <c r="I185" s="69"/>
      <c r="J185" s="69">
        <f t="shared" si="99"/>
        <v>2696249.54</v>
      </c>
      <c r="K185" s="69"/>
      <c r="L185" s="69">
        <f>1321371+1074878.54-450000</f>
        <v>1946249.54</v>
      </c>
      <c r="M185" s="69"/>
      <c r="N185" s="69"/>
      <c r="O185" s="69">
        <f>300000+450000</f>
        <v>750000</v>
      </c>
      <c r="P185" s="69">
        <f>E185+J185</f>
        <v>2696249.54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</row>
    <row r="186" spans="1:529" s="31" customFormat="1" ht="36.75" customHeight="1" x14ac:dyDescent="0.2">
      <c r="A186" s="76" t="s">
        <v>249</v>
      </c>
      <c r="B186" s="74"/>
      <c r="C186" s="74"/>
      <c r="D186" s="30" t="s">
        <v>56</v>
      </c>
      <c r="E186" s="66">
        <f>E187</f>
        <v>4291518</v>
      </c>
      <c r="F186" s="66">
        <f t="shared" ref="F186:J187" si="109">F187</f>
        <v>4291518</v>
      </c>
      <c r="G186" s="66">
        <f t="shared" si="109"/>
        <v>3320099</v>
      </c>
      <c r="H186" s="66">
        <f t="shared" si="109"/>
        <v>52700</v>
      </c>
      <c r="I186" s="66">
        <f t="shared" si="109"/>
        <v>0</v>
      </c>
      <c r="J186" s="66">
        <f t="shared" si="109"/>
        <v>0</v>
      </c>
      <c r="K186" s="66">
        <f t="shared" ref="K186:K187" si="110">K187</f>
        <v>0</v>
      </c>
      <c r="L186" s="66">
        <f t="shared" ref="L186:L187" si="111">L187</f>
        <v>0</v>
      </c>
      <c r="M186" s="66">
        <f t="shared" ref="M186:M187" si="112">M187</f>
        <v>0</v>
      </c>
      <c r="N186" s="66">
        <f t="shared" ref="N186:N187" si="113">N187</f>
        <v>0</v>
      </c>
      <c r="O186" s="66">
        <f t="shared" ref="O186:P187" si="114">O187</f>
        <v>0</v>
      </c>
      <c r="P186" s="66">
        <f t="shared" si="114"/>
        <v>4291518</v>
      </c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</row>
    <row r="187" spans="1:529" s="40" customFormat="1" ht="35.25" customHeight="1" x14ac:dyDescent="0.25">
      <c r="A187" s="77" t="s">
        <v>247</v>
      </c>
      <c r="B187" s="75"/>
      <c r="C187" s="75"/>
      <c r="D187" s="33" t="s">
        <v>56</v>
      </c>
      <c r="E187" s="68">
        <f>E188</f>
        <v>4291518</v>
      </c>
      <c r="F187" s="68">
        <f t="shared" si="109"/>
        <v>4291518</v>
      </c>
      <c r="G187" s="68">
        <f t="shared" si="109"/>
        <v>3320099</v>
      </c>
      <c r="H187" s="68">
        <f t="shared" si="109"/>
        <v>52700</v>
      </c>
      <c r="I187" s="68">
        <f t="shared" si="109"/>
        <v>0</v>
      </c>
      <c r="J187" s="68">
        <f t="shared" si="109"/>
        <v>0</v>
      </c>
      <c r="K187" s="68">
        <f t="shared" si="110"/>
        <v>0</v>
      </c>
      <c r="L187" s="68">
        <f t="shared" si="111"/>
        <v>0</v>
      </c>
      <c r="M187" s="68">
        <f t="shared" si="112"/>
        <v>0</v>
      </c>
      <c r="N187" s="68">
        <f t="shared" si="113"/>
        <v>0</v>
      </c>
      <c r="O187" s="68">
        <f t="shared" si="114"/>
        <v>0</v>
      </c>
      <c r="P187" s="68">
        <f t="shared" si="114"/>
        <v>4291518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/>
      <c r="JO187" s="39"/>
      <c r="JP187" s="39"/>
      <c r="JQ187" s="39"/>
      <c r="JR187" s="39"/>
      <c r="JS187" s="39"/>
      <c r="JT187" s="39"/>
      <c r="JU187" s="39"/>
      <c r="JV187" s="39"/>
      <c r="JW187" s="39"/>
      <c r="JX187" s="39"/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/>
      <c r="KM187" s="39"/>
      <c r="KN187" s="39"/>
      <c r="KO187" s="39"/>
      <c r="KP187" s="39"/>
      <c r="KQ187" s="39"/>
      <c r="KR187" s="39"/>
      <c r="KS187" s="39"/>
      <c r="KT187" s="39"/>
      <c r="KU187" s="39"/>
      <c r="KV187" s="39"/>
      <c r="KW187" s="39"/>
      <c r="KX187" s="39"/>
      <c r="KY187" s="39"/>
      <c r="KZ187" s="39"/>
      <c r="LA187" s="39"/>
      <c r="LB187" s="39"/>
      <c r="LC187" s="39"/>
      <c r="LD187" s="39"/>
      <c r="LE187" s="39"/>
      <c r="LF187" s="39"/>
      <c r="LG187" s="39"/>
      <c r="LH187" s="39"/>
      <c r="LI187" s="39"/>
      <c r="LJ187" s="39"/>
      <c r="LK187" s="39"/>
      <c r="LL187" s="39"/>
      <c r="LM187" s="39"/>
      <c r="LN187" s="39"/>
      <c r="LO187" s="39"/>
      <c r="LP187" s="39"/>
      <c r="LQ187" s="39"/>
      <c r="LR187" s="39"/>
      <c r="LS187" s="39"/>
      <c r="LT187" s="39"/>
      <c r="LU187" s="39"/>
      <c r="LV187" s="39"/>
      <c r="LW187" s="39"/>
      <c r="LX187" s="39"/>
      <c r="LY187" s="39"/>
      <c r="LZ187" s="39"/>
      <c r="MA187" s="39"/>
      <c r="MB187" s="39"/>
      <c r="MC187" s="39"/>
      <c r="MD187" s="39"/>
      <c r="ME187" s="39"/>
      <c r="MF187" s="39"/>
      <c r="MG187" s="39"/>
      <c r="MH187" s="39"/>
      <c r="MI187" s="39"/>
      <c r="MJ187" s="39"/>
      <c r="MK187" s="39"/>
      <c r="ML187" s="39"/>
      <c r="MM187" s="39"/>
      <c r="MN187" s="39"/>
      <c r="MO187" s="39"/>
      <c r="MP187" s="39"/>
      <c r="MQ187" s="39"/>
      <c r="MR187" s="39"/>
      <c r="MS187" s="39"/>
      <c r="MT187" s="39"/>
      <c r="MU187" s="39"/>
      <c r="MV187" s="39"/>
      <c r="MW187" s="39"/>
      <c r="MX187" s="39"/>
      <c r="MY187" s="39"/>
      <c r="MZ187" s="39"/>
      <c r="NA187" s="39"/>
      <c r="NB187" s="39"/>
      <c r="NC187" s="39"/>
      <c r="ND187" s="39"/>
      <c r="NE187" s="39"/>
      <c r="NF187" s="39"/>
      <c r="NG187" s="39"/>
      <c r="NH187" s="39"/>
      <c r="NI187" s="39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/>
      <c r="NT187" s="39"/>
      <c r="NU187" s="39"/>
      <c r="NV187" s="39"/>
      <c r="NW187" s="39"/>
      <c r="NX187" s="39"/>
      <c r="NY187" s="39"/>
      <c r="NZ187" s="39"/>
      <c r="OA187" s="39"/>
      <c r="OB187" s="39"/>
      <c r="OC187" s="39"/>
      <c r="OD187" s="39"/>
      <c r="OE187" s="39"/>
      <c r="OF187" s="39"/>
      <c r="OG187" s="39"/>
      <c r="OH187" s="39"/>
      <c r="OI187" s="39"/>
      <c r="OJ187" s="39"/>
      <c r="OK187" s="39"/>
      <c r="OL187" s="39"/>
      <c r="OM187" s="39"/>
      <c r="ON187" s="39"/>
      <c r="OO187" s="39"/>
      <c r="OP187" s="39"/>
      <c r="OQ187" s="39"/>
      <c r="OR187" s="39"/>
      <c r="OS187" s="39"/>
      <c r="OT187" s="39"/>
      <c r="OU187" s="39"/>
      <c r="OV187" s="39"/>
      <c r="OW187" s="39"/>
      <c r="OX187" s="39"/>
      <c r="OY187" s="39"/>
      <c r="OZ187" s="39"/>
      <c r="PA187" s="39"/>
      <c r="PB187" s="39"/>
      <c r="PC187" s="39"/>
      <c r="PD187" s="39"/>
      <c r="PE187" s="39"/>
      <c r="PF187" s="39"/>
      <c r="PG187" s="39"/>
      <c r="PH187" s="39"/>
      <c r="PI187" s="39"/>
      <c r="PJ187" s="39"/>
      <c r="PK187" s="39"/>
      <c r="PL187" s="39"/>
      <c r="PM187" s="39"/>
      <c r="PN187" s="39"/>
      <c r="PO187" s="39"/>
      <c r="PP187" s="39"/>
      <c r="PQ187" s="39"/>
      <c r="PR187" s="39"/>
      <c r="PS187" s="39"/>
      <c r="PT187" s="39"/>
      <c r="PU187" s="39"/>
      <c r="PV187" s="39"/>
      <c r="PW187" s="39"/>
      <c r="PX187" s="39"/>
      <c r="PY187" s="39"/>
      <c r="PZ187" s="39"/>
      <c r="QA187" s="39"/>
      <c r="QB187" s="39"/>
      <c r="QC187" s="39"/>
      <c r="QD187" s="39"/>
      <c r="QE187" s="39"/>
      <c r="QF187" s="39"/>
      <c r="QG187" s="39"/>
      <c r="QH187" s="39"/>
      <c r="QI187" s="39"/>
      <c r="QJ187" s="39"/>
      <c r="QK187" s="39"/>
      <c r="QL187" s="39"/>
      <c r="QM187" s="39"/>
      <c r="QN187" s="39"/>
      <c r="QO187" s="39"/>
      <c r="QP187" s="39"/>
      <c r="QQ187" s="39"/>
      <c r="QR187" s="39"/>
      <c r="QS187" s="39"/>
      <c r="QT187" s="39"/>
      <c r="QU187" s="39"/>
      <c r="QV187" s="39"/>
      <c r="QW187" s="39"/>
      <c r="QX187" s="39"/>
      <c r="QY187" s="39"/>
      <c r="QZ187" s="39"/>
      <c r="RA187" s="39"/>
      <c r="RB187" s="39"/>
      <c r="RC187" s="39"/>
      <c r="RD187" s="39"/>
      <c r="RE187" s="39"/>
      <c r="RF187" s="39"/>
      <c r="RG187" s="39"/>
      <c r="RH187" s="39"/>
      <c r="RI187" s="39"/>
      <c r="RJ187" s="39"/>
      <c r="RK187" s="39"/>
      <c r="RL187" s="39"/>
      <c r="RM187" s="39"/>
      <c r="RN187" s="39"/>
      <c r="RO187" s="39"/>
      <c r="RP187" s="39"/>
      <c r="RQ187" s="39"/>
      <c r="RR187" s="39"/>
      <c r="RS187" s="39"/>
      <c r="RT187" s="39"/>
      <c r="RU187" s="39"/>
      <c r="RV187" s="39"/>
      <c r="RW187" s="39"/>
      <c r="RX187" s="39"/>
      <c r="RY187" s="39"/>
      <c r="RZ187" s="39"/>
      <c r="SA187" s="39"/>
      <c r="SB187" s="39"/>
      <c r="SC187" s="39"/>
      <c r="SD187" s="39"/>
      <c r="SE187" s="39"/>
      <c r="SF187" s="39"/>
      <c r="SG187" s="39"/>
      <c r="SH187" s="39"/>
      <c r="SI187" s="39"/>
      <c r="SJ187" s="39"/>
      <c r="SK187" s="39"/>
      <c r="SL187" s="39"/>
      <c r="SM187" s="39"/>
      <c r="SN187" s="39"/>
      <c r="SO187" s="39"/>
      <c r="SP187" s="39"/>
      <c r="SQ187" s="39"/>
      <c r="SR187" s="39"/>
      <c r="SS187" s="39"/>
      <c r="ST187" s="39"/>
      <c r="SU187" s="39"/>
      <c r="SV187" s="39"/>
      <c r="SW187" s="39"/>
      <c r="SX187" s="39"/>
      <c r="SY187" s="39"/>
      <c r="SZ187" s="39"/>
      <c r="TA187" s="39"/>
      <c r="TB187" s="39"/>
      <c r="TC187" s="39"/>
      <c r="TD187" s="39"/>
      <c r="TE187" s="39"/>
      <c r="TF187" s="39"/>
      <c r="TG187" s="39"/>
      <c r="TH187" s="39"/>
      <c r="TI187" s="39"/>
    </row>
    <row r="188" spans="1:529" s="23" customFormat="1" ht="43.5" customHeight="1" x14ac:dyDescent="0.25">
      <c r="A188" s="43" t="s">
        <v>248</v>
      </c>
      <c r="B188" s="44" t="str">
        <f>'дод 3'!A20</f>
        <v>0160</v>
      </c>
      <c r="C188" s="44" t="str">
        <f>'дод 3'!B20</f>
        <v>0111</v>
      </c>
      <c r="D18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8" s="69">
        <f>F188+I188</f>
        <v>4291518</v>
      </c>
      <c r="F188" s="69">
        <f>4985700+21800-233000-243482-9500-230000</f>
        <v>4291518</v>
      </c>
      <c r="G188" s="69">
        <f>3907000-191000-199575-7800-188526</f>
        <v>3320099</v>
      </c>
      <c r="H188" s="69">
        <v>52700</v>
      </c>
      <c r="I188" s="69"/>
      <c r="J188" s="69">
        <f>L188+O188</f>
        <v>0</v>
      </c>
      <c r="K188" s="69"/>
      <c r="L188" s="69"/>
      <c r="M188" s="69"/>
      <c r="N188" s="69"/>
      <c r="O188" s="69"/>
      <c r="P188" s="69">
        <f>E188+J188</f>
        <v>4291518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31" customFormat="1" ht="37.5" customHeight="1" x14ac:dyDescent="0.2">
      <c r="A189" s="76" t="s">
        <v>250</v>
      </c>
      <c r="B189" s="74"/>
      <c r="C189" s="74"/>
      <c r="D189" s="30" t="s">
        <v>52</v>
      </c>
      <c r="E189" s="66">
        <f>E190</f>
        <v>20352000</v>
      </c>
      <c r="F189" s="66">
        <f t="shared" ref="F189:J189" si="115">F190</f>
        <v>19734000</v>
      </c>
      <c r="G189" s="66">
        <f t="shared" si="115"/>
        <v>13897700</v>
      </c>
      <c r="H189" s="66">
        <f t="shared" si="115"/>
        <v>314600</v>
      </c>
      <c r="I189" s="66">
        <f t="shared" si="115"/>
        <v>618000</v>
      </c>
      <c r="J189" s="66">
        <f t="shared" si="115"/>
        <v>100000</v>
      </c>
      <c r="K189" s="66">
        <f t="shared" ref="K189" si="116">K190</f>
        <v>100000</v>
      </c>
      <c r="L189" s="66">
        <f t="shared" ref="L189" si="117">L190</f>
        <v>0</v>
      </c>
      <c r="M189" s="66">
        <f t="shared" ref="M189" si="118">M190</f>
        <v>0</v>
      </c>
      <c r="N189" s="66">
        <f t="shared" ref="N189" si="119">N190</f>
        <v>0</v>
      </c>
      <c r="O189" s="66">
        <f t="shared" ref="O189" si="120">O190</f>
        <v>100000</v>
      </c>
      <c r="P189" s="66">
        <f>P190</f>
        <v>20452000</v>
      </c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  <c r="IW189" s="38"/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8"/>
      <c r="KK189" s="38"/>
      <c r="KL189" s="38"/>
      <c r="KM189" s="38"/>
      <c r="KN189" s="38"/>
      <c r="KO189" s="38"/>
      <c r="KP189" s="38"/>
      <c r="KQ189" s="38"/>
      <c r="KR189" s="38"/>
      <c r="KS189" s="38"/>
      <c r="KT189" s="38"/>
      <c r="KU189" s="38"/>
      <c r="KV189" s="38"/>
      <c r="KW189" s="38"/>
      <c r="KX189" s="38"/>
      <c r="KY189" s="38"/>
      <c r="KZ189" s="38"/>
      <c r="LA189" s="38"/>
      <c r="LB189" s="38"/>
      <c r="LC189" s="38"/>
      <c r="LD189" s="38"/>
      <c r="LE189" s="38"/>
      <c r="LF189" s="38"/>
      <c r="LG189" s="38"/>
      <c r="LH189" s="38"/>
      <c r="LI189" s="38"/>
      <c r="LJ189" s="38"/>
      <c r="LK189" s="38"/>
      <c r="LL189" s="38"/>
      <c r="LM189" s="38"/>
      <c r="LN189" s="38"/>
      <c r="LO189" s="38"/>
      <c r="LP189" s="38"/>
      <c r="LQ189" s="38"/>
      <c r="LR189" s="38"/>
      <c r="LS189" s="38"/>
      <c r="LT189" s="38"/>
      <c r="LU189" s="38"/>
      <c r="LV189" s="38"/>
      <c r="LW189" s="38"/>
      <c r="LX189" s="38"/>
      <c r="LY189" s="38"/>
      <c r="LZ189" s="38"/>
      <c r="MA189" s="38"/>
      <c r="MB189" s="38"/>
      <c r="MC189" s="38"/>
      <c r="MD189" s="38"/>
      <c r="ME189" s="38"/>
      <c r="MF189" s="38"/>
      <c r="MG189" s="38"/>
      <c r="MH189" s="38"/>
      <c r="MI189" s="38"/>
      <c r="MJ189" s="38"/>
      <c r="MK189" s="38"/>
      <c r="ML189" s="38"/>
      <c r="MM189" s="38"/>
      <c r="MN189" s="38"/>
      <c r="MO189" s="38"/>
      <c r="MP189" s="38"/>
      <c r="MQ189" s="38"/>
      <c r="MR189" s="38"/>
      <c r="MS189" s="38"/>
      <c r="MT189" s="38"/>
      <c r="MU189" s="38"/>
      <c r="MV189" s="38"/>
      <c r="MW189" s="38"/>
      <c r="MX189" s="38"/>
      <c r="MY189" s="38"/>
      <c r="MZ189" s="38"/>
      <c r="NA189" s="38"/>
      <c r="NB189" s="38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/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38"/>
      <c r="OI189" s="38"/>
      <c r="OJ189" s="38"/>
      <c r="OK189" s="38"/>
      <c r="OL189" s="38"/>
      <c r="OM189" s="38"/>
      <c r="ON189" s="38"/>
      <c r="OO189" s="38"/>
      <c r="OP189" s="38"/>
      <c r="OQ189" s="38"/>
      <c r="OR189" s="38"/>
      <c r="OS189" s="38"/>
      <c r="OT189" s="38"/>
      <c r="OU189" s="38"/>
      <c r="OV189" s="38"/>
      <c r="OW189" s="38"/>
      <c r="OX189" s="38"/>
      <c r="OY189" s="38"/>
      <c r="OZ189" s="38"/>
      <c r="PA189" s="38"/>
      <c r="PB189" s="38"/>
      <c r="PC189" s="38"/>
      <c r="PD189" s="38"/>
      <c r="PE189" s="38"/>
      <c r="PF189" s="38"/>
      <c r="PG189" s="38"/>
      <c r="PH189" s="38"/>
      <c r="PI189" s="38"/>
      <c r="PJ189" s="38"/>
      <c r="PK189" s="38"/>
      <c r="PL189" s="38"/>
      <c r="PM189" s="38"/>
      <c r="PN189" s="38"/>
      <c r="PO189" s="38"/>
      <c r="PP189" s="38"/>
      <c r="PQ189" s="38"/>
      <c r="PR189" s="38"/>
      <c r="PS189" s="38"/>
      <c r="PT189" s="38"/>
      <c r="PU189" s="38"/>
      <c r="PV189" s="38"/>
      <c r="PW189" s="38"/>
      <c r="PX189" s="38"/>
      <c r="PY189" s="38"/>
      <c r="PZ189" s="38"/>
      <c r="QA189" s="38"/>
      <c r="QB189" s="38"/>
      <c r="QC189" s="38"/>
      <c r="QD189" s="38"/>
      <c r="QE189" s="38"/>
      <c r="QF189" s="38"/>
      <c r="QG189" s="38"/>
      <c r="QH189" s="38"/>
      <c r="QI189" s="38"/>
      <c r="QJ189" s="38"/>
      <c r="QK189" s="38"/>
      <c r="QL189" s="38"/>
      <c r="QM189" s="38"/>
      <c r="QN189" s="38"/>
      <c r="QO189" s="38"/>
      <c r="QP189" s="38"/>
      <c r="QQ189" s="38"/>
      <c r="QR189" s="38"/>
      <c r="QS189" s="38"/>
      <c r="QT189" s="38"/>
      <c r="QU189" s="38"/>
      <c r="QV189" s="38"/>
      <c r="QW189" s="38"/>
      <c r="QX189" s="38"/>
      <c r="QY189" s="38"/>
      <c r="QZ189" s="38"/>
      <c r="RA189" s="38"/>
      <c r="RB189" s="38"/>
      <c r="RC189" s="38"/>
      <c r="RD189" s="38"/>
      <c r="RE189" s="38"/>
      <c r="RF189" s="38"/>
      <c r="RG189" s="38"/>
      <c r="RH189" s="38"/>
      <c r="RI189" s="38"/>
      <c r="RJ189" s="38"/>
      <c r="RK189" s="38"/>
      <c r="RL189" s="38"/>
      <c r="RM189" s="38"/>
      <c r="RN189" s="38"/>
      <c r="RO189" s="38"/>
      <c r="RP189" s="38"/>
      <c r="RQ189" s="38"/>
      <c r="RR189" s="38"/>
      <c r="RS189" s="38"/>
      <c r="RT189" s="38"/>
      <c r="RU189" s="38"/>
      <c r="RV189" s="38"/>
      <c r="RW189" s="38"/>
      <c r="RX189" s="38"/>
      <c r="RY189" s="38"/>
      <c r="RZ189" s="38"/>
      <c r="SA189" s="38"/>
      <c r="SB189" s="38"/>
      <c r="SC189" s="38"/>
      <c r="SD189" s="38"/>
      <c r="SE189" s="38"/>
      <c r="SF189" s="38"/>
      <c r="SG189" s="38"/>
      <c r="SH189" s="38"/>
      <c r="SI189" s="38"/>
      <c r="SJ189" s="38"/>
      <c r="SK189" s="38"/>
      <c r="SL189" s="38"/>
      <c r="SM189" s="38"/>
      <c r="SN189" s="38"/>
      <c r="SO189" s="38"/>
      <c r="SP189" s="38"/>
      <c r="SQ189" s="38"/>
      <c r="SR189" s="38"/>
      <c r="SS189" s="38"/>
      <c r="ST189" s="38"/>
      <c r="SU189" s="38"/>
      <c r="SV189" s="38"/>
      <c r="SW189" s="38"/>
      <c r="SX189" s="38"/>
      <c r="SY189" s="38"/>
      <c r="SZ189" s="38"/>
      <c r="TA189" s="38"/>
      <c r="TB189" s="38"/>
      <c r="TC189" s="38"/>
      <c r="TD189" s="38"/>
      <c r="TE189" s="38"/>
      <c r="TF189" s="38"/>
      <c r="TG189" s="38"/>
      <c r="TH189" s="38"/>
      <c r="TI189" s="38"/>
    </row>
    <row r="190" spans="1:529" s="40" customFormat="1" ht="37.5" customHeight="1" x14ac:dyDescent="0.25">
      <c r="A190" s="77" t="s">
        <v>251</v>
      </c>
      <c r="B190" s="75"/>
      <c r="C190" s="75"/>
      <c r="D190" s="33" t="s">
        <v>52</v>
      </c>
      <c r="E190" s="68">
        <f>E191+E192++E193+E194+E195+E196</f>
        <v>20352000</v>
      </c>
      <c r="F190" s="68">
        <f t="shared" ref="F190:P190" si="121">F191+F192++F193+F194+F195+F196</f>
        <v>19734000</v>
      </c>
      <c r="G190" s="68">
        <f t="shared" si="121"/>
        <v>13897700</v>
      </c>
      <c r="H190" s="68">
        <f t="shared" si="121"/>
        <v>314600</v>
      </c>
      <c r="I190" s="68">
        <f t="shared" si="121"/>
        <v>618000</v>
      </c>
      <c r="J190" s="68">
        <f t="shared" si="121"/>
        <v>100000</v>
      </c>
      <c r="K190" s="68">
        <f>K191+K192++K193+K194+K195+K196</f>
        <v>100000</v>
      </c>
      <c r="L190" s="68">
        <f t="shared" si="121"/>
        <v>0</v>
      </c>
      <c r="M190" s="68">
        <f t="shared" si="121"/>
        <v>0</v>
      </c>
      <c r="N190" s="68">
        <f t="shared" si="121"/>
        <v>0</v>
      </c>
      <c r="O190" s="68">
        <f t="shared" si="121"/>
        <v>100000</v>
      </c>
      <c r="P190" s="68">
        <f t="shared" si="121"/>
        <v>20452000</v>
      </c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/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/>
      <c r="JO190" s="39"/>
      <c r="JP190" s="39"/>
      <c r="JQ190" s="39"/>
      <c r="JR190" s="39"/>
      <c r="JS190" s="39"/>
      <c r="JT190" s="39"/>
      <c r="JU190" s="39"/>
      <c r="JV190" s="39"/>
      <c r="JW190" s="39"/>
      <c r="JX190" s="39"/>
      <c r="JY190" s="39"/>
      <c r="JZ190" s="39"/>
      <c r="KA190" s="39"/>
      <c r="KB190" s="39"/>
      <c r="KC190" s="39"/>
      <c r="KD190" s="39"/>
      <c r="KE190" s="39"/>
      <c r="KF190" s="39"/>
      <c r="KG190" s="39"/>
      <c r="KH190" s="39"/>
      <c r="KI190" s="39"/>
      <c r="KJ190" s="39"/>
      <c r="KK190" s="39"/>
      <c r="KL190" s="39"/>
      <c r="KM190" s="39"/>
      <c r="KN190" s="39"/>
      <c r="KO190" s="39"/>
      <c r="KP190" s="39"/>
      <c r="KQ190" s="39"/>
      <c r="KR190" s="39"/>
      <c r="KS190" s="39"/>
      <c r="KT190" s="39"/>
      <c r="KU190" s="39"/>
      <c r="KV190" s="39"/>
      <c r="KW190" s="39"/>
      <c r="KX190" s="39"/>
      <c r="KY190" s="39"/>
      <c r="KZ190" s="39"/>
      <c r="LA190" s="39"/>
      <c r="LB190" s="39"/>
      <c r="LC190" s="39"/>
      <c r="LD190" s="39"/>
      <c r="LE190" s="39"/>
      <c r="LF190" s="39"/>
      <c r="LG190" s="39"/>
      <c r="LH190" s="39"/>
      <c r="LI190" s="39"/>
      <c r="LJ190" s="39"/>
      <c r="LK190" s="39"/>
      <c r="LL190" s="39"/>
      <c r="LM190" s="39"/>
      <c r="LN190" s="39"/>
      <c r="LO190" s="39"/>
      <c r="LP190" s="39"/>
      <c r="LQ190" s="39"/>
      <c r="LR190" s="39"/>
      <c r="LS190" s="39"/>
      <c r="LT190" s="39"/>
      <c r="LU190" s="39"/>
      <c r="LV190" s="39"/>
      <c r="LW190" s="39"/>
      <c r="LX190" s="39"/>
      <c r="LY190" s="39"/>
      <c r="LZ190" s="39"/>
      <c r="MA190" s="39"/>
      <c r="MB190" s="39"/>
      <c r="MC190" s="39"/>
      <c r="MD190" s="39"/>
      <c r="ME190" s="39"/>
      <c r="MF190" s="39"/>
      <c r="MG190" s="39"/>
      <c r="MH190" s="39"/>
      <c r="MI190" s="39"/>
      <c r="MJ190" s="39"/>
      <c r="MK190" s="39"/>
      <c r="ML190" s="39"/>
      <c r="MM190" s="39"/>
      <c r="MN190" s="39"/>
      <c r="MO190" s="39"/>
      <c r="MP190" s="39"/>
      <c r="MQ190" s="39"/>
      <c r="MR190" s="39"/>
      <c r="MS190" s="39"/>
      <c r="MT190" s="39"/>
      <c r="MU190" s="39"/>
      <c r="MV190" s="39"/>
      <c r="MW190" s="39"/>
      <c r="MX190" s="39"/>
      <c r="MY190" s="39"/>
      <c r="MZ190" s="39"/>
      <c r="NA190" s="39"/>
      <c r="NB190" s="39"/>
      <c r="NC190" s="39"/>
      <c r="ND190" s="39"/>
      <c r="NE190" s="39"/>
      <c r="NF190" s="39"/>
      <c r="NG190" s="39"/>
      <c r="NH190" s="39"/>
      <c r="NI190" s="39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39"/>
      <c r="OJ190" s="39"/>
      <c r="OK190" s="39"/>
      <c r="OL190" s="39"/>
      <c r="OM190" s="39"/>
      <c r="ON190" s="39"/>
      <c r="OO190" s="39"/>
      <c r="OP190" s="39"/>
      <c r="OQ190" s="39"/>
      <c r="OR190" s="39"/>
      <c r="OS190" s="39"/>
      <c r="OT190" s="39"/>
      <c r="OU190" s="39"/>
      <c r="OV190" s="39"/>
      <c r="OW190" s="39"/>
      <c r="OX190" s="39"/>
      <c r="OY190" s="39"/>
      <c r="OZ190" s="39"/>
      <c r="PA190" s="39"/>
      <c r="PB190" s="39"/>
      <c r="PC190" s="39"/>
      <c r="PD190" s="39"/>
      <c r="PE190" s="39"/>
      <c r="PF190" s="39"/>
      <c r="PG190" s="39"/>
      <c r="PH190" s="39"/>
      <c r="PI190" s="39"/>
      <c r="PJ190" s="39"/>
      <c r="PK190" s="39"/>
      <c r="PL190" s="39"/>
      <c r="PM190" s="39"/>
      <c r="PN190" s="39"/>
      <c r="PO190" s="39"/>
      <c r="PP190" s="39"/>
      <c r="PQ190" s="39"/>
      <c r="PR190" s="39"/>
      <c r="PS190" s="39"/>
      <c r="PT190" s="39"/>
      <c r="PU190" s="39"/>
      <c r="PV190" s="39"/>
      <c r="PW190" s="39"/>
      <c r="PX190" s="39"/>
      <c r="PY190" s="39"/>
      <c r="PZ190" s="39"/>
      <c r="QA190" s="39"/>
      <c r="QB190" s="39"/>
      <c r="QC190" s="39"/>
      <c r="QD190" s="39"/>
      <c r="QE190" s="39"/>
      <c r="QF190" s="39"/>
      <c r="QG190" s="39"/>
      <c r="QH190" s="39"/>
      <c r="QI190" s="39"/>
      <c r="QJ190" s="39"/>
      <c r="QK190" s="39"/>
      <c r="QL190" s="39"/>
      <c r="QM190" s="39"/>
      <c r="QN190" s="39"/>
      <c r="QO190" s="39"/>
      <c r="QP190" s="39"/>
      <c r="QQ190" s="39"/>
      <c r="QR190" s="39"/>
      <c r="QS190" s="39"/>
      <c r="QT190" s="39"/>
      <c r="QU190" s="39"/>
      <c r="QV190" s="39"/>
      <c r="QW190" s="39"/>
      <c r="QX190" s="39"/>
      <c r="QY190" s="39"/>
      <c r="QZ190" s="39"/>
      <c r="RA190" s="39"/>
      <c r="RB190" s="39"/>
      <c r="RC190" s="39"/>
      <c r="RD190" s="39"/>
      <c r="RE190" s="39"/>
      <c r="RF190" s="39"/>
      <c r="RG190" s="39"/>
      <c r="RH190" s="39"/>
      <c r="RI190" s="39"/>
      <c r="RJ190" s="39"/>
      <c r="RK190" s="39"/>
      <c r="RL190" s="39"/>
      <c r="RM190" s="39"/>
      <c r="RN190" s="39"/>
      <c r="RO190" s="39"/>
      <c r="RP190" s="39"/>
      <c r="RQ190" s="39"/>
      <c r="RR190" s="39"/>
      <c r="RS190" s="39"/>
      <c r="RT190" s="39"/>
      <c r="RU190" s="39"/>
      <c r="RV190" s="39"/>
      <c r="RW190" s="39"/>
      <c r="RX190" s="39"/>
      <c r="RY190" s="39"/>
      <c r="RZ190" s="39"/>
      <c r="SA190" s="39"/>
      <c r="SB190" s="39"/>
      <c r="SC190" s="39"/>
      <c r="SD190" s="39"/>
      <c r="SE190" s="39"/>
      <c r="SF190" s="39"/>
      <c r="SG190" s="39"/>
      <c r="SH190" s="39"/>
      <c r="SI190" s="39"/>
      <c r="SJ190" s="39"/>
      <c r="SK190" s="39"/>
      <c r="SL190" s="39"/>
      <c r="SM190" s="39"/>
      <c r="SN190" s="39"/>
      <c r="SO190" s="39"/>
      <c r="SP190" s="39"/>
      <c r="SQ190" s="39"/>
      <c r="SR190" s="39"/>
      <c r="SS190" s="39"/>
      <c r="ST190" s="39"/>
      <c r="SU190" s="39"/>
      <c r="SV190" s="39"/>
      <c r="SW190" s="39"/>
      <c r="SX190" s="39"/>
      <c r="SY190" s="39"/>
      <c r="SZ190" s="39"/>
      <c r="TA190" s="39"/>
      <c r="TB190" s="39"/>
      <c r="TC190" s="39"/>
      <c r="TD190" s="39"/>
      <c r="TE190" s="39"/>
      <c r="TF190" s="39"/>
      <c r="TG190" s="39"/>
      <c r="TH190" s="39"/>
      <c r="TI190" s="39"/>
    </row>
    <row r="191" spans="1:529" s="23" customFormat="1" ht="47.25" customHeight="1" x14ac:dyDescent="0.25">
      <c r="A191" s="43" t="s">
        <v>252</v>
      </c>
      <c r="B191" s="44" t="str">
        <f>'дод 3'!A20</f>
        <v>0160</v>
      </c>
      <c r="C191" s="44" t="str">
        <f>'дод 3'!B20</f>
        <v>0111</v>
      </c>
      <c r="D191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1" s="69">
        <f t="shared" ref="E191:E196" si="122">F191+I191</f>
        <v>17942000</v>
      </c>
      <c r="F191" s="69">
        <f>18803900+108500-929400-41000</f>
        <v>17942000</v>
      </c>
      <c r="G191" s="69">
        <f>14693100-761800-33600</f>
        <v>13897700</v>
      </c>
      <c r="H191" s="69">
        <v>314600</v>
      </c>
      <c r="I191" s="69"/>
      <c r="J191" s="69">
        <f>L191+O191</f>
        <v>25000</v>
      </c>
      <c r="K191" s="69">
        <v>25000</v>
      </c>
      <c r="L191" s="69"/>
      <c r="M191" s="69"/>
      <c r="N191" s="69"/>
      <c r="O191" s="69">
        <v>25000</v>
      </c>
      <c r="P191" s="69">
        <f t="shared" ref="P191:P196" si="123">E191+J191</f>
        <v>17967000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8" customFormat="1" ht="29.25" customHeight="1" x14ac:dyDescent="0.25">
      <c r="A192" s="43" t="s">
        <v>253</v>
      </c>
      <c r="B192" s="44" t="str">
        <f>'дод 3'!A101</f>
        <v>7130</v>
      </c>
      <c r="C192" s="44" t="str">
        <f>'дод 3'!B101</f>
        <v>0421</v>
      </c>
      <c r="D192" s="24" t="str">
        <f>'дод 3'!C101</f>
        <v>Здійснення заходів із землеустрою</v>
      </c>
      <c r="E192" s="69">
        <f t="shared" si="122"/>
        <v>700000</v>
      </c>
      <c r="F192" s="69">
        <v>700000</v>
      </c>
      <c r="G192" s="69"/>
      <c r="H192" s="69"/>
      <c r="I192" s="69"/>
      <c r="J192" s="69">
        <f t="shared" ref="J192:J196" si="124">L192+O192</f>
        <v>0</v>
      </c>
      <c r="K192" s="69"/>
      <c r="L192" s="69"/>
      <c r="M192" s="69"/>
      <c r="N192" s="69"/>
      <c r="O192" s="69"/>
      <c r="P192" s="69">
        <f t="shared" si="123"/>
        <v>700000</v>
      </c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/>
      <c r="GP192" s="37"/>
      <c r="GQ192" s="37"/>
      <c r="GR192" s="37"/>
      <c r="GS192" s="37"/>
      <c r="GT192" s="37"/>
      <c r="GU192" s="37"/>
      <c r="GV192" s="37"/>
      <c r="GW192" s="37"/>
      <c r="GX192" s="37"/>
      <c r="GY192" s="37"/>
      <c r="GZ192" s="37"/>
      <c r="HA192" s="37"/>
      <c r="HB192" s="37"/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/>
      <c r="HO192" s="37"/>
      <c r="HP192" s="37"/>
      <c r="HQ192" s="37"/>
      <c r="HR192" s="37"/>
      <c r="HS192" s="37"/>
      <c r="HT192" s="37"/>
      <c r="HU192" s="37"/>
      <c r="HV192" s="37"/>
      <c r="HW192" s="37"/>
      <c r="HX192" s="37"/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  <c r="IP192" s="37"/>
      <c r="IQ192" s="37"/>
      <c r="IR192" s="37"/>
      <c r="IS192" s="37"/>
      <c r="IT192" s="37"/>
      <c r="IU192" s="37"/>
      <c r="IV192" s="37"/>
      <c r="IW192" s="37"/>
      <c r="IX192" s="37"/>
      <c r="IY192" s="37"/>
      <c r="IZ192" s="37"/>
      <c r="JA192" s="37"/>
      <c r="JB192" s="37"/>
      <c r="JC192" s="37"/>
      <c r="JD192" s="37"/>
      <c r="JE192" s="37"/>
      <c r="JF192" s="37"/>
      <c r="JG192" s="37"/>
      <c r="JH192" s="37"/>
      <c r="JI192" s="37"/>
      <c r="JJ192" s="37"/>
      <c r="JK192" s="37"/>
      <c r="JL192" s="37"/>
      <c r="JM192" s="37"/>
      <c r="JN192" s="37"/>
      <c r="JO192" s="37"/>
      <c r="JP192" s="37"/>
      <c r="JQ192" s="37"/>
      <c r="JR192" s="37"/>
      <c r="JS192" s="37"/>
      <c r="JT192" s="37"/>
      <c r="JU192" s="37"/>
      <c r="JV192" s="37"/>
      <c r="JW192" s="37"/>
      <c r="JX192" s="37"/>
      <c r="JY192" s="37"/>
      <c r="JZ192" s="37"/>
      <c r="KA192" s="37"/>
      <c r="KB192" s="37"/>
      <c r="KC192" s="37"/>
      <c r="KD192" s="37"/>
      <c r="KE192" s="37"/>
      <c r="KF192" s="37"/>
      <c r="KG192" s="37"/>
      <c r="KH192" s="37"/>
      <c r="KI192" s="37"/>
      <c r="KJ192" s="37"/>
      <c r="KK192" s="37"/>
      <c r="KL192" s="37"/>
      <c r="KM192" s="37"/>
      <c r="KN192" s="37"/>
      <c r="KO192" s="37"/>
      <c r="KP192" s="37"/>
      <c r="KQ192" s="37"/>
      <c r="KR192" s="37"/>
      <c r="KS192" s="37"/>
      <c r="KT192" s="37"/>
      <c r="KU192" s="37"/>
      <c r="KV192" s="37"/>
      <c r="KW192" s="37"/>
      <c r="KX192" s="37"/>
      <c r="KY192" s="37"/>
      <c r="KZ192" s="37"/>
      <c r="LA192" s="37"/>
      <c r="LB192" s="37"/>
      <c r="LC192" s="37"/>
      <c r="LD192" s="37"/>
      <c r="LE192" s="37"/>
      <c r="LF192" s="37"/>
      <c r="LG192" s="37"/>
      <c r="LH192" s="37"/>
      <c r="LI192" s="37"/>
      <c r="LJ192" s="37"/>
      <c r="LK192" s="37"/>
      <c r="LL192" s="37"/>
      <c r="LM192" s="37"/>
      <c r="LN192" s="37"/>
      <c r="LO192" s="37"/>
      <c r="LP192" s="37"/>
      <c r="LQ192" s="37"/>
      <c r="LR192" s="37"/>
      <c r="LS192" s="37"/>
      <c r="LT192" s="37"/>
      <c r="LU192" s="37"/>
      <c r="LV192" s="37"/>
      <c r="LW192" s="37"/>
      <c r="LX192" s="37"/>
      <c r="LY192" s="37"/>
      <c r="LZ192" s="37"/>
      <c r="MA192" s="37"/>
      <c r="MB192" s="37"/>
      <c r="MC192" s="37"/>
      <c r="MD192" s="37"/>
      <c r="ME192" s="37"/>
      <c r="MF192" s="37"/>
      <c r="MG192" s="37"/>
      <c r="MH192" s="37"/>
      <c r="MI192" s="37"/>
      <c r="MJ192" s="37"/>
      <c r="MK192" s="37"/>
      <c r="ML192" s="37"/>
      <c r="MM192" s="37"/>
      <c r="MN192" s="37"/>
      <c r="MO192" s="37"/>
      <c r="MP192" s="37"/>
      <c r="MQ192" s="37"/>
      <c r="MR192" s="37"/>
      <c r="MS192" s="37"/>
      <c r="MT192" s="37"/>
      <c r="MU192" s="37"/>
      <c r="MV192" s="37"/>
      <c r="MW192" s="37"/>
      <c r="MX192" s="37"/>
      <c r="MY192" s="37"/>
      <c r="MZ192" s="37"/>
      <c r="NA192" s="37"/>
      <c r="NB192" s="37"/>
      <c r="NC192" s="37"/>
      <c r="ND192" s="37"/>
      <c r="NE192" s="37"/>
      <c r="NF192" s="37"/>
      <c r="NG192" s="37"/>
      <c r="NH192" s="37"/>
      <c r="NI192" s="37"/>
      <c r="NJ192" s="37"/>
      <c r="NK192" s="37"/>
      <c r="NL192" s="37"/>
      <c r="NM192" s="37"/>
      <c r="NN192" s="37"/>
      <c r="NO192" s="37"/>
      <c r="NP192" s="37"/>
      <c r="NQ192" s="37"/>
      <c r="NR192" s="37"/>
      <c r="NS192" s="37"/>
      <c r="NT192" s="37"/>
      <c r="NU192" s="37"/>
      <c r="NV192" s="37"/>
      <c r="NW192" s="37"/>
      <c r="NX192" s="37"/>
      <c r="NY192" s="37"/>
      <c r="NZ192" s="37"/>
      <c r="OA192" s="37"/>
      <c r="OB192" s="37"/>
      <c r="OC192" s="37"/>
      <c r="OD192" s="37"/>
      <c r="OE192" s="37"/>
      <c r="OF192" s="37"/>
      <c r="OG192" s="37"/>
      <c r="OH192" s="37"/>
      <c r="OI192" s="37"/>
      <c r="OJ192" s="37"/>
      <c r="OK192" s="37"/>
      <c r="OL192" s="37"/>
      <c r="OM192" s="37"/>
      <c r="ON192" s="37"/>
      <c r="OO192" s="37"/>
      <c r="OP192" s="37"/>
      <c r="OQ192" s="37"/>
      <c r="OR192" s="37"/>
      <c r="OS192" s="37"/>
      <c r="OT192" s="37"/>
      <c r="OU192" s="37"/>
      <c r="OV192" s="37"/>
      <c r="OW192" s="37"/>
      <c r="OX192" s="37"/>
      <c r="OY192" s="37"/>
      <c r="OZ192" s="37"/>
      <c r="PA192" s="37"/>
      <c r="PB192" s="37"/>
      <c r="PC192" s="37"/>
      <c r="PD192" s="37"/>
      <c r="PE192" s="37"/>
      <c r="PF192" s="37"/>
      <c r="PG192" s="37"/>
      <c r="PH192" s="37"/>
      <c r="PI192" s="37"/>
      <c r="PJ192" s="37"/>
      <c r="PK192" s="37"/>
      <c r="PL192" s="37"/>
      <c r="PM192" s="37"/>
      <c r="PN192" s="37"/>
      <c r="PO192" s="37"/>
      <c r="PP192" s="37"/>
      <c r="PQ192" s="37"/>
      <c r="PR192" s="37"/>
      <c r="PS192" s="37"/>
      <c r="PT192" s="37"/>
      <c r="PU192" s="37"/>
      <c r="PV192" s="37"/>
      <c r="PW192" s="37"/>
      <c r="PX192" s="37"/>
      <c r="PY192" s="37"/>
      <c r="PZ192" s="37"/>
      <c r="QA192" s="37"/>
      <c r="QB192" s="37"/>
      <c r="QC192" s="37"/>
      <c r="QD192" s="37"/>
      <c r="QE192" s="37"/>
      <c r="QF192" s="37"/>
      <c r="QG192" s="37"/>
      <c r="QH192" s="37"/>
      <c r="QI192" s="37"/>
      <c r="QJ192" s="37"/>
      <c r="QK192" s="37"/>
      <c r="QL192" s="37"/>
      <c r="QM192" s="37"/>
      <c r="QN192" s="37"/>
      <c r="QO192" s="37"/>
      <c r="QP192" s="37"/>
      <c r="QQ192" s="37"/>
      <c r="QR192" s="37"/>
      <c r="QS192" s="37"/>
      <c r="QT192" s="37"/>
      <c r="QU192" s="37"/>
      <c r="QV192" s="37"/>
      <c r="QW192" s="37"/>
      <c r="QX192" s="37"/>
      <c r="QY192" s="37"/>
      <c r="QZ192" s="37"/>
      <c r="RA192" s="37"/>
      <c r="RB192" s="37"/>
      <c r="RC192" s="37"/>
      <c r="RD192" s="37"/>
      <c r="RE192" s="37"/>
      <c r="RF192" s="37"/>
      <c r="RG192" s="37"/>
      <c r="RH192" s="37"/>
      <c r="RI192" s="37"/>
      <c r="RJ192" s="37"/>
      <c r="RK192" s="37"/>
      <c r="RL192" s="37"/>
      <c r="RM192" s="37"/>
      <c r="RN192" s="37"/>
      <c r="RO192" s="37"/>
      <c r="RP192" s="37"/>
      <c r="RQ192" s="37"/>
      <c r="RR192" s="37"/>
      <c r="RS192" s="37"/>
      <c r="RT192" s="37"/>
      <c r="RU192" s="37"/>
      <c r="RV192" s="37"/>
      <c r="RW192" s="37"/>
      <c r="RX192" s="37"/>
      <c r="RY192" s="37"/>
      <c r="RZ192" s="37"/>
      <c r="SA192" s="37"/>
      <c r="SB192" s="37"/>
      <c r="SC192" s="37"/>
      <c r="SD192" s="37"/>
      <c r="SE192" s="37"/>
      <c r="SF192" s="37"/>
      <c r="SG192" s="37"/>
      <c r="SH192" s="37"/>
      <c r="SI192" s="37"/>
      <c r="SJ192" s="37"/>
      <c r="SK192" s="37"/>
      <c r="SL192" s="37"/>
      <c r="SM192" s="37"/>
      <c r="SN192" s="37"/>
      <c r="SO192" s="37"/>
      <c r="SP192" s="37"/>
      <c r="SQ192" s="37"/>
      <c r="SR192" s="37"/>
      <c r="SS192" s="37"/>
      <c r="ST192" s="37"/>
      <c r="SU192" s="37"/>
      <c r="SV192" s="37"/>
      <c r="SW192" s="37"/>
      <c r="SX192" s="37"/>
      <c r="SY192" s="37"/>
      <c r="SZ192" s="37"/>
      <c r="TA192" s="37"/>
      <c r="TB192" s="37"/>
      <c r="TC192" s="37"/>
      <c r="TD192" s="37"/>
      <c r="TE192" s="37"/>
      <c r="TF192" s="37"/>
      <c r="TG192" s="37"/>
      <c r="TH192" s="37"/>
      <c r="TI192" s="37"/>
    </row>
    <row r="193" spans="1:529" s="23" customFormat="1" ht="27" customHeight="1" x14ac:dyDescent="0.25">
      <c r="A193" s="52" t="s">
        <v>254</v>
      </c>
      <c r="B193" s="45" t="str">
        <f>'дод 3'!A124</f>
        <v>7610</v>
      </c>
      <c r="C193" s="45" t="str">
        <f>'дод 3'!B124</f>
        <v>0411</v>
      </c>
      <c r="D193" s="22" t="str">
        <f>'дод 3'!C124</f>
        <v>Сприяння розвитку малого та середнього підприємництва</v>
      </c>
      <c r="E193" s="69">
        <f t="shared" si="122"/>
        <v>1020000</v>
      </c>
      <c r="F193" s="69">
        <f>220000+182000</f>
        <v>402000</v>
      </c>
      <c r="G193" s="69"/>
      <c r="H193" s="69"/>
      <c r="I193" s="69">
        <f>1000000-200000-182000</f>
        <v>618000</v>
      </c>
      <c r="J193" s="69">
        <f t="shared" si="124"/>
        <v>0</v>
      </c>
      <c r="K193" s="69"/>
      <c r="L193" s="69"/>
      <c r="M193" s="69"/>
      <c r="N193" s="69"/>
      <c r="O193" s="69"/>
      <c r="P193" s="69">
        <f t="shared" si="123"/>
        <v>1020000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23" customFormat="1" ht="37.5" customHeight="1" x14ac:dyDescent="0.25">
      <c r="A194" s="52" t="s">
        <v>309</v>
      </c>
      <c r="B194" s="45" t="str">
        <f>'дод 3'!A126</f>
        <v>7650</v>
      </c>
      <c r="C194" s="45" t="str">
        <f>'дод 3'!B126</f>
        <v>0490</v>
      </c>
      <c r="D194" s="22" t="str">
        <f>'дод 3'!C126</f>
        <v>Проведення експертної грошової оцінки земельної ділянки чи права на неї</v>
      </c>
      <c r="E194" s="69">
        <f t="shared" si="122"/>
        <v>0</v>
      </c>
      <c r="F194" s="69"/>
      <c r="G194" s="69"/>
      <c r="H194" s="69"/>
      <c r="I194" s="69"/>
      <c r="J194" s="69">
        <f t="shared" si="124"/>
        <v>30000</v>
      </c>
      <c r="K194" s="69">
        <v>30000</v>
      </c>
      <c r="L194" s="69"/>
      <c r="M194" s="69"/>
      <c r="N194" s="69"/>
      <c r="O194" s="69">
        <v>30000</v>
      </c>
      <c r="P194" s="69">
        <f t="shared" si="123"/>
        <v>30000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</row>
    <row r="195" spans="1:529" s="23" customFormat="1" ht="51.75" customHeight="1" x14ac:dyDescent="0.25">
      <c r="A195" s="52" t="s">
        <v>311</v>
      </c>
      <c r="B195" s="45" t="str">
        <f>'дод 3'!A127</f>
        <v>7660</v>
      </c>
      <c r="C195" s="45" t="str">
        <f>'дод 3'!B127</f>
        <v>0490</v>
      </c>
      <c r="D195" s="22" t="str">
        <f>'дод 3'!C127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5" s="69">
        <f t="shared" si="122"/>
        <v>0</v>
      </c>
      <c r="F195" s="69"/>
      <c r="G195" s="69"/>
      <c r="H195" s="69"/>
      <c r="I195" s="69"/>
      <c r="J195" s="69">
        <f t="shared" si="124"/>
        <v>45000</v>
      </c>
      <c r="K195" s="69">
        <v>45000</v>
      </c>
      <c r="L195" s="69"/>
      <c r="M195" s="69"/>
      <c r="N195" s="69"/>
      <c r="O195" s="69">
        <v>45000</v>
      </c>
      <c r="P195" s="69">
        <f t="shared" si="123"/>
        <v>45000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23" customFormat="1" ht="23.25" customHeight="1" x14ac:dyDescent="0.25">
      <c r="A196" s="52" t="s">
        <v>306</v>
      </c>
      <c r="B196" s="45" t="str">
        <f>'дод 3'!A131</f>
        <v>7693</v>
      </c>
      <c r="C196" s="45" t="str">
        <f>'дод 3'!B131</f>
        <v>0490</v>
      </c>
      <c r="D196" s="22" t="str">
        <f>'дод 3'!C131</f>
        <v>Інші заходи, пов'язані з економічною діяльністю</v>
      </c>
      <c r="E196" s="69">
        <f t="shared" si="122"/>
        <v>690000</v>
      </c>
      <c r="F196" s="69">
        <f>490000+200000</f>
        <v>690000</v>
      </c>
      <c r="G196" s="69"/>
      <c r="H196" s="69"/>
      <c r="I196" s="69"/>
      <c r="J196" s="69">
        <f t="shared" si="124"/>
        <v>0</v>
      </c>
      <c r="K196" s="69"/>
      <c r="L196" s="69"/>
      <c r="M196" s="69"/>
      <c r="N196" s="69"/>
      <c r="O196" s="69"/>
      <c r="P196" s="69">
        <f t="shared" si="123"/>
        <v>690000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31" customFormat="1" ht="36" customHeight="1" x14ac:dyDescent="0.2">
      <c r="A197" s="76" t="s">
        <v>255</v>
      </c>
      <c r="B197" s="74"/>
      <c r="C197" s="74"/>
      <c r="D197" s="30" t="s">
        <v>54</v>
      </c>
      <c r="E197" s="66">
        <f>E198</f>
        <v>132881737</v>
      </c>
      <c r="F197" s="66">
        <f t="shared" ref="F197:J197" si="125">F198</f>
        <v>127274665</v>
      </c>
      <c r="G197" s="66">
        <f t="shared" si="125"/>
        <v>13886000</v>
      </c>
      <c r="H197" s="66">
        <f t="shared" si="125"/>
        <v>244400</v>
      </c>
      <c r="I197" s="66">
        <f t="shared" si="125"/>
        <v>0</v>
      </c>
      <c r="J197" s="66">
        <f t="shared" si="125"/>
        <v>93500</v>
      </c>
      <c r="K197" s="66">
        <f t="shared" ref="K197" si="126">K198</f>
        <v>0</v>
      </c>
      <c r="L197" s="66">
        <f t="shared" ref="L197" si="127">L198</f>
        <v>93500</v>
      </c>
      <c r="M197" s="66">
        <f t="shared" ref="M197" si="128">M198</f>
        <v>0</v>
      </c>
      <c r="N197" s="66">
        <f t="shared" ref="N197" si="129">N198</f>
        <v>0</v>
      </c>
      <c r="O197" s="66">
        <f t="shared" ref="O197:P197" si="130">O198</f>
        <v>0</v>
      </c>
      <c r="P197" s="66">
        <f t="shared" si="130"/>
        <v>132975237</v>
      </c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8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  <c r="GB197" s="38"/>
      <c r="GC197" s="38"/>
      <c r="GD197" s="38"/>
      <c r="GE197" s="38"/>
      <c r="GF197" s="38"/>
      <c r="GG197" s="38"/>
      <c r="GH197" s="38"/>
      <c r="GI197" s="38"/>
      <c r="GJ197" s="38"/>
      <c r="GK197" s="38"/>
      <c r="GL197" s="38"/>
      <c r="GM197" s="38"/>
      <c r="GN197" s="38"/>
      <c r="GO197" s="38"/>
      <c r="GP197" s="38"/>
      <c r="GQ197" s="38"/>
      <c r="GR197" s="38"/>
      <c r="GS197" s="38"/>
      <c r="GT197" s="38"/>
      <c r="GU197" s="38"/>
      <c r="GV197" s="38"/>
      <c r="GW197" s="38"/>
      <c r="GX197" s="38"/>
      <c r="GY197" s="38"/>
      <c r="GZ197" s="38"/>
      <c r="HA197" s="38"/>
      <c r="HB197" s="38"/>
      <c r="HC197" s="38"/>
      <c r="HD197" s="38"/>
      <c r="HE197" s="38"/>
      <c r="HF197" s="38"/>
      <c r="HG197" s="38"/>
      <c r="HH197" s="38"/>
      <c r="HI197" s="38"/>
      <c r="HJ197" s="38"/>
      <c r="HK197" s="38"/>
      <c r="HL197" s="38"/>
      <c r="HM197" s="38"/>
      <c r="HN197" s="38"/>
      <c r="HO197" s="38"/>
      <c r="HP197" s="38"/>
      <c r="HQ197" s="38"/>
      <c r="HR197" s="38"/>
      <c r="HS197" s="38"/>
      <c r="HT197" s="38"/>
      <c r="HU197" s="38"/>
      <c r="HV197" s="38"/>
      <c r="HW197" s="38"/>
      <c r="HX197" s="38"/>
      <c r="HY197" s="38"/>
      <c r="HZ197" s="38"/>
      <c r="IA197" s="38"/>
      <c r="IB197" s="38"/>
      <c r="IC197" s="38"/>
      <c r="ID197" s="38"/>
      <c r="IE197" s="38"/>
      <c r="IF197" s="38"/>
      <c r="IG197" s="38"/>
      <c r="IH197" s="38"/>
      <c r="II197" s="38"/>
      <c r="IJ197" s="38"/>
      <c r="IK197" s="38"/>
      <c r="IL197" s="38"/>
      <c r="IM197" s="38"/>
      <c r="IN197" s="38"/>
      <c r="IO197" s="38"/>
      <c r="IP197" s="38"/>
      <c r="IQ197" s="38"/>
      <c r="IR197" s="38"/>
      <c r="IS197" s="38"/>
      <c r="IT197" s="38"/>
      <c r="IU197" s="38"/>
      <c r="IV197" s="38"/>
      <c r="IW197" s="38"/>
      <c r="IX197" s="38"/>
      <c r="IY197" s="38"/>
      <c r="IZ197" s="38"/>
      <c r="JA197" s="38"/>
      <c r="JB197" s="38"/>
      <c r="JC197" s="38"/>
      <c r="JD197" s="38"/>
      <c r="JE197" s="38"/>
      <c r="JF197" s="38"/>
      <c r="JG197" s="38"/>
      <c r="JH197" s="38"/>
      <c r="JI197" s="38"/>
      <c r="JJ197" s="38"/>
      <c r="JK197" s="38"/>
      <c r="JL197" s="38"/>
      <c r="JM197" s="38"/>
      <c r="JN197" s="38"/>
      <c r="JO197" s="38"/>
      <c r="JP197" s="38"/>
      <c r="JQ197" s="38"/>
      <c r="JR197" s="38"/>
      <c r="JS197" s="38"/>
      <c r="JT197" s="38"/>
      <c r="JU197" s="38"/>
      <c r="JV197" s="38"/>
      <c r="JW197" s="38"/>
      <c r="JX197" s="38"/>
      <c r="JY197" s="38"/>
      <c r="JZ197" s="38"/>
      <c r="KA197" s="38"/>
      <c r="KB197" s="38"/>
      <c r="KC197" s="38"/>
      <c r="KD197" s="38"/>
      <c r="KE197" s="38"/>
      <c r="KF197" s="38"/>
      <c r="KG197" s="38"/>
      <c r="KH197" s="38"/>
      <c r="KI197" s="38"/>
      <c r="KJ197" s="38"/>
      <c r="KK197" s="38"/>
      <c r="KL197" s="38"/>
      <c r="KM197" s="38"/>
      <c r="KN197" s="38"/>
      <c r="KO197" s="38"/>
      <c r="KP197" s="38"/>
      <c r="KQ197" s="38"/>
      <c r="KR197" s="38"/>
      <c r="KS197" s="38"/>
      <c r="KT197" s="38"/>
      <c r="KU197" s="38"/>
      <c r="KV197" s="38"/>
      <c r="KW197" s="38"/>
      <c r="KX197" s="38"/>
      <c r="KY197" s="38"/>
      <c r="KZ197" s="38"/>
      <c r="LA197" s="38"/>
      <c r="LB197" s="38"/>
      <c r="LC197" s="38"/>
      <c r="LD197" s="38"/>
      <c r="LE197" s="38"/>
      <c r="LF197" s="38"/>
      <c r="LG197" s="38"/>
      <c r="LH197" s="38"/>
      <c r="LI197" s="38"/>
      <c r="LJ197" s="38"/>
      <c r="LK197" s="38"/>
      <c r="LL197" s="38"/>
      <c r="LM197" s="38"/>
      <c r="LN197" s="38"/>
      <c r="LO197" s="38"/>
      <c r="LP197" s="38"/>
      <c r="LQ197" s="38"/>
      <c r="LR197" s="38"/>
      <c r="LS197" s="38"/>
      <c r="LT197" s="38"/>
      <c r="LU197" s="38"/>
      <c r="LV197" s="38"/>
      <c r="LW197" s="38"/>
      <c r="LX197" s="38"/>
      <c r="LY197" s="38"/>
      <c r="LZ197" s="38"/>
      <c r="MA197" s="38"/>
      <c r="MB197" s="38"/>
      <c r="MC197" s="38"/>
      <c r="MD197" s="38"/>
      <c r="ME197" s="38"/>
      <c r="MF197" s="38"/>
      <c r="MG197" s="38"/>
      <c r="MH197" s="38"/>
      <c r="MI197" s="38"/>
      <c r="MJ197" s="38"/>
      <c r="MK197" s="38"/>
      <c r="ML197" s="38"/>
      <c r="MM197" s="38"/>
      <c r="MN197" s="38"/>
      <c r="MO197" s="38"/>
      <c r="MP197" s="38"/>
      <c r="MQ197" s="38"/>
      <c r="MR197" s="38"/>
      <c r="MS197" s="38"/>
      <c r="MT197" s="38"/>
      <c r="MU197" s="38"/>
      <c r="MV197" s="38"/>
      <c r="MW197" s="38"/>
      <c r="MX197" s="38"/>
      <c r="MY197" s="38"/>
      <c r="MZ197" s="38"/>
      <c r="NA197" s="38"/>
      <c r="NB197" s="38"/>
      <c r="NC197" s="38"/>
      <c r="ND197" s="38"/>
      <c r="NE197" s="38"/>
      <c r="NF197" s="38"/>
      <c r="NG197" s="38"/>
      <c r="NH197" s="38"/>
      <c r="NI197" s="38"/>
      <c r="NJ197" s="38"/>
      <c r="NK197" s="38"/>
      <c r="NL197" s="38"/>
      <c r="NM197" s="38"/>
      <c r="NN197" s="38"/>
      <c r="NO197" s="38"/>
      <c r="NP197" s="38"/>
      <c r="NQ197" s="38"/>
      <c r="NR197" s="38"/>
      <c r="NS197" s="38"/>
      <c r="NT197" s="38"/>
      <c r="NU197" s="38"/>
      <c r="NV197" s="38"/>
      <c r="NW197" s="38"/>
      <c r="NX197" s="38"/>
      <c r="NY197" s="38"/>
      <c r="NZ197" s="38"/>
      <c r="OA197" s="38"/>
      <c r="OB197" s="38"/>
      <c r="OC197" s="38"/>
      <c r="OD197" s="38"/>
      <c r="OE197" s="38"/>
      <c r="OF197" s="38"/>
      <c r="OG197" s="38"/>
      <c r="OH197" s="38"/>
      <c r="OI197" s="38"/>
      <c r="OJ197" s="38"/>
      <c r="OK197" s="38"/>
      <c r="OL197" s="38"/>
      <c r="OM197" s="38"/>
      <c r="ON197" s="38"/>
      <c r="OO197" s="38"/>
      <c r="OP197" s="38"/>
      <c r="OQ197" s="38"/>
      <c r="OR197" s="38"/>
      <c r="OS197" s="38"/>
      <c r="OT197" s="38"/>
      <c r="OU197" s="38"/>
      <c r="OV197" s="38"/>
      <c r="OW197" s="38"/>
      <c r="OX197" s="38"/>
      <c r="OY197" s="38"/>
      <c r="OZ197" s="38"/>
      <c r="PA197" s="38"/>
      <c r="PB197" s="38"/>
      <c r="PC197" s="38"/>
      <c r="PD197" s="38"/>
      <c r="PE197" s="38"/>
      <c r="PF197" s="38"/>
      <c r="PG197" s="38"/>
      <c r="PH197" s="38"/>
      <c r="PI197" s="38"/>
      <c r="PJ197" s="38"/>
      <c r="PK197" s="38"/>
      <c r="PL197" s="38"/>
      <c r="PM197" s="38"/>
      <c r="PN197" s="38"/>
      <c r="PO197" s="38"/>
      <c r="PP197" s="38"/>
      <c r="PQ197" s="38"/>
      <c r="PR197" s="38"/>
      <c r="PS197" s="38"/>
      <c r="PT197" s="38"/>
      <c r="PU197" s="38"/>
      <c r="PV197" s="38"/>
      <c r="PW197" s="38"/>
      <c r="PX197" s="38"/>
      <c r="PY197" s="38"/>
      <c r="PZ197" s="38"/>
      <c r="QA197" s="38"/>
      <c r="QB197" s="38"/>
      <c r="QC197" s="38"/>
      <c r="QD197" s="38"/>
      <c r="QE197" s="38"/>
      <c r="QF197" s="38"/>
      <c r="QG197" s="38"/>
      <c r="QH197" s="38"/>
      <c r="QI197" s="38"/>
      <c r="QJ197" s="38"/>
      <c r="QK197" s="38"/>
      <c r="QL197" s="38"/>
      <c r="QM197" s="38"/>
      <c r="QN197" s="38"/>
      <c r="QO197" s="38"/>
      <c r="QP197" s="38"/>
      <c r="QQ197" s="38"/>
      <c r="QR197" s="38"/>
      <c r="QS197" s="38"/>
      <c r="QT197" s="38"/>
      <c r="QU197" s="38"/>
      <c r="QV197" s="38"/>
      <c r="QW197" s="38"/>
      <c r="QX197" s="38"/>
      <c r="QY197" s="38"/>
      <c r="QZ197" s="38"/>
      <c r="RA197" s="38"/>
      <c r="RB197" s="38"/>
      <c r="RC197" s="38"/>
      <c r="RD197" s="38"/>
      <c r="RE197" s="38"/>
      <c r="RF197" s="38"/>
      <c r="RG197" s="38"/>
      <c r="RH197" s="38"/>
      <c r="RI197" s="38"/>
      <c r="RJ197" s="38"/>
      <c r="RK197" s="38"/>
      <c r="RL197" s="38"/>
      <c r="RM197" s="38"/>
      <c r="RN197" s="38"/>
      <c r="RO197" s="38"/>
      <c r="RP197" s="38"/>
      <c r="RQ197" s="38"/>
      <c r="RR197" s="38"/>
      <c r="RS197" s="38"/>
      <c r="RT197" s="38"/>
      <c r="RU197" s="38"/>
      <c r="RV197" s="38"/>
      <c r="RW197" s="38"/>
      <c r="RX197" s="38"/>
      <c r="RY197" s="38"/>
      <c r="RZ197" s="38"/>
      <c r="SA197" s="38"/>
      <c r="SB197" s="38"/>
      <c r="SC197" s="38"/>
      <c r="SD197" s="38"/>
      <c r="SE197" s="38"/>
      <c r="SF197" s="38"/>
      <c r="SG197" s="38"/>
      <c r="SH197" s="38"/>
      <c r="SI197" s="38"/>
      <c r="SJ197" s="38"/>
      <c r="SK197" s="38"/>
      <c r="SL197" s="38"/>
      <c r="SM197" s="38"/>
      <c r="SN197" s="38"/>
      <c r="SO197" s="38"/>
      <c r="SP197" s="38"/>
      <c r="SQ197" s="38"/>
      <c r="SR197" s="38"/>
      <c r="SS197" s="38"/>
      <c r="ST197" s="38"/>
      <c r="SU197" s="38"/>
      <c r="SV197" s="38"/>
      <c r="SW197" s="38"/>
      <c r="SX197" s="38"/>
      <c r="SY197" s="38"/>
      <c r="SZ197" s="38"/>
      <c r="TA197" s="38"/>
      <c r="TB197" s="38"/>
      <c r="TC197" s="38"/>
      <c r="TD197" s="38"/>
      <c r="TE197" s="38"/>
      <c r="TF197" s="38"/>
      <c r="TG197" s="38"/>
      <c r="TH197" s="38"/>
      <c r="TI197" s="38"/>
    </row>
    <row r="198" spans="1:529" s="40" customFormat="1" ht="36" customHeight="1" x14ac:dyDescent="0.25">
      <c r="A198" s="77" t="s">
        <v>256</v>
      </c>
      <c r="B198" s="75"/>
      <c r="C198" s="75"/>
      <c r="D198" s="33" t="s">
        <v>54</v>
      </c>
      <c r="E198" s="68">
        <f>SUM(E199+E200+E201+E203+E204+E205+E206+E202)</f>
        <v>132881737</v>
      </c>
      <c r="F198" s="68">
        <f t="shared" ref="F198:P198" si="131">SUM(F199+F200+F201+F203+F204+F205+F206+F202)</f>
        <v>127274665</v>
      </c>
      <c r="G198" s="68">
        <f t="shared" si="131"/>
        <v>13886000</v>
      </c>
      <c r="H198" s="68">
        <f t="shared" si="131"/>
        <v>244400</v>
      </c>
      <c r="I198" s="68">
        <f t="shared" si="131"/>
        <v>0</v>
      </c>
      <c r="J198" s="68">
        <f t="shared" si="131"/>
        <v>93500</v>
      </c>
      <c r="K198" s="68">
        <f t="shared" si="131"/>
        <v>0</v>
      </c>
      <c r="L198" s="68">
        <f t="shared" si="131"/>
        <v>93500</v>
      </c>
      <c r="M198" s="68">
        <f t="shared" si="131"/>
        <v>0</v>
      </c>
      <c r="N198" s="68">
        <f t="shared" si="131"/>
        <v>0</v>
      </c>
      <c r="O198" s="68">
        <f t="shared" si="131"/>
        <v>0</v>
      </c>
      <c r="P198" s="68">
        <f t="shared" si="131"/>
        <v>132975237</v>
      </c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/>
      <c r="KN198" s="39"/>
      <c r="KO198" s="39"/>
      <c r="KP198" s="39"/>
      <c r="KQ198" s="39"/>
      <c r="KR198" s="39"/>
      <c r="KS198" s="39"/>
      <c r="KT198" s="39"/>
      <c r="KU198" s="39"/>
      <c r="KV198" s="39"/>
      <c r="KW198" s="39"/>
      <c r="KX198" s="39"/>
      <c r="KY198" s="39"/>
      <c r="KZ198" s="39"/>
      <c r="LA198" s="39"/>
      <c r="LB198" s="39"/>
      <c r="LC198" s="39"/>
      <c r="LD198" s="39"/>
      <c r="LE198" s="39"/>
      <c r="LF198" s="39"/>
      <c r="LG198" s="39"/>
      <c r="LH198" s="39"/>
      <c r="LI198" s="39"/>
      <c r="LJ198" s="39"/>
      <c r="LK198" s="39"/>
      <c r="LL198" s="39"/>
      <c r="LM198" s="39"/>
      <c r="LN198" s="39"/>
      <c r="LO198" s="39"/>
      <c r="LP198" s="39"/>
      <c r="LQ198" s="39"/>
      <c r="LR198" s="39"/>
      <c r="LS198" s="39"/>
      <c r="LT198" s="39"/>
      <c r="LU198" s="39"/>
      <c r="LV198" s="39"/>
      <c r="LW198" s="39"/>
      <c r="LX198" s="39"/>
      <c r="LY198" s="39"/>
      <c r="LZ198" s="39"/>
      <c r="MA198" s="39"/>
      <c r="MB198" s="39"/>
      <c r="MC198" s="39"/>
      <c r="MD198" s="39"/>
      <c r="ME198" s="39"/>
      <c r="MF198" s="39"/>
      <c r="MG198" s="39"/>
      <c r="MH198" s="39"/>
      <c r="MI198" s="39"/>
      <c r="MJ198" s="39"/>
      <c r="MK198" s="39"/>
      <c r="ML198" s="39"/>
      <c r="MM198" s="39"/>
      <c r="MN198" s="39"/>
      <c r="MO198" s="39"/>
      <c r="MP198" s="39"/>
      <c r="MQ198" s="39"/>
      <c r="MR198" s="39"/>
      <c r="MS198" s="39"/>
      <c r="MT198" s="39"/>
      <c r="MU198" s="39"/>
      <c r="MV198" s="39"/>
      <c r="MW198" s="39"/>
      <c r="MX198" s="39"/>
      <c r="MY198" s="39"/>
      <c r="MZ198" s="39"/>
      <c r="NA198" s="39"/>
      <c r="NB198" s="39"/>
      <c r="NC198" s="39"/>
      <c r="ND198" s="39"/>
      <c r="NE198" s="39"/>
      <c r="NF198" s="39"/>
      <c r="NG198" s="39"/>
      <c r="NH198" s="39"/>
      <c r="NI198" s="39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/>
      <c r="NT198" s="39"/>
      <c r="NU198" s="39"/>
      <c r="NV198" s="39"/>
      <c r="NW198" s="39"/>
      <c r="NX198" s="39"/>
      <c r="NY198" s="39"/>
      <c r="NZ198" s="39"/>
      <c r="OA198" s="39"/>
      <c r="OB198" s="39"/>
      <c r="OC198" s="39"/>
      <c r="OD198" s="39"/>
      <c r="OE198" s="39"/>
      <c r="OF198" s="39"/>
      <c r="OG198" s="39"/>
      <c r="OH198" s="39"/>
      <c r="OI198" s="39"/>
      <c r="OJ198" s="39"/>
      <c r="OK198" s="39"/>
      <c r="OL198" s="39"/>
      <c r="OM198" s="39"/>
      <c r="ON198" s="39"/>
      <c r="OO198" s="39"/>
      <c r="OP198" s="39"/>
      <c r="OQ198" s="39"/>
      <c r="OR198" s="39"/>
      <c r="OS198" s="39"/>
      <c r="OT198" s="39"/>
      <c r="OU198" s="39"/>
      <c r="OV198" s="39"/>
      <c r="OW198" s="39"/>
      <c r="OX198" s="39"/>
      <c r="OY198" s="39"/>
      <c r="OZ198" s="39"/>
      <c r="PA198" s="39"/>
      <c r="PB198" s="39"/>
      <c r="PC198" s="39"/>
      <c r="PD198" s="39"/>
      <c r="PE198" s="39"/>
      <c r="PF198" s="39"/>
      <c r="PG198" s="39"/>
      <c r="PH198" s="39"/>
      <c r="PI198" s="39"/>
      <c r="PJ198" s="39"/>
      <c r="PK198" s="39"/>
      <c r="PL198" s="39"/>
      <c r="PM198" s="39"/>
      <c r="PN198" s="39"/>
      <c r="PO198" s="39"/>
      <c r="PP198" s="39"/>
      <c r="PQ198" s="39"/>
      <c r="PR198" s="39"/>
      <c r="PS198" s="39"/>
      <c r="PT198" s="39"/>
      <c r="PU198" s="39"/>
      <c r="PV198" s="39"/>
      <c r="PW198" s="39"/>
      <c r="PX198" s="39"/>
      <c r="PY198" s="39"/>
      <c r="PZ198" s="39"/>
      <c r="QA198" s="39"/>
      <c r="QB198" s="39"/>
      <c r="QC198" s="39"/>
      <c r="QD198" s="39"/>
      <c r="QE198" s="39"/>
      <c r="QF198" s="39"/>
      <c r="QG198" s="39"/>
      <c r="QH198" s="39"/>
      <c r="QI198" s="39"/>
      <c r="QJ198" s="39"/>
      <c r="QK198" s="39"/>
      <c r="QL198" s="39"/>
      <c r="QM198" s="39"/>
      <c r="QN198" s="39"/>
      <c r="QO198" s="39"/>
      <c r="QP198" s="39"/>
      <c r="QQ198" s="39"/>
      <c r="QR198" s="39"/>
      <c r="QS198" s="39"/>
      <c r="QT198" s="39"/>
      <c r="QU198" s="39"/>
      <c r="QV198" s="39"/>
      <c r="QW198" s="39"/>
      <c r="QX198" s="39"/>
      <c r="QY198" s="39"/>
      <c r="QZ198" s="39"/>
      <c r="RA198" s="39"/>
      <c r="RB198" s="39"/>
      <c r="RC198" s="39"/>
      <c r="RD198" s="39"/>
      <c r="RE198" s="39"/>
      <c r="RF198" s="39"/>
      <c r="RG198" s="39"/>
      <c r="RH198" s="39"/>
      <c r="RI198" s="39"/>
      <c r="RJ198" s="39"/>
      <c r="RK198" s="39"/>
      <c r="RL198" s="39"/>
      <c r="RM198" s="39"/>
      <c r="RN198" s="39"/>
      <c r="RO198" s="39"/>
      <c r="RP198" s="39"/>
      <c r="RQ198" s="39"/>
      <c r="RR198" s="39"/>
      <c r="RS198" s="39"/>
      <c r="RT198" s="39"/>
      <c r="RU198" s="39"/>
      <c r="RV198" s="39"/>
      <c r="RW198" s="39"/>
      <c r="RX198" s="39"/>
      <c r="RY198" s="39"/>
      <c r="RZ198" s="39"/>
      <c r="SA198" s="39"/>
      <c r="SB198" s="39"/>
      <c r="SC198" s="39"/>
      <c r="SD198" s="39"/>
      <c r="SE198" s="39"/>
      <c r="SF198" s="39"/>
      <c r="SG198" s="39"/>
      <c r="SH198" s="39"/>
      <c r="SI198" s="39"/>
      <c r="SJ198" s="39"/>
      <c r="SK198" s="39"/>
      <c r="SL198" s="39"/>
      <c r="SM198" s="39"/>
      <c r="SN198" s="39"/>
      <c r="SO198" s="39"/>
      <c r="SP198" s="39"/>
      <c r="SQ198" s="39"/>
      <c r="SR198" s="39"/>
      <c r="SS198" s="39"/>
      <c r="ST198" s="39"/>
      <c r="SU198" s="39"/>
      <c r="SV198" s="39"/>
      <c r="SW198" s="39"/>
      <c r="SX198" s="39"/>
      <c r="SY198" s="39"/>
      <c r="SZ198" s="39"/>
      <c r="TA198" s="39"/>
      <c r="TB198" s="39"/>
      <c r="TC198" s="39"/>
      <c r="TD198" s="39"/>
      <c r="TE198" s="39"/>
      <c r="TF198" s="39"/>
      <c r="TG198" s="39"/>
      <c r="TH198" s="39"/>
      <c r="TI198" s="39"/>
    </row>
    <row r="199" spans="1:529" s="23" customFormat="1" ht="42" customHeight="1" x14ac:dyDescent="0.25">
      <c r="A199" s="43" t="s">
        <v>257</v>
      </c>
      <c r="B199" s="44" t="str">
        <f>'дод 3'!A20</f>
        <v>0160</v>
      </c>
      <c r="C199" s="44" t="str">
        <f>'дод 3'!B20</f>
        <v>0111</v>
      </c>
      <c r="D199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9" s="69">
        <f t="shared" ref="E199:E204" si="132">F199+I199</f>
        <v>17812800</v>
      </c>
      <c r="F199" s="69">
        <f>18669000+46200-857400-45000</f>
        <v>17812800</v>
      </c>
      <c r="G199" s="69">
        <f>14625700-702800-36900</f>
        <v>13886000</v>
      </c>
      <c r="H199" s="69">
        <v>244400</v>
      </c>
      <c r="I199" s="69"/>
      <c r="J199" s="69">
        <f>L199+O199</f>
        <v>0</v>
      </c>
      <c r="K199" s="69"/>
      <c r="L199" s="69"/>
      <c r="M199" s="69"/>
      <c r="N199" s="69"/>
      <c r="O199" s="69"/>
      <c r="P199" s="69">
        <f t="shared" ref="P199:P206" si="133">E199+J199</f>
        <v>17812800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18.75" customHeight="1" x14ac:dyDescent="0.25">
      <c r="A200" s="43" t="s">
        <v>300</v>
      </c>
      <c r="B200" s="44" t="str">
        <f>'дод 3'!A125</f>
        <v>7640</v>
      </c>
      <c r="C200" s="44" t="str">
        <f>'дод 3'!B125</f>
        <v>0470</v>
      </c>
      <c r="D200" s="24" t="str">
        <f>'дод 3'!C125</f>
        <v>Заходи з енергозбереження</v>
      </c>
      <c r="E200" s="69">
        <f t="shared" si="132"/>
        <v>345000</v>
      </c>
      <c r="F200" s="69">
        <v>345000</v>
      </c>
      <c r="G200" s="69"/>
      <c r="H200" s="69"/>
      <c r="I200" s="69"/>
      <c r="J200" s="69">
        <f t="shared" ref="J200:J206" si="134">L200+O200</f>
        <v>0</v>
      </c>
      <c r="K200" s="69"/>
      <c r="L200" s="69"/>
      <c r="M200" s="69"/>
      <c r="N200" s="69"/>
      <c r="O200" s="69"/>
      <c r="P200" s="69">
        <f t="shared" si="133"/>
        <v>345000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24" customHeight="1" x14ac:dyDescent="0.25">
      <c r="A201" s="43" t="s">
        <v>387</v>
      </c>
      <c r="B201" s="44" t="str">
        <f>'дод 3'!A131</f>
        <v>7693</v>
      </c>
      <c r="C201" s="44" t="str">
        <f>'дод 3'!B131</f>
        <v>0490</v>
      </c>
      <c r="D201" s="24" t="str">
        <f>'дод 3'!C131</f>
        <v>Інші заходи, пов'язані з економічною діяльністю</v>
      </c>
      <c r="E201" s="69">
        <f t="shared" si="132"/>
        <v>213200</v>
      </c>
      <c r="F201" s="69">
        <v>213200</v>
      </c>
      <c r="G201" s="69"/>
      <c r="H201" s="69"/>
      <c r="I201" s="69"/>
      <c r="J201" s="69">
        <f t="shared" si="134"/>
        <v>0</v>
      </c>
      <c r="K201" s="69"/>
      <c r="L201" s="69"/>
      <c r="M201" s="69"/>
      <c r="N201" s="69"/>
      <c r="O201" s="69"/>
      <c r="P201" s="69">
        <f t="shared" si="133"/>
        <v>213200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33.75" customHeight="1" x14ac:dyDescent="0.25">
      <c r="A202" s="43">
        <v>3718330</v>
      </c>
      <c r="B202" s="44">
        <f>'дод 3'!A141</f>
        <v>8330</v>
      </c>
      <c r="C202" s="44">
        <f>'дод 3'!B141</f>
        <v>540</v>
      </c>
      <c r="D202" s="24" t="str">
        <f>'дод 3'!C141</f>
        <v xml:space="preserve">Інша діяльність у сфері екології та охорони природних ресурсів </v>
      </c>
      <c r="E202" s="69">
        <f t="shared" si="132"/>
        <v>75000</v>
      </c>
      <c r="F202" s="69">
        <v>75000</v>
      </c>
      <c r="G202" s="69"/>
      <c r="H202" s="69"/>
      <c r="I202" s="69"/>
      <c r="J202" s="69">
        <f t="shared" si="134"/>
        <v>0</v>
      </c>
      <c r="K202" s="69"/>
      <c r="L202" s="69"/>
      <c r="M202" s="69"/>
      <c r="N202" s="69"/>
      <c r="O202" s="69"/>
      <c r="P202" s="69">
        <f t="shared" si="133"/>
        <v>75000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26.25" customHeight="1" x14ac:dyDescent="0.25">
      <c r="A203" s="43" t="s">
        <v>258</v>
      </c>
      <c r="B203" s="44" t="str">
        <f>'дод 3'!A142</f>
        <v>8340</v>
      </c>
      <c r="C203" s="43" t="str">
        <f>'дод 3'!B142</f>
        <v>0540</v>
      </c>
      <c r="D203" s="24" t="str">
        <f>'дод 3'!C142</f>
        <v>Природоохоронні заходи за рахунок цільових фондів</v>
      </c>
      <c r="E203" s="69">
        <f t="shared" si="132"/>
        <v>0</v>
      </c>
      <c r="F203" s="69"/>
      <c r="G203" s="69"/>
      <c r="H203" s="69"/>
      <c r="I203" s="69"/>
      <c r="J203" s="69">
        <f t="shared" si="134"/>
        <v>93500</v>
      </c>
      <c r="K203" s="69"/>
      <c r="L203" s="69">
        <f>45000+48500</f>
        <v>93500</v>
      </c>
      <c r="M203" s="69"/>
      <c r="N203" s="69"/>
      <c r="O203" s="69"/>
      <c r="P203" s="69">
        <f t="shared" si="133"/>
        <v>93500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23" customFormat="1" ht="27" customHeight="1" x14ac:dyDescent="0.25">
      <c r="A204" s="43" t="s">
        <v>259</v>
      </c>
      <c r="B204" s="44" t="str">
        <f>'дод 3'!A145</f>
        <v>8600</v>
      </c>
      <c r="C204" s="44" t="str">
        <f>'дод 3'!B145</f>
        <v>0170</v>
      </c>
      <c r="D204" s="24" t="str">
        <f>'дод 3'!C145</f>
        <v>Обслуговування місцевого боргу</v>
      </c>
      <c r="E204" s="69">
        <f t="shared" si="132"/>
        <v>712065</v>
      </c>
      <c r="F204" s="69">
        <f>28187+238378+445500</f>
        <v>712065</v>
      </c>
      <c r="G204" s="69"/>
      <c r="H204" s="69"/>
      <c r="I204" s="69"/>
      <c r="J204" s="69">
        <f t="shared" si="134"/>
        <v>0</v>
      </c>
      <c r="K204" s="69"/>
      <c r="L204" s="69"/>
      <c r="M204" s="69"/>
      <c r="N204" s="69"/>
      <c r="O204" s="69"/>
      <c r="P204" s="69">
        <f t="shared" si="133"/>
        <v>712065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</row>
    <row r="205" spans="1:529" s="23" customFormat="1" ht="21" customHeight="1" x14ac:dyDescent="0.25">
      <c r="A205" s="43" t="s">
        <v>273</v>
      </c>
      <c r="B205" s="44" t="str">
        <f>'дод 3'!A146</f>
        <v>8700</v>
      </c>
      <c r="C205" s="44" t="str">
        <f>'дод 3'!B146</f>
        <v>0133</v>
      </c>
      <c r="D205" s="24" t="str">
        <f>'дод 3'!C146</f>
        <v>Резервний фонд</v>
      </c>
      <c r="E205" s="69">
        <f>20000000+40000+102390-13000000-1535318</f>
        <v>5607072</v>
      </c>
      <c r="F205" s="69"/>
      <c r="G205" s="69"/>
      <c r="H205" s="69"/>
      <c r="I205" s="69"/>
      <c r="J205" s="69">
        <f t="shared" si="134"/>
        <v>0</v>
      </c>
      <c r="K205" s="69"/>
      <c r="L205" s="69"/>
      <c r="M205" s="69"/>
      <c r="N205" s="69"/>
      <c r="O205" s="69"/>
      <c r="P205" s="69">
        <f t="shared" si="133"/>
        <v>5607072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</row>
    <row r="206" spans="1:529" s="23" customFormat="1" ht="22.5" customHeight="1" x14ac:dyDescent="0.25">
      <c r="A206" s="43" t="s">
        <v>274</v>
      </c>
      <c r="B206" s="44" t="str">
        <f>'дод 3'!A149</f>
        <v>9110</v>
      </c>
      <c r="C206" s="44" t="str">
        <f>'дод 3'!B149</f>
        <v>0180</v>
      </c>
      <c r="D206" s="24" t="str">
        <f>'дод 3'!C149</f>
        <v>Реверсна дотація</v>
      </c>
      <c r="E206" s="69">
        <f>F206+I206</f>
        <v>108116600</v>
      </c>
      <c r="F206" s="69">
        <v>108116600</v>
      </c>
      <c r="G206" s="69"/>
      <c r="H206" s="69"/>
      <c r="I206" s="69"/>
      <c r="J206" s="69">
        <f t="shared" si="134"/>
        <v>0</v>
      </c>
      <c r="K206" s="69"/>
      <c r="L206" s="69"/>
      <c r="M206" s="69"/>
      <c r="N206" s="69"/>
      <c r="O206" s="69"/>
      <c r="P206" s="69">
        <f t="shared" si="133"/>
        <v>108116600</v>
      </c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  <c r="MA206" s="26"/>
      <c r="MB206" s="26"/>
      <c r="MC206" s="26"/>
      <c r="MD206" s="26"/>
      <c r="ME206" s="26"/>
      <c r="MF206" s="26"/>
      <c r="MG206" s="26"/>
      <c r="MH206" s="26"/>
      <c r="MI206" s="26"/>
      <c r="MJ206" s="26"/>
      <c r="MK206" s="26"/>
      <c r="ML206" s="26"/>
      <c r="MM206" s="26"/>
      <c r="MN206" s="26"/>
      <c r="MO206" s="26"/>
      <c r="MP206" s="26"/>
      <c r="MQ206" s="26"/>
      <c r="MR206" s="26"/>
      <c r="MS206" s="26"/>
      <c r="MT206" s="26"/>
      <c r="MU206" s="26"/>
      <c r="MV206" s="26"/>
      <c r="MW206" s="26"/>
      <c r="MX206" s="26"/>
      <c r="MY206" s="26"/>
      <c r="MZ206" s="26"/>
      <c r="NA206" s="26"/>
      <c r="NB206" s="26"/>
      <c r="NC206" s="26"/>
      <c r="ND206" s="26"/>
      <c r="NE206" s="26"/>
      <c r="NF206" s="26"/>
      <c r="NG206" s="26"/>
      <c r="NH206" s="26"/>
      <c r="NI206" s="26"/>
      <c r="NJ206" s="26"/>
      <c r="NK206" s="26"/>
      <c r="NL206" s="26"/>
      <c r="NM206" s="26"/>
      <c r="NN206" s="26"/>
      <c r="NO206" s="26"/>
      <c r="NP206" s="26"/>
      <c r="NQ206" s="26"/>
      <c r="NR206" s="26"/>
      <c r="NS206" s="26"/>
      <c r="NT206" s="26"/>
      <c r="NU206" s="26"/>
      <c r="NV206" s="26"/>
      <c r="NW206" s="26"/>
      <c r="NX206" s="26"/>
      <c r="NY206" s="26"/>
      <c r="NZ206" s="26"/>
      <c r="OA206" s="26"/>
      <c r="OB206" s="26"/>
      <c r="OC206" s="26"/>
      <c r="OD206" s="26"/>
      <c r="OE206" s="26"/>
      <c r="OF206" s="26"/>
      <c r="OG206" s="26"/>
      <c r="OH206" s="26"/>
      <c r="OI206" s="26"/>
      <c r="OJ206" s="26"/>
      <c r="OK206" s="26"/>
      <c r="OL206" s="26"/>
      <c r="OM206" s="26"/>
      <c r="ON206" s="26"/>
      <c r="OO206" s="26"/>
      <c r="OP206" s="26"/>
      <c r="OQ206" s="26"/>
      <c r="OR206" s="26"/>
      <c r="OS206" s="26"/>
      <c r="OT206" s="26"/>
      <c r="OU206" s="26"/>
      <c r="OV206" s="26"/>
      <c r="OW206" s="26"/>
      <c r="OX206" s="26"/>
      <c r="OY206" s="26"/>
      <c r="OZ206" s="26"/>
      <c r="PA206" s="26"/>
      <c r="PB206" s="26"/>
      <c r="PC206" s="26"/>
      <c r="PD206" s="26"/>
      <c r="PE206" s="26"/>
      <c r="PF206" s="26"/>
      <c r="PG206" s="26"/>
      <c r="PH206" s="26"/>
      <c r="PI206" s="26"/>
      <c r="PJ206" s="26"/>
      <c r="PK206" s="26"/>
      <c r="PL206" s="26"/>
      <c r="PM206" s="26"/>
      <c r="PN206" s="26"/>
      <c r="PO206" s="26"/>
      <c r="PP206" s="26"/>
      <c r="PQ206" s="26"/>
      <c r="PR206" s="26"/>
      <c r="PS206" s="26"/>
      <c r="PT206" s="26"/>
      <c r="PU206" s="26"/>
      <c r="PV206" s="26"/>
      <c r="PW206" s="26"/>
      <c r="PX206" s="26"/>
      <c r="PY206" s="26"/>
      <c r="PZ206" s="26"/>
      <c r="QA206" s="26"/>
      <c r="QB206" s="26"/>
      <c r="QC206" s="26"/>
      <c r="QD206" s="26"/>
      <c r="QE206" s="26"/>
      <c r="QF206" s="26"/>
      <c r="QG206" s="26"/>
      <c r="QH206" s="26"/>
      <c r="QI206" s="26"/>
      <c r="QJ206" s="26"/>
      <c r="QK206" s="26"/>
      <c r="QL206" s="26"/>
      <c r="QM206" s="26"/>
      <c r="QN206" s="26"/>
      <c r="QO206" s="26"/>
      <c r="QP206" s="26"/>
      <c r="QQ206" s="26"/>
      <c r="QR206" s="26"/>
      <c r="QS206" s="26"/>
      <c r="QT206" s="26"/>
      <c r="QU206" s="26"/>
      <c r="QV206" s="26"/>
      <c r="QW206" s="26"/>
      <c r="QX206" s="26"/>
      <c r="QY206" s="26"/>
      <c r="QZ206" s="26"/>
      <c r="RA206" s="26"/>
      <c r="RB206" s="26"/>
      <c r="RC206" s="26"/>
      <c r="RD206" s="26"/>
      <c r="RE206" s="26"/>
      <c r="RF206" s="26"/>
      <c r="RG206" s="26"/>
      <c r="RH206" s="26"/>
      <c r="RI206" s="26"/>
      <c r="RJ206" s="26"/>
      <c r="RK206" s="26"/>
      <c r="RL206" s="26"/>
      <c r="RM206" s="26"/>
      <c r="RN206" s="26"/>
      <c r="RO206" s="26"/>
      <c r="RP206" s="26"/>
      <c r="RQ206" s="26"/>
      <c r="RR206" s="26"/>
      <c r="RS206" s="26"/>
      <c r="RT206" s="26"/>
      <c r="RU206" s="26"/>
      <c r="RV206" s="26"/>
      <c r="RW206" s="26"/>
      <c r="RX206" s="26"/>
      <c r="RY206" s="26"/>
      <c r="RZ206" s="26"/>
      <c r="SA206" s="26"/>
      <c r="SB206" s="26"/>
      <c r="SC206" s="26"/>
      <c r="SD206" s="26"/>
      <c r="SE206" s="26"/>
      <c r="SF206" s="26"/>
      <c r="SG206" s="26"/>
      <c r="SH206" s="26"/>
      <c r="SI206" s="26"/>
      <c r="SJ206" s="26"/>
      <c r="SK206" s="26"/>
      <c r="SL206" s="26"/>
      <c r="SM206" s="26"/>
      <c r="SN206" s="26"/>
      <c r="SO206" s="26"/>
      <c r="SP206" s="26"/>
      <c r="SQ206" s="26"/>
      <c r="SR206" s="26"/>
      <c r="SS206" s="26"/>
      <c r="ST206" s="26"/>
      <c r="SU206" s="26"/>
      <c r="SV206" s="26"/>
      <c r="SW206" s="26"/>
      <c r="SX206" s="26"/>
      <c r="SY206" s="26"/>
      <c r="SZ206" s="26"/>
      <c r="TA206" s="26"/>
      <c r="TB206" s="26"/>
      <c r="TC206" s="26"/>
      <c r="TD206" s="26"/>
      <c r="TE206" s="26"/>
      <c r="TF206" s="26"/>
      <c r="TG206" s="26"/>
      <c r="TH206" s="26"/>
      <c r="TI206" s="26"/>
    </row>
    <row r="207" spans="1:529" s="31" customFormat="1" ht="24.75" customHeight="1" x14ac:dyDescent="0.2">
      <c r="A207" s="90"/>
      <c r="B207" s="74"/>
      <c r="C207" s="79"/>
      <c r="D207" s="30" t="s">
        <v>27</v>
      </c>
      <c r="E207" s="66">
        <f t="shared" ref="E207:P207" si="135">E18+E53+E80+E99+E121+E126+E136+E164+E167+E181+E186+E189+E197</f>
        <v>2075845698.5900002</v>
      </c>
      <c r="F207" s="66">
        <f t="shared" si="135"/>
        <v>2007227188.5900002</v>
      </c>
      <c r="G207" s="66">
        <f t="shared" si="135"/>
        <v>908559932</v>
      </c>
      <c r="H207" s="66">
        <f t="shared" si="135"/>
        <v>119078887</v>
      </c>
      <c r="I207" s="66">
        <f t="shared" si="135"/>
        <v>63011438</v>
      </c>
      <c r="J207" s="66">
        <f t="shared" si="135"/>
        <v>607868367.1099999</v>
      </c>
      <c r="K207" s="66">
        <f t="shared" si="135"/>
        <v>447217120.47000003</v>
      </c>
      <c r="L207" s="66">
        <f t="shared" si="135"/>
        <v>144233011.00999999</v>
      </c>
      <c r="M207" s="66">
        <f t="shared" si="135"/>
        <v>9012497</v>
      </c>
      <c r="N207" s="66">
        <f t="shared" si="135"/>
        <v>3810541</v>
      </c>
      <c r="O207" s="66">
        <f t="shared" si="135"/>
        <v>463635356.10000002</v>
      </c>
      <c r="P207" s="66">
        <f t="shared" si="135"/>
        <v>2683714065.6999998</v>
      </c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  <c r="HI207" s="38"/>
      <c r="HJ207" s="38"/>
      <c r="HK207" s="38"/>
      <c r="HL207" s="38"/>
      <c r="HM207" s="38"/>
      <c r="HN207" s="38"/>
      <c r="HO207" s="38"/>
      <c r="HP207" s="38"/>
      <c r="HQ207" s="38"/>
      <c r="HR207" s="38"/>
      <c r="HS207" s="38"/>
      <c r="HT207" s="38"/>
      <c r="HU207" s="38"/>
      <c r="HV207" s="38"/>
      <c r="HW207" s="38"/>
      <c r="HX207" s="38"/>
      <c r="HY207" s="38"/>
      <c r="HZ207" s="38"/>
      <c r="IA207" s="38"/>
      <c r="IB207" s="38"/>
      <c r="IC207" s="38"/>
      <c r="ID207" s="38"/>
      <c r="IE207" s="38"/>
      <c r="IF207" s="38"/>
      <c r="IG207" s="38"/>
      <c r="IH207" s="38"/>
      <c r="II207" s="38"/>
      <c r="IJ207" s="38"/>
      <c r="IK207" s="38"/>
      <c r="IL207" s="38"/>
      <c r="IM207" s="38"/>
      <c r="IN207" s="38"/>
      <c r="IO207" s="38"/>
      <c r="IP207" s="38"/>
      <c r="IQ207" s="38"/>
      <c r="IR207" s="38"/>
      <c r="IS207" s="38"/>
      <c r="IT207" s="38"/>
      <c r="IU207" s="38"/>
      <c r="IV207" s="38"/>
      <c r="IW207" s="38"/>
      <c r="IX207" s="38"/>
      <c r="IY207" s="38"/>
      <c r="IZ207" s="38"/>
      <c r="JA207" s="38"/>
      <c r="JB207" s="38"/>
      <c r="JC207" s="38"/>
      <c r="JD207" s="38"/>
      <c r="JE207" s="38"/>
      <c r="JF207" s="38"/>
      <c r="JG207" s="38"/>
      <c r="JH207" s="38"/>
      <c r="JI207" s="38"/>
      <c r="JJ207" s="38"/>
      <c r="JK207" s="38"/>
      <c r="JL207" s="38"/>
      <c r="JM207" s="38"/>
      <c r="JN207" s="38"/>
      <c r="JO207" s="38"/>
      <c r="JP207" s="38"/>
      <c r="JQ207" s="38"/>
      <c r="JR207" s="38"/>
      <c r="JS207" s="38"/>
      <c r="JT207" s="38"/>
      <c r="JU207" s="38"/>
      <c r="JV207" s="38"/>
      <c r="JW207" s="38"/>
      <c r="JX207" s="38"/>
      <c r="JY207" s="38"/>
      <c r="JZ207" s="38"/>
      <c r="KA207" s="38"/>
      <c r="KB207" s="38"/>
      <c r="KC207" s="38"/>
      <c r="KD207" s="38"/>
      <c r="KE207" s="38"/>
      <c r="KF207" s="38"/>
      <c r="KG207" s="38"/>
      <c r="KH207" s="38"/>
      <c r="KI207" s="38"/>
      <c r="KJ207" s="38"/>
      <c r="KK207" s="38"/>
      <c r="KL207" s="38"/>
      <c r="KM207" s="38"/>
      <c r="KN207" s="38"/>
      <c r="KO207" s="38"/>
      <c r="KP207" s="38"/>
      <c r="KQ207" s="38"/>
      <c r="KR207" s="38"/>
      <c r="KS207" s="38"/>
      <c r="KT207" s="38"/>
      <c r="KU207" s="38"/>
      <c r="KV207" s="38"/>
      <c r="KW207" s="38"/>
      <c r="KX207" s="38"/>
      <c r="KY207" s="38"/>
      <c r="KZ207" s="38"/>
      <c r="LA207" s="38"/>
      <c r="LB207" s="38"/>
      <c r="LC207" s="38"/>
      <c r="LD207" s="38"/>
      <c r="LE207" s="38"/>
      <c r="LF207" s="38"/>
      <c r="LG207" s="38"/>
      <c r="LH207" s="38"/>
      <c r="LI207" s="38"/>
      <c r="LJ207" s="38"/>
      <c r="LK207" s="38"/>
      <c r="LL207" s="38"/>
      <c r="LM207" s="38"/>
      <c r="LN207" s="38"/>
      <c r="LO207" s="38"/>
      <c r="LP207" s="38"/>
      <c r="LQ207" s="38"/>
      <c r="LR207" s="38"/>
      <c r="LS207" s="38"/>
      <c r="LT207" s="38"/>
      <c r="LU207" s="38"/>
      <c r="LV207" s="38"/>
      <c r="LW207" s="38"/>
      <c r="LX207" s="38"/>
      <c r="LY207" s="38"/>
      <c r="LZ207" s="38"/>
      <c r="MA207" s="38"/>
      <c r="MB207" s="38"/>
      <c r="MC207" s="38"/>
      <c r="MD207" s="38"/>
      <c r="ME207" s="38"/>
      <c r="MF207" s="38"/>
      <c r="MG207" s="38"/>
      <c r="MH207" s="38"/>
      <c r="MI207" s="38"/>
      <c r="MJ207" s="38"/>
      <c r="MK207" s="38"/>
      <c r="ML207" s="38"/>
      <c r="MM207" s="38"/>
      <c r="MN207" s="38"/>
      <c r="MO207" s="38"/>
      <c r="MP207" s="38"/>
      <c r="MQ207" s="38"/>
      <c r="MR207" s="38"/>
      <c r="MS207" s="38"/>
      <c r="MT207" s="38"/>
      <c r="MU207" s="38"/>
      <c r="MV207" s="38"/>
      <c r="MW207" s="38"/>
      <c r="MX207" s="38"/>
      <c r="MY207" s="38"/>
      <c r="MZ207" s="38"/>
      <c r="NA207" s="38"/>
      <c r="NB207" s="38"/>
      <c r="NC207" s="38"/>
      <c r="ND207" s="38"/>
      <c r="NE207" s="38"/>
      <c r="NF207" s="38"/>
      <c r="NG207" s="38"/>
      <c r="NH207" s="38"/>
      <c r="NI207" s="38"/>
      <c r="NJ207" s="38"/>
      <c r="NK207" s="38"/>
      <c r="NL207" s="38"/>
      <c r="NM207" s="38"/>
      <c r="NN207" s="38"/>
      <c r="NO207" s="38"/>
      <c r="NP207" s="38"/>
      <c r="NQ207" s="38"/>
      <c r="NR207" s="38"/>
      <c r="NS207" s="38"/>
      <c r="NT207" s="38"/>
      <c r="NU207" s="38"/>
      <c r="NV207" s="38"/>
      <c r="NW207" s="38"/>
      <c r="NX207" s="38"/>
      <c r="NY207" s="38"/>
      <c r="NZ207" s="38"/>
      <c r="OA207" s="38"/>
      <c r="OB207" s="38"/>
      <c r="OC207" s="38"/>
      <c r="OD207" s="38"/>
      <c r="OE207" s="38"/>
      <c r="OF207" s="38"/>
      <c r="OG207" s="38"/>
      <c r="OH207" s="38"/>
      <c r="OI207" s="38"/>
      <c r="OJ207" s="38"/>
      <c r="OK207" s="38"/>
      <c r="OL207" s="38"/>
      <c r="OM207" s="38"/>
      <c r="ON207" s="38"/>
      <c r="OO207" s="38"/>
      <c r="OP207" s="38"/>
      <c r="OQ207" s="38"/>
      <c r="OR207" s="38"/>
      <c r="OS207" s="38"/>
      <c r="OT207" s="38"/>
      <c r="OU207" s="38"/>
      <c r="OV207" s="38"/>
      <c r="OW207" s="38"/>
      <c r="OX207" s="38"/>
      <c r="OY207" s="38"/>
      <c r="OZ207" s="38"/>
      <c r="PA207" s="38"/>
      <c r="PB207" s="38"/>
      <c r="PC207" s="38"/>
      <c r="PD207" s="38"/>
      <c r="PE207" s="38"/>
      <c r="PF207" s="38"/>
      <c r="PG207" s="38"/>
      <c r="PH207" s="38"/>
      <c r="PI207" s="38"/>
      <c r="PJ207" s="38"/>
      <c r="PK207" s="38"/>
      <c r="PL207" s="38"/>
      <c r="PM207" s="38"/>
      <c r="PN207" s="38"/>
      <c r="PO207" s="38"/>
      <c r="PP207" s="38"/>
      <c r="PQ207" s="38"/>
      <c r="PR207" s="38"/>
      <c r="PS207" s="38"/>
      <c r="PT207" s="38"/>
      <c r="PU207" s="38"/>
      <c r="PV207" s="38"/>
      <c r="PW207" s="38"/>
      <c r="PX207" s="38"/>
      <c r="PY207" s="38"/>
      <c r="PZ207" s="38"/>
      <c r="QA207" s="38"/>
      <c r="QB207" s="38"/>
      <c r="QC207" s="38"/>
      <c r="QD207" s="38"/>
      <c r="QE207" s="38"/>
      <c r="QF207" s="38"/>
      <c r="QG207" s="38"/>
      <c r="QH207" s="38"/>
      <c r="QI207" s="38"/>
      <c r="QJ207" s="38"/>
      <c r="QK207" s="38"/>
      <c r="QL207" s="38"/>
      <c r="QM207" s="38"/>
      <c r="QN207" s="38"/>
      <c r="QO207" s="38"/>
      <c r="QP207" s="38"/>
      <c r="QQ207" s="38"/>
      <c r="QR207" s="38"/>
      <c r="QS207" s="38"/>
      <c r="QT207" s="38"/>
      <c r="QU207" s="38"/>
      <c r="QV207" s="38"/>
      <c r="QW207" s="38"/>
      <c r="QX207" s="38"/>
      <c r="QY207" s="38"/>
      <c r="QZ207" s="38"/>
      <c r="RA207" s="38"/>
      <c r="RB207" s="38"/>
      <c r="RC207" s="38"/>
      <c r="RD207" s="38"/>
      <c r="RE207" s="38"/>
      <c r="RF207" s="38"/>
      <c r="RG207" s="38"/>
      <c r="RH207" s="38"/>
      <c r="RI207" s="38"/>
      <c r="RJ207" s="38"/>
      <c r="RK207" s="38"/>
      <c r="RL207" s="38"/>
      <c r="RM207" s="38"/>
      <c r="RN207" s="38"/>
      <c r="RO207" s="38"/>
      <c r="RP207" s="38"/>
      <c r="RQ207" s="38"/>
      <c r="RR207" s="38"/>
      <c r="RS207" s="38"/>
      <c r="RT207" s="38"/>
      <c r="RU207" s="38"/>
      <c r="RV207" s="38"/>
      <c r="RW207" s="38"/>
      <c r="RX207" s="38"/>
      <c r="RY207" s="38"/>
      <c r="RZ207" s="38"/>
      <c r="SA207" s="38"/>
      <c r="SB207" s="38"/>
      <c r="SC207" s="38"/>
      <c r="SD207" s="38"/>
      <c r="SE207" s="38"/>
      <c r="SF207" s="38"/>
      <c r="SG207" s="38"/>
      <c r="SH207" s="38"/>
      <c r="SI207" s="38"/>
      <c r="SJ207" s="38"/>
      <c r="SK207" s="38"/>
      <c r="SL207" s="38"/>
      <c r="SM207" s="38"/>
      <c r="SN207" s="38"/>
      <c r="SO207" s="38"/>
      <c r="SP207" s="38"/>
      <c r="SQ207" s="38"/>
      <c r="SR207" s="38"/>
      <c r="SS207" s="38"/>
      <c r="ST207" s="38"/>
      <c r="SU207" s="38"/>
      <c r="SV207" s="38"/>
      <c r="SW207" s="38"/>
      <c r="SX207" s="38"/>
      <c r="SY207" s="38"/>
      <c r="SZ207" s="38"/>
      <c r="TA207" s="38"/>
      <c r="TB207" s="38"/>
      <c r="TC207" s="38"/>
      <c r="TD207" s="38"/>
      <c r="TE207" s="38"/>
      <c r="TF207" s="38"/>
      <c r="TG207" s="38"/>
      <c r="TH207" s="38"/>
      <c r="TI207" s="38"/>
    </row>
    <row r="208" spans="1:529" s="31" customFormat="1" ht="20.25" customHeight="1" x14ac:dyDescent="0.2">
      <c r="A208" s="90"/>
      <c r="B208" s="74"/>
      <c r="C208" s="79"/>
      <c r="D208" s="30" t="s">
        <v>308</v>
      </c>
      <c r="E208" s="66">
        <f>E55+E82+E138</f>
        <v>443759326</v>
      </c>
      <c r="F208" s="66">
        <f t="shared" ref="F208:P208" si="136">F55+F82+F138</f>
        <v>443759326</v>
      </c>
      <c r="G208" s="66">
        <f t="shared" si="136"/>
        <v>307191100</v>
      </c>
      <c r="H208" s="66">
        <f t="shared" si="136"/>
        <v>0</v>
      </c>
      <c r="I208" s="66">
        <f t="shared" si="136"/>
        <v>0</v>
      </c>
      <c r="J208" s="66">
        <f t="shared" si="136"/>
        <v>82674037.929999992</v>
      </c>
      <c r="K208" s="66">
        <f t="shared" si="136"/>
        <v>2674037.9300000002</v>
      </c>
      <c r="L208" s="66">
        <f t="shared" si="136"/>
        <v>80000000</v>
      </c>
      <c r="M208" s="66">
        <f t="shared" si="136"/>
        <v>0</v>
      </c>
      <c r="N208" s="66">
        <f t="shared" si="136"/>
        <v>0</v>
      </c>
      <c r="O208" s="66">
        <f t="shared" si="136"/>
        <v>2674037.9300000002</v>
      </c>
      <c r="P208" s="66">
        <f t="shared" si="136"/>
        <v>526433363.93000001</v>
      </c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  <c r="GO208" s="38"/>
      <c r="GP208" s="38"/>
      <c r="GQ208" s="38"/>
      <c r="GR208" s="38"/>
      <c r="GS208" s="38"/>
      <c r="GT208" s="38"/>
      <c r="GU208" s="38"/>
      <c r="GV208" s="38"/>
      <c r="GW208" s="38"/>
      <c r="GX208" s="38"/>
      <c r="GY208" s="38"/>
      <c r="GZ208" s="38"/>
      <c r="HA208" s="38"/>
      <c r="HB208" s="38"/>
      <c r="HC208" s="38"/>
      <c r="HD208" s="38"/>
      <c r="HE208" s="38"/>
      <c r="HF208" s="38"/>
      <c r="HG208" s="38"/>
      <c r="HH208" s="38"/>
      <c r="HI208" s="38"/>
      <c r="HJ208" s="38"/>
      <c r="HK208" s="38"/>
      <c r="HL208" s="38"/>
      <c r="HM208" s="38"/>
      <c r="HN208" s="38"/>
      <c r="HO208" s="38"/>
      <c r="HP208" s="38"/>
      <c r="HQ208" s="38"/>
      <c r="HR208" s="38"/>
      <c r="HS208" s="38"/>
      <c r="HT208" s="38"/>
      <c r="HU208" s="38"/>
      <c r="HV208" s="38"/>
      <c r="HW208" s="38"/>
      <c r="HX208" s="38"/>
      <c r="HY208" s="38"/>
      <c r="HZ208" s="38"/>
      <c r="IA208" s="38"/>
      <c r="IB208" s="38"/>
      <c r="IC208" s="38"/>
      <c r="ID208" s="38"/>
      <c r="IE208" s="38"/>
      <c r="IF208" s="38"/>
      <c r="IG208" s="38"/>
      <c r="IH208" s="38"/>
      <c r="II208" s="38"/>
      <c r="IJ208" s="38"/>
      <c r="IK208" s="38"/>
      <c r="IL208" s="38"/>
      <c r="IM208" s="38"/>
      <c r="IN208" s="38"/>
      <c r="IO208" s="38"/>
      <c r="IP208" s="38"/>
      <c r="IQ208" s="38"/>
      <c r="IR208" s="38"/>
      <c r="IS208" s="38"/>
      <c r="IT208" s="38"/>
      <c r="IU208" s="38"/>
      <c r="IV208" s="38"/>
      <c r="IW208" s="38"/>
      <c r="IX208" s="38"/>
      <c r="IY208" s="38"/>
      <c r="IZ208" s="38"/>
      <c r="JA208" s="38"/>
      <c r="JB208" s="38"/>
      <c r="JC208" s="38"/>
      <c r="JD208" s="38"/>
      <c r="JE208" s="38"/>
      <c r="JF208" s="38"/>
      <c r="JG208" s="38"/>
      <c r="JH208" s="38"/>
      <c r="JI208" s="38"/>
      <c r="JJ208" s="38"/>
      <c r="JK208" s="38"/>
      <c r="JL208" s="38"/>
      <c r="JM208" s="38"/>
      <c r="JN208" s="38"/>
      <c r="JO208" s="38"/>
      <c r="JP208" s="38"/>
      <c r="JQ208" s="38"/>
      <c r="JR208" s="38"/>
      <c r="JS208" s="38"/>
      <c r="JT208" s="38"/>
      <c r="JU208" s="38"/>
      <c r="JV208" s="38"/>
      <c r="JW208" s="38"/>
      <c r="JX208" s="38"/>
      <c r="JY208" s="38"/>
      <c r="JZ208" s="38"/>
      <c r="KA208" s="38"/>
      <c r="KB208" s="38"/>
      <c r="KC208" s="38"/>
      <c r="KD208" s="38"/>
      <c r="KE208" s="38"/>
      <c r="KF208" s="38"/>
      <c r="KG208" s="38"/>
      <c r="KH208" s="38"/>
      <c r="KI208" s="38"/>
      <c r="KJ208" s="38"/>
      <c r="KK208" s="38"/>
      <c r="KL208" s="38"/>
      <c r="KM208" s="38"/>
      <c r="KN208" s="38"/>
      <c r="KO208" s="38"/>
      <c r="KP208" s="38"/>
      <c r="KQ208" s="38"/>
      <c r="KR208" s="38"/>
      <c r="KS208" s="38"/>
      <c r="KT208" s="38"/>
      <c r="KU208" s="38"/>
      <c r="KV208" s="38"/>
      <c r="KW208" s="38"/>
      <c r="KX208" s="38"/>
      <c r="KY208" s="38"/>
      <c r="KZ208" s="38"/>
      <c r="LA208" s="38"/>
      <c r="LB208" s="38"/>
      <c r="LC208" s="38"/>
      <c r="LD208" s="38"/>
      <c r="LE208" s="38"/>
      <c r="LF208" s="38"/>
      <c r="LG208" s="38"/>
      <c r="LH208" s="38"/>
      <c r="LI208" s="38"/>
      <c r="LJ208" s="38"/>
      <c r="LK208" s="38"/>
      <c r="LL208" s="38"/>
      <c r="LM208" s="38"/>
      <c r="LN208" s="38"/>
      <c r="LO208" s="38"/>
      <c r="LP208" s="38"/>
      <c r="LQ208" s="38"/>
      <c r="LR208" s="38"/>
      <c r="LS208" s="38"/>
      <c r="LT208" s="38"/>
      <c r="LU208" s="38"/>
      <c r="LV208" s="38"/>
      <c r="LW208" s="38"/>
      <c r="LX208" s="38"/>
      <c r="LY208" s="38"/>
      <c r="LZ208" s="38"/>
      <c r="MA208" s="38"/>
      <c r="MB208" s="38"/>
      <c r="MC208" s="38"/>
      <c r="MD208" s="38"/>
      <c r="ME208" s="38"/>
      <c r="MF208" s="38"/>
      <c r="MG208" s="38"/>
      <c r="MH208" s="38"/>
      <c r="MI208" s="38"/>
      <c r="MJ208" s="38"/>
      <c r="MK208" s="38"/>
      <c r="ML208" s="38"/>
      <c r="MM208" s="38"/>
      <c r="MN208" s="38"/>
      <c r="MO208" s="38"/>
      <c r="MP208" s="38"/>
      <c r="MQ208" s="38"/>
      <c r="MR208" s="38"/>
      <c r="MS208" s="38"/>
      <c r="MT208" s="38"/>
      <c r="MU208" s="38"/>
      <c r="MV208" s="38"/>
      <c r="MW208" s="38"/>
      <c r="MX208" s="38"/>
      <c r="MY208" s="38"/>
      <c r="MZ208" s="38"/>
      <c r="NA208" s="38"/>
      <c r="NB208" s="38"/>
      <c r="NC208" s="38"/>
      <c r="ND208" s="38"/>
      <c r="NE208" s="38"/>
      <c r="NF208" s="38"/>
      <c r="NG208" s="38"/>
      <c r="NH208" s="38"/>
      <c r="NI208" s="38"/>
      <c r="NJ208" s="38"/>
      <c r="NK208" s="38"/>
      <c r="NL208" s="38"/>
      <c r="NM208" s="38"/>
      <c r="NN208" s="38"/>
      <c r="NO208" s="38"/>
      <c r="NP208" s="38"/>
      <c r="NQ208" s="38"/>
      <c r="NR208" s="38"/>
      <c r="NS208" s="38"/>
      <c r="NT208" s="38"/>
      <c r="NU208" s="38"/>
      <c r="NV208" s="38"/>
      <c r="NW208" s="38"/>
      <c r="NX208" s="38"/>
      <c r="NY208" s="38"/>
      <c r="NZ208" s="38"/>
      <c r="OA208" s="38"/>
      <c r="OB208" s="38"/>
      <c r="OC208" s="38"/>
      <c r="OD208" s="38"/>
      <c r="OE208" s="38"/>
      <c r="OF208" s="38"/>
      <c r="OG208" s="38"/>
      <c r="OH208" s="38"/>
      <c r="OI208" s="38"/>
      <c r="OJ208" s="38"/>
      <c r="OK208" s="38"/>
      <c r="OL208" s="38"/>
      <c r="OM208" s="38"/>
      <c r="ON208" s="38"/>
      <c r="OO208" s="38"/>
      <c r="OP208" s="38"/>
      <c r="OQ208" s="38"/>
      <c r="OR208" s="38"/>
      <c r="OS208" s="38"/>
      <c r="OT208" s="38"/>
      <c r="OU208" s="38"/>
      <c r="OV208" s="38"/>
      <c r="OW208" s="38"/>
      <c r="OX208" s="38"/>
      <c r="OY208" s="38"/>
      <c r="OZ208" s="38"/>
      <c r="PA208" s="38"/>
      <c r="PB208" s="38"/>
      <c r="PC208" s="38"/>
      <c r="PD208" s="38"/>
      <c r="PE208" s="38"/>
      <c r="PF208" s="38"/>
      <c r="PG208" s="38"/>
      <c r="PH208" s="38"/>
      <c r="PI208" s="38"/>
      <c r="PJ208" s="38"/>
      <c r="PK208" s="38"/>
      <c r="PL208" s="38"/>
      <c r="PM208" s="38"/>
      <c r="PN208" s="38"/>
      <c r="PO208" s="38"/>
      <c r="PP208" s="38"/>
      <c r="PQ208" s="38"/>
      <c r="PR208" s="38"/>
      <c r="PS208" s="38"/>
      <c r="PT208" s="38"/>
      <c r="PU208" s="38"/>
      <c r="PV208" s="38"/>
      <c r="PW208" s="38"/>
      <c r="PX208" s="38"/>
      <c r="PY208" s="38"/>
      <c r="PZ208" s="38"/>
      <c r="QA208" s="38"/>
      <c r="QB208" s="38"/>
      <c r="QC208" s="38"/>
      <c r="QD208" s="38"/>
      <c r="QE208" s="38"/>
      <c r="QF208" s="38"/>
      <c r="QG208" s="38"/>
      <c r="QH208" s="38"/>
      <c r="QI208" s="38"/>
      <c r="QJ208" s="38"/>
      <c r="QK208" s="38"/>
      <c r="QL208" s="38"/>
      <c r="QM208" s="38"/>
      <c r="QN208" s="38"/>
      <c r="QO208" s="38"/>
      <c r="QP208" s="38"/>
      <c r="QQ208" s="38"/>
      <c r="QR208" s="38"/>
      <c r="QS208" s="38"/>
      <c r="QT208" s="38"/>
      <c r="QU208" s="38"/>
      <c r="QV208" s="38"/>
      <c r="QW208" s="38"/>
      <c r="QX208" s="38"/>
      <c r="QY208" s="38"/>
      <c r="QZ208" s="38"/>
      <c r="RA208" s="38"/>
      <c r="RB208" s="38"/>
      <c r="RC208" s="38"/>
      <c r="RD208" s="38"/>
      <c r="RE208" s="38"/>
      <c r="RF208" s="38"/>
      <c r="RG208" s="38"/>
      <c r="RH208" s="38"/>
      <c r="RI208" s="38"/>
      <c r="RJ208" s="38"/>
      <c r="RK208" s="38"/>
      <c r="RL208" s="38"/>
      <c r="RM208" s="38"/>
      <c r="RN208" s="38"/>
      <c r="RO208" s="38"/>
      <c r="RP208" s="38"/>
      <c r="RQ208" s="38"/>
      <c r="RR208" s="38"/>
      <c r="RS208" s="38"/>
      <c r="RT208" s="38"/>
      <c r="RU208" s="38"/>
      <c r="RV208" s="38"/>
      <c r="RW208" s="38"/>
      <c r="RX208" s="38"/>
      <c r="RY208" s="38"/>
      <c r="RZ208" s="38"/>
      <c r="SA208" s="38"/>
      <c r="SB208" s="38"/>
      <c r="SC208" s="38"/>
      <c r="SD208" s="38"/>
      <c r="SE208" s="38"/>
      <c r="SF208" s="38"/>
      <c r="SG208" s="38"/>
      <c r="SH208" s="38"/>
      <c r="SI208" s="38"/>
      <c r="SJ208" s="38"/>
      <c r="SK208" s="38"/>
      <c r="SL208" s="38"/>
      <c r="SM208" s="38"/>
      <c r="SN208" s="38"/>
      <c r="SO208" s="38"/>
      <c r="SP208" s="38"/>
      <c r="SQ208" s="38"/>
      <c r="SR208" s="38"/>
      <c r="SS208" s="38"/>
      <c r="ST208" s="38"/>
      <c r="SU208" s="38"/>
      <c r="SV208" s="38"/>
      <c r="SW208" s="38"/>
      <c r="SX208" s="38"/>
      <c r="SY208" s="38"/>
      <c r="SZ208" s="38"/>
      <c r="TA208" s="38"/>
      <c r="TB208" s="38"/>
      <c r="TC208" s="38"/>
      <c r="TD208" s="38"/>
      <c r="TE208" s="38"/>
      <c r="TF208" s="38"/>
      <c r="TG208" s="38"/>
      <c r="TH208" s="38"/>
      <c r="TI208" s="38"/>
    </row>
    <row r="209" spans="1:24" s="34" customFormat="1" x14ac:dyDescent="0.25">
      <c r="A209" s="91"/>
      <c r="B209" s="80"/>
      <c r="C209" s="80"/>
      <c r="D209" s="41"/>
      <c r="E209" s="59">
        <f>E207-'дод 3'!D153</f>
        <v>0</v>
      </c>
      <c r="F209" s="59">
        <f>F207-'дод 3'!E153</f>
        <v>0</v>
      </c>
      <c r="G209" s="59">
        <f>G207-'дод 3'!F153</f>
        <v>0</v>
      </c>
      <c r="H209" s="59">
        <f>H207-'дод 3'!G153</f>
        <v>0</v>
      </c>
      <c r="I209" s="59">
        <f>I207-'дод 3'!H153</f>
        <v>0</v>
      </c>
      <c r="J209" s="59">
        <f>J207-'дод 3'!I153</f>
        <v>0</v>
      </c>
      <c r="K209" s="59">
        <f>K207-'дод 3'!J153</f>
        <v>0</v>
      </c>
      <c r="L209" s="59">
        <f>L207-'дод 3'!K153</f>
        <v>0</v>
      </c>
      <c r="M209" s="59">
        <f>M207-'дод 3'!L153</f>
        <v>0</v>
      </c>
      <c r="N209" s="59">
        <f>N207-'дод 3'!M153</f>
        <v>0</v>
      </c>
      <c r="O209" s="59">
        <f>O207-'дод 3'!N153</f>
        <v>0</v>
      </c>
      <c r="P209" s="59">
        <f>P207-'дод 3'!O153</f>
        <v>0</v>
      </c>
    </row>
    <row r="210" spans="1:24" s="34" customFormat="1" ht="35.25" customHeight="1" x14ac:dyDescent="0.25">
      <c r="A210" s="91"/>
      <c r="B210" s="80"/>
      <c r="C210" s="80"/>
      <c r="D210" s="41"/>
      <c r="E210" s="59">
        <f>E208-'дод 3'!D154</f>
        <v>0</v>
      </c>
      <c r="F210" s="59">
        <f>F208-'дод 3'!E154</f>
        <v>0</v>
      </c>
      <c r="G210" s="59">
        <f>G208-'дод 3'!F154</f>
        <v>0</v>
      </c>
      <c r="H210" s="59">
        <f>H208-'дод 3'!G154</f>
        <v>0</v>
      </c>
      <c r="I210" s="59">
        <f>I208-'дод 3'!H154</f>
        <v>0</v>
      </c>
      <c r="J210" s="59">
        <f>J208-'дод 3'!I154</f>
        <v>0</v>
      </c>
      <c r="K210" s="59">
        <f>K208-'дод 3'!J154</f>
        <v>0</v>
      </c>
      <c r="L210" s="59">
        <f>L208-'дод 3'!K154</f>
        <v>0</v>
      </c>
      <c r="M210" s="59">
        <f>M208-'дод 3'!L154</f>
        <v>0</v>
      </c>
      <c r="N210" s="59">
        <f>N208-'дод 3'!M154</f>
        <v>0</v>
      </c>
      <c r="O210" s="59">
        <f>O208-'дод 3'!N154</f>
        <v>0</v>
      </c>
      <c r="P210" s="59">
        <f>P208-'дод 3'!O154</f>
        <v>0</v>
      </c>
    </row>
    <row r="211" spans="1:24" s="34" customFormat="1" x14ac:dyDescent="0.25">
      <c r="A211" s="91"/>
      <c r="B211" s="80"/>
      <c r="C211" s="80"/>
      <c r="D211" s="41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1:24" s="34" customFormat="1" x14ac:dyDescent="0.25">
      <c r="A212" s="91"/>
      <c r="B212" s="80"/>
      <c r="C212" s="80"/>
      <c r="D212" s="41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1:24" s="34" customFormat="1" ht="31.5" x14ac:dyDescent="0.45">
      <c r="A213" s="138" t="s">
        <v>457</v>
      </c>
      <c r="B213" s="138"/>
      <c r="C213" s="138"/>
      <c r="D213" s="138"/>
      <c r="E213" s="138"/>
      <c r="F213" s="138"/>
      <c r="G213" s="138"/>
      <c r="H213" s="138"/>
      <c r="I213" s="139"/>
      <c r="J213" s="139"/>
      <c r="K213" s="139"/>
      <c r="L213" s="140"/>
      <c r="M213" s="140"/>
      <c r="N213" s="155" t="s">
        <v>458</v>
      </c>
      <c r="O213" s="155"/>
      <c r="P213" s="155"/>
    </row>
    <row r="214" spans="1:24" s="34" customFormat="1" ht="35.25" customHeight="1" x14ac:dyDescent="0.5">
      <c r="A214" s="141"/>
      <c r="B214" s="141"/>
      <c r="C214" s="141"/>
      <c r="D214" s="142"/>
      <c r="E214" s="143"/>
      <c r="F214" s="143"/>
      <c r="G214" s="143"/>
      <c r="H214" s="143"/>
      <c r="I214" s="143"/>
      <c r="J214" s="143"/>
      <c r="K214" s="144"/>
      <c r="L214" s="143"/>
      <c r="M214" s="143"/>
      <c r="Q214" s="93"/>
      <c r="R214" s="93"/>
      <c r="S214" s="93"/>
      <c r="T214" s="93"/>
      <c r="U214" s="93"/>
    </row>
    <row r="215" spans="1:24" s="111" customFormat="1" ht="26.25" x14ac:dyDescent="0.4">
      <c r="A215" s="145" t="s">
        <v>474</v>
      </c>
      <c r="B215" s="112"/>
      <c r="C215" s="112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1:24" s="128" customFormat="1" ht="35.25" x14ac:dyDescent="0.5">
      <c r="A216" s="145" t="s">
        <v>459</v>
      </c>
      <c r="B216" s="112"/>
      <c r="C216" s="112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29"/>
      <c r="R216" s="129"/>
      <c r="S216" s="129"/>
      <c r="T216" s="129"/>
      <c r="U216" s="129"/>
      <c r="V216" s="129"/>
      <c r="W216" s="130"/>
      <c r="X216" s="131"/>
    </row>
    <row r="217" spans="1:24" s="104" customFormat="1" ht="14.25" x14ac:dyDescent="0.2">
      <c r="A217" s="100"/>
      <c r="B217" s="101"/>
      <c r="C217" s="101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1:24" s="104" customFormat="1" ht="14.25" x14ac:dyDescent="0.2">
      <c r="A218" s="100"/>
      <c r="B218" s="101"/>
      <c r="C218" s="101"/>
      <c r="D218" s="102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1:24" s="34" customFormat="1" x14ac:dyDescent="0.25">
      <c r="A219" s="91"/>
      <c r="B219" s="108"/>
      <c r="C219" s="108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</row>
    <row r="220" spans="1:24" s="34" customFormat="1" x14ac:dyDescent="0.25">
      <c r="A220" s="91"/>
      <c r="B220" s="108"/>
      <c r="C220" s="108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</row>
    <row r="221" spans="1:24" s="34" customFormat="1" x14ac:dyDescent="0.25">
      <c r="A221" s="91"/>
      <c r="B221" s="108"/>
      <c r="C221" s="108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</row>
    <row r="222" spans="1:24" s="34" customFormat="1" x14ac:dyDescent="0.25">
      <c r="A222" s="91"/>
      <c r="B222" s="108"/>
      <c r="C222" s="108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</row>
    <row r="223" spans="1:24" s="34" customFormat="1" x14ac:dyDescent="0.25">
      <c r="A223" s="91"/>
      <c r="B223" s="108"/>
      <c r="C223" s="108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</row>
    <row r="224" spans="1:24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</row>
    <row r="225" spans="1:16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</row>
    <row r="226" spans="1:16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</row>
    <row r="227" spans="1:16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</row>
    <row r="228" spans="1:16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</row>
    <row r="229" spans="1:16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</row>
    <row r="230" spans="1:16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</row>
    <row r="231" spans="1:16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</row>
    <row r="232" spans="1:16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</row>
    <row r="233" spans="1:16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</row>
    <row r="234" spans="1:16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</row>
    <row r="235" spans="1:16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</row>
    <row r="236" spans="1:16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</row>
    <row r="237" spans="1:16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</row>
    <row r="238" spans="1:16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</row>
    <row r="239" spans="1:16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</row>
    <row r="240" spans="1:16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</row>
    <row r="241" spans="1:16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</row>
    <row r="242" spans="1:16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</row>
    <row r="243" spans="1:16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</row>
    <row r="244" spans="1:16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</row>
    <row r="245" spans="1:16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</row>
    <row r="246" spans="1:16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</row>
    <row r="247" spans="1:16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</row>
    <row r="248" spans="1:16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</row>
    <row r="249" spans="1:16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</row>
    <row r="250" spans="1:16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</row>
    <row r="251" spans="1:16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</row>
    <row r="252" spans="1:16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</row>
    <row r="253" spans="1:16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</row>
    <row r="254" spans="1:16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</row>
    <row r="255" spans="1:16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</row>
    <row r="256" spans="1:16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</row>
    <row r="257" spans="1:16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</row>
    <row r="258" spans="1:16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</row>
    <row r="259" spans="1:16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</row>
    <row r="260" spans="1:16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</row>
    <row r="261" spans="1:16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</row>
    <row r="262" spans="1:16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</row>
    <row r="263" spans="1:16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</row>
    <row r="264" spans="1:16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16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16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16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16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16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16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16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16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91"/>
      <c r="B694" s="80"/>
      <c r="C694" s="80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91"/>
      <c r="B695" s="80"/>
      <c r="C695" s="80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91"/>
      <c r="B696" s="80"/>
      <c r="C696" s="80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91"/>
      <c r="B697" s="80"/>
      <c r="C697" s="80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91"/>
      <c r="B698" s="80"/>
      <c r="C698" s="80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91"/>
      <c r="B699" s="80"/>
      <c r="C699" s="80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  <row r="700" spans="1:16" s="34" customFormat="1" x14ac:dyDescent="0.25">
      <c r="A700" s="91"/>
      <c r="B700" s="80"/>
      <c r="C700" s="80"/>
      <c r="D700" s="4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60"/>
    </row>
    <row r="701" spans="1:16" s="34" customFormat="1" x14ac:dyDescent="0.25">
      <c r="A701" s="91"/>
      <c r="B701" s="80"/>
      <c r="C701" s="80"/>
      <c r="D701" s="4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60"/>
    </row>
    <row r="702" spans="1:16" s="34" customFormat="1" x14ac:dyDescent="0.25">
      <c r="A702" s="91"/>
      <c r="B702" s="80"/>
      <c r="C702" s="80"/>
      <c r="D702" s="4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</row>
    <row r="703" spans="1:16" s="34" customFormat="1" x14ac:dyDescent="0.25">
      <c r="A703" s="91"/>
      <c r="B703" s="80"/>
      <c r="C703" s="80"/>
      <c r="D703" s="4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</row>
    <row r="704" spans="1:16" s="34" customFormat="1" x14ac:dyDescent="0.25">
      <c r="A704" s="91"/>
      <c r="B704" s="80"/>
      <c r="C704" s="80"/>
      <c r="D704" s="41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60"/>
    </row>
    <row r="705" spans="1:16" s="34" customFormat="1" x14ac:dyDescent="0.25">
      <c r="A705" s="91"/>
      <c r="B705" s="80"/>
      <c r="C705" s="80"/>
      <c r="D705" s="41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60"/>
    </row>
    <row r="706" spans="1:16" s="34" customFormat="1" x14ac:dyDescent="0.25">
      <c r="A706" s="91"/>
      <c r="B706" s="80"/>
      <c r="C706" s="80"/>
      <c r="D706" s="41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60"/>
    </row>
    <row r="707" spans="1:16" s="34" customFormat="1" x14ac:dyDescent="0.25">
      <c r="A707" s="91"/>
      <c r="B707" s="80"/>
      <c r="C707" s="80"/>
      <c r="D707" s="41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60"/>
    </row>
  </sheetData>
  <mergeCells count="21">
    <mergeCell ref="L1:O1"/>
    <mergeCell ref="L4:P4"/>
    <mergeCell ref="L3:P3"/>
    <mergeCell ref="N213:P213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F16:F17"/>
    <mergeCell ref="E15:I15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showGridLines="0" showZeros="0" tabSelected="1" view="pageBreakPreview" topLeftCell="A141" zoomScale="72" zoomScaleNormal="65" zoomScaleSheetLayoutView="72" workbookViewId="0">
      <selection activeCell="C158" sqref="C158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32"/>
      <c r="K1" s="152" t="s">
        <v>467</v>
      </c>
      <c r="L1" s="152"/>
      <c r="M1" s="152"/>
      <c r="N1" s="152"/>
      <c r="O1" s="123"/>
    </row>
    <row r="2" spans="1:16" ht="31.5" x14ac:dyDescent="0.25">
      <c r="J2" s="132"/>
      <c r="K2" s="123" t="s">
        <v>453</v>
      </c>
      <c r="L2" s="123"/>
      <c r="M2" s="123"/>
      <c r="N2" s="123"/>
      <c r="O2" s="94"/>
      <c r="P2" s="34"/>
    </row>
    <row r="3" spans="1:16" ht="31.5" x14ac:dyDescent="0.25">
      <c r="J3" s="132"/>
      <c r="K3" s="154" t="s">
        <v>454</v>
      </c>
      <c r="L3" s="154"/>
      <c r="M3" s="154"/>
      <c r="N3" s="154"/>
      <c r="O3" s="154"/>
      <c r="P3" s="34"/>
    </row>
    <row r="4" spans="1:16" ht="31.5" x14ac:dyDescent="0.25">
      <c r="J4" s="132"/>
      <c r="K4" s="153" t="s">
        <v>455</v>
      </c>
      <c r="L4" s="153"/>
      <c r="M4" s="153"/>
      <c r="N4" s="153"/>
      <c r="O4" s="153"/>
      <c r="P4" s="34"/>
    </row>
    <row r="5" spans="1:16" ht="31.5" x14ac:dyDescent="0.25">
      <c r="J5" s="132"/>
      <c r="K5" s="123" t="s">
        <v>477</v>
      </c>
      <c r="L5" s="123"/>
      <c r="M5" s="123"/>
      <c r="N5" s="123"/>
      <c r="O5" s="123"/>
      <c r="P5" s="34"/>
    </row>
    <row r="6" spans="1:16" ht="31.5" x14ac:dyDescent="0.25">
      <c r="J6" s="132"/>
      <c r="K6" s="123" t="s">
        <v>461</v>
      </c>
      <c r="L6" s="123"/>
      <c r="M6" s="123"/>
      <c r="N6" s="123"/>
      <c r="O6" s="123"/>
      <c r="P6" s="34"/>
    </row>
    <row r="7" spans="1:16" ht="31.5" x14ac:dyDescent="0.25">
      <c r="J7" s="132"/>
      <c r="K7" s="123" t="s">
        <v>469</v>
      </c>
      <c r="L7" s="123"/>
      <c r="M7" s="123"/>
      <c r="N7" s="123"/>
      <c r="O7" s="123"/>
      <c r="P7" s="34"/>
    </row>
    <row r="8" spans="1:16" ht="31.5" x14ac:dyDescent="0.25">
      <c r="J8" s="132"/>
      <c r="K8" s="149" t="s">
        <v>460</v>
      </c>
      <c r="L8" s="149"/>
      <c r="M8" s="149"/>
      <c r="N8" s="149"/>
      <c r="O8" s="149"/>
      <c r="P8" s="34"/>
    </row>
    <row r="9" spans="1:16" ht="26.25" customHeight="1" x14ac:dyDescent="0.4">
      <c r="J9" s="135"/>
      <c r="K9" s="113" t="s">
        <v>475</v>
      </c>
      <c r="L9" s="113"/>
      <c r="M9" s="113"/>
      <c r="N9" s="113"/>
      <c r="O9" s="113"/>
      <c r="P9" s="116"/>
    </row>
    <row r="10" spans="1:16" ht="26.25" customHeight="1" x14ac:dyDescent="0.25">
      <c r="J10" s="124"/>
      <c r="K10" s="124"/>
      <c r="L10" s="124"/>
      <c r="M10" s="124"/>
      <c r="N10" s="124"/>
      <c r="O10" s="124"/>
      <c r="P10" s="124"/>
    </row>
    <row r="11" spans="1:16" ht="29.25" customHeight="1" x14ac:dyDescent="0.4">
      <c r="J11" s="123"/>
      <c r="K11" s="113"/>
      <c r="L11" s="113"/>
      <c r="M11" s="113"/>
      <c r="N11" s="113"/>
      <c r="O11" s="114"/>
      <c r="P11" s="34"/>
    </row>
    <row r="12" spans="1:16" ht="65.25" customHeight="1" x14ac:dyDescent="0.25">
      <c r="A12" s="159" t="s">
        <v>436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6" ht="31.5" customHeight="1" x14ac:dyDescent="0.25">
      <c r="A13" s="161" t="s">
        <v>424</v>
      </c>
      <c r="B13" s="161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ht="21" customHeight="1" x14ac:dyDescent="0.25">
      <c r="A14" s="162" t="s">
        <v>445</v>
      </c>
      <c r="B14" s="16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6" s="17" customFormat="1" ht="24" customHeight="1" x14ac:dyDescent="0.3">
      <c r="A15" s="14"/>
      <c r="B15" s="15"/>
      <c r="C15" s="16"/>
      <c r="O15" s="122" t="s">
        <v>420</v>
      </c>
    </row>
    <row r="16" spans="1:16" s="82" customFormat="1" ht="21.75" customHeight="1" x14ac:dyDescent="0.25">
      <c r="A16" s="160" t="s">
        <v>398</v>
      </c>
      <c r="B16" s="160" t="s">
        <v>384</v>
      </c>
      <c r="C16" s="160" t="s">
        <v>400</v>
      </c>
      <c r="D16" s="151" t="s">
        <v>265</v>
      </c>
      <c r="E16" s="151"/>
      <c r="F16" s="151"/>
      <c r="G16" s="151"/>
      <c r="H16" s="151"/>
      <c r="I16" s="151" t="s">
        <v>266</v>
      </c>
      <c r="J16" s="151"/>
      <c r="K16" s="151"/>
      <c r="L16" s="151"/>
      <c r="M16" s="151"/>
      <c r="N16" s="151"/>
      <c r="O16" s="151" t="s">
        <v>267</v>
      </c>
    </row>
    <row r="17" spans="1:15" s="82" customFormat="1" ht="29.25" customHeight="1" x14ac:dyDescent="0.25">
      <c r="A17" s="160"/>
      <c r="B17" s="160"/>
      <c r="C17" s="160"/>
      <c r="D17" s="151" t="s">
        <v>385</v>
      </c>
      <c r="E17" s="151" t="s">
        <v>268</v>
      </c>
      <c r="F17" s="151"/>
      <c r="G17" s="151"/>
      <c r="H17" s="151" t="s">
        <v>270</v>
      </c>
      <c r="I17" s="151" t="s">
        <v>385</v>
      </c>
      <c r="J17" s="151" t="s">
        <v>386</v>
      </c>
      <c r="K17" s="151" t="s">
        <v>268</v>
      </c>
      <c r="L17" s="151" t="s">
        <v>269</v>
      </c>
      <c r="M17" s="151"/>
      <c r="N17" s="151" t="s">
        <v>270</v>
      </c>
      <c r="O17" s="151"/>
    </row>
    <row r="18" spans="1:15" s="82" customFormat="1" ht="75.75" customHeight="1" x14ac:dyDescent="0.25">
      <c r="A18" s="160"/>
      <c r="B18" s="160"/>
      <c r="C18" s="160"/>
      <c r="D18" s="151"/>
      <c r="E18" s="151"/>
      <c r="F18" s="79" t="s">
        <v>271</v>
      </c>
      <c r="G18" s="79" t="s">
        <v>272</v>
      </c>
      <c r="H18" s="151"/>
      <c r="I18" s="151"/>
      <c r="J18" s="151"/>
      <c r="K18" s="151"/>
      <c r="L18" s="79" t="s">
        <v>271</v>
      </c>
      <c r="M18" s="79" t="s">
        <v>272</v>
      </c>
      <c r="N18" s="151"/>
      <c r="O18" s="151"/>
    </row>
    <row r="19" spans="1:15" s="82" customFormat="1" ht="27.75" customHeight="1" x14ac:dyDescent="0.25">
      <c r="A19" s="7" t="s">
        <v>57</v>
      </c>
      <c r="B19" s="8"/>
      <c r="C19" s="9" t="s">
        <v>58</v>
      </c>
      <c r="D19" s="61">
        <f t="shared" ref="D19:O19" si="0">D20+D21</f>
        <v>237220400</v>
      </c>
      <c r="E19" s="61">
        <f t="shared" si="0"/>
        <v>237220400</v>
      </c>
      <c r="F19" s="61">
        <f t="shared" si="0"/>
        <v>179411600</v>
      </c>
      <c r="G19" s="61">
        <f t="shared" si="0"/>
        <v>4717900</v>
      </c>
      <c r="H19" s="61">
        <f t="shared" si="0"/>
        <v>0</v>
      </c>
      <c r="I19" s="61">
        <f t="shared" si="0"/>
        <v>4615200</v>
      </c>
      <c r="J19" s="61">
        <f t="shared" si="0"/>
        <v>1415200</v>
      </c>
      <c r="K19" s="61">
        <f t="shared" si="0"/>
        <v>3200000</v>
      </c>
      <c r="L19" s="61">
        <f t="shared" si="0"/>
        <v>2348000</v>
      </c>
      <c r="M19" s="61">
        <f t="shared" si="0"/>
        <v>90600</v>
      </c>
      <c r="N19" s="61">
        <f t="shared" si="0"/>
        <v>1415200</v>
      </c>
      <c r="O19" s="61">
        <f t="shared" si="0"/>
        <v>241835600</v>
      </c>
    </row>
    <row r="20" spans="1:15" ht="57.75" customHeight="1" x14ac:dyDescent="0.25">
      <c r="A20" s="46" t="s">
        <v>140</v>
      </c>
      <c r="B20" s="46" t="s">
        <v>60</v>
      </c>
      <c r="C20" s="6" t="s">
        <v>141</v>
      </c>
      <c r="D20" s="62">
        <f>'дод 2'!E20+'дод 2'!E56+'дод 2'!E83+'дод 2'!E101+'дод 2'!E123+'дод 2'!E128+'дод 2'!E139+'дод 2'!E166+'дод 2'!E169+'дод 2'!E183+'дод 2'!E188+'дод 2'!E191+'дод 2'!E199</f>
        <v>236910400</v>
      </c>
      <c r="E20" s="62">
        <f>'дод 2'!F20+'дод 2'!F56+'дод 2'!F83+'дод 2'!F101+'дод 2'!F123+'дод 2'!F128+'дод 2'!F139+'дод 2'!F166+'дод 2'!F169+'дод 2'!F183+'дод 2'!F188+'дод 2'!F191+'дод 2'!F199</f>
        <v>236910400</v>
      </c>
      <c r="F20" s="62">
        <f>'дод 2'!G20+'дод 2'!G56+'дод 2'!G83+'дод 2'!G101+'дод 2'!G123+'дод 2'!G128+'дод 2'!G139+'дод 2'!G166+'дод 2'!G169+'дод 2'!G183+'дод 2'!G188+'дод 2'!G191+'дод 2'!G199</f>
        <v>179411600</v>
      </c>
      <c r="G20" s="62">
        <f>'дод 2'!H20+'дод 2'!H56+'дод 2'!H83+'дод 2'!H101+'дод 2'!H123+'дод 2'!H128+'дод 2'!H139+'дод 2'!H166+'дод 2'!H169+'дод 2'!H183+'дод 2'!H188+'дод 2'!H191+'дод 2'!H199</f>
        <v>4717900</v>
      </c>
      <c r="H20" s="62">
        <f>'дод 2'!I20+'дод 2'!I56+'дод 2'!I83+'дод 2'!I101+'дод 2'!I123+'дод 2'!I128+'дод 2'!I139+'дод 2'!I166+'дод 2'!I169+'дод 2'!I183+'дод 2'!I188+'дод 2'!I191+'дод 2'!I199</f>
        <v>0</v>
      </c>
      <c r="I20" s="62">
        <f>'дод 2'!J20+'дод 2'!J56+'дод 2'!J83+'дод 2'!J101+'дод 2'!J123+'дод 2'!J128+'дод 2'!J139+'дод 2'!J166+'дод 2'!J169+'дод 2'!J183+'дод 2'!J188+'дод 2'!J191+'дод 2'!J199</f>
        <v>4615200</v>
      </c>
      <c r="J20" s="62">
        <f>'дод 2'!K20+'дод 2'!K56+'дод 2'!K83+'дод 2'!K101+'дод 2'!K123+'дод 2'!K128+'дод 2'!K139+'дод 2'!K166+'дод 2'!K169+'дод 2'!K183+'дод 2'!K188+'дод 2'!K191+'дод 2'!K199</f>
        <v>1415200</v>
      </c>
      <c r="K20" s="62">
        <f>'дод 2'!L20+'дод 2'!L56+'дод 2'!L83+'дод 2'!L101+'дод 2'!L123+'дод 2'!L128+'дод 2'!L139+'дод 2'!L166+'дод 2'!L169+'дод 2'!L183+'дод 2'!L188+'дод 2'!L191+'дод 2'!L199</f>
        <v>3200000</v>
      </c>
      <c r="L20" s="62">
        <f>'дод 2'!M20+'дод 2'!M56+'дод 2'!M83+'дод 2'!M101+'дод 2'!M123+'дод 2'!M128+'дод 2'!M139+'дод 2'!M166+'дод 2'!M169+'дод 2'!M183+'дод 2'!M188+'дод 2'!M191+'дод 2'!M199</f>
        <v>2348000</v>
      </c>
      <c r="M20" s="62">
        <f>'дод 2'!N20+'дод 2'!N56+'дод 2'!N83+'дод 2'!N101+'дод 2'!N123+'дод 2'!N128+'дод 2'!N139+'дод 2'!N166+'дод 2'!N169+'дод 2'!N183+'дод 2'!N188+'дод 2'!N191+'дод 2'!N199</f>
        <v>90600</v>
      </c>
      <c r="N20" s="62">
        <f>'дод 2'!O20+'дод 2'!O56+'дод 2'!O83+'дод 2'!O101+'дод 2'!O123+'дод 2'!O128+'дод 2'!O139+'дод 2'!O166+'дод 2'!O169+'дод 2'!O183+'дод 2'!O188+'дод 2'!O191+'дод 2'!O199</f>
        <v>1415200</v>
      </c>
      <c r="O20" s="62">
        <f>'дод 2'!P20+'дод 2'!P56+'дод 2'!P83+'дод 2'!P101+'дод 2'!P123+'дод 2'!P128+'дод 2'!P139+'дод 2'!P166+'дод 2'!P169+'дод 2'!P183+'дод 2'!P188+'дод 2'!P191+'дод 2'!P199</f>
        <v>241525600</v>
      </c>
    </row>
    <row r="21" spans="1:15" ht="27" customHeight="1" x14ac:dyDescent="0.25">
      <c r="A21" s="46" t="s">
        <v>59</v>
      </c>
      <c r="B21" s="46" t="s">
        <v>113</v>
      </c>
      <c r="C21" s="6" t="s">
        <v>284</v>
      </c>
      <c r="D21" s="62">
        <f>'дод 2'!E21</f>
        <v>310000</v>
      </c>
      <c r="E21" s="62">
        <f>'дод 2'!F21</f>
        <v>310000</v>
      </c>
      <c r="F21" s="62">
        <f>'дод 2'!G21</f>
        <v>0</v>
      </c>
      <c r="G21" s="62">
        <f>'дод 2'!H21</f>
        <v>0</v>
      </c>
      <c r="H21" s="62">
        <f>'дод 2'!I21</f>
        <v>0</v>
      </c>
      <c r="I21" s="62">
        <f>'дод 2'!J21</f>
        <v>0</v>
      </c>
      <c r="J21" s="62">
        <f>'дод 2'!K21</f>
        <v>0</v>
      </c>
      <c r="K21" s="62">
        <f>'дод 2'!L21</f>
        <v>0</v>
      </c>
      <c r="L21" s="62">
        <f>'дод 2'!M21</f>
        <v>0</v>
      </c>
      <c r="M21" s="62">
        <f>'дод 2'!N21</f>
        <v>0</v>
      </c>
      <c r="N21" s="62">
        <f>'дод 2'!O21</f>
        <v>0</v>
      </c>
      <c r="O21" s="62">
        <f>'дод 2'!P21</f>
        <v>310000</v>
      </c>
    </row>
    <row r="22" spans="1:15" s="82" customFormat="1" ht="24" customHeight="1" x14ac:dyDescent="0.25">
      <c r="A22" s="47" t="s">
        <v>61</v>
      </c>
      <c r="B22" s="48"/>
      <c r="C22" s="9" t="s">
        <v>62</v>
      </c>
      <c r="D22" s="61">
        <f>D24+D26+D28+D30+D31+D32+D34+D35+D36+D37</f>
        <v>990995784</v>
      </c>
      <c r="E22" s="61">
        <f t="shared" ref="E22:O22" si="1">E24+E26+E28+E30+E31+E32+E34+E35+E36+E37</f>
        <v>990995784</v>
      </c>
      <c r="F22" s="61">
        <f t="shared" si="1"/>
        <v>674606927</v>
      </c>
      <c r="G22" s="61">
        <f t="shared" si="1"/>
        <v>81762131</v>
      </c>
      <c r="H22" s="61">
        <f t="shared" si="1"/>
        <v>0</v>
      </c>
      <c r="I22" s="61">
        <f t="shared" si="1"/>
        <v>88616586.640000001</v>
      </c>
      <c r="J22" s="61">
        <f t="shared" si="1"/>
        <v>32520438.640000001</v>
      </c>
      <c r="K22" s="61">
        <f t="shared" si="1"/>
        <v>55986428</v>
      </c>
      <c r="L22" s="61">
        <f t="shared" si="1"/>
        <v>6476192</v>
      </c>
      <c r="M22" s="61">
        <f t="shared" si="1"/>
        <v>3124191</v>
      </c>
      <c r="N22" s="61">
        <f t="shared" si="1"/>
        <v>32630158.640000001</v>
      </c>
      <c r="O22" s="61">
        <f t="shared" si="1"/>
        <v>1079612370.6399999</v>
      </c>
    </row>
    <row r="23" spans="1:15" s="83" customFormat="1" ht="24" customHeight="1" x14ac:dyDescent="0.25">
      <c r="A23" s="47"/>
      <c r="B23" s="48"/>
      <c r="C23" s="2" t="s">
        <v>308</v>
      </c>
      <c r="D23" s="61">
        <f>+D27+D29+D33+D25+D38</f>
        <v>382256478</v>
      </c>
      <c r="E23" s="61">
        <f t="shared" ref="E23:O23" si="2">+E27+E29+E33+E25+E38</f>
        <v>382256478</v>
      </c>
      <c r="F23" s="61">
        <f t="shared" si="2"/>
        <v>307191100</v>
      </c>
      <c r="G23" s="61">
        <f t="shared" si="2"/>
        <v>0</v>
      </c>
      <c r="H23" s="61">
        <f t="shared" si="2"/>
        <v>0</v>
      </c>
      <c r="I23" s="61">
        <f t="shared" si="2"/>
        <v>1486539</v>
      </c>
      <c r="J23" s="61">
        <f t="shared" si="2"/>
        <v>1486539</v>
      </c>
      <c r="K23" s="61">
        <f t="shared" si="2"/>
        <v>0</v>
      </c>
      <c r="L23" s="61">
        <f t="shared" si="2"/>
        <v>0</v>
      </c>
      <c r="M23" s="61">
        <f t="shared" si="2"/>
        <v>0</v>
      </c>
      <c r="N23" s="61">
        <f t="shared" si="2"/>
        <v>1486539</v>
      </c>
      <c r="O23" s="61">
        <f t="shared" si="2"/>
        <v>383743017</v>
      </c>
    </row>
    <row r="24" spans="1:15" ht="27" customHeight="1" x14ac:dyDescent="0.25">
      <c r="A24" s="46" t="s">
        <v>63</v>
      </c>
      <c r="B24" s="46" t="s">
        <v>64</v>
      </c>
      <c r="C24" s="6" t="s">
        <v>171</v>
      </c>
      <c r="D24" s="62">
        <f>'дод 2'!E57</f>
        <v>243244632</v>
      </c>
      <c r="E24" s="62">
        <f>'дод 2'!F57</f>
        <v>243244632</v>
      </c>
      <c r="F24" s="62">
        <f>'дод 2'!G57</f>
        <v>159483510</v>
      </c>
      <c r="G24" s="62">
        <f>'дод 2'!H57</f>
        <v>26923940</v>
      </c>
      <c r="H24" s="62">
        <f>'дод 2'!I57</f>
        <v>0</v>
      </c>
      <c r="I24" s="62">
        <f>'дод 2'!J57</f>
        <v>22916603</v>
      </c>
      <c r="J24" s="62">
        <f>'дод 2'!K57</f>
        <v>6590947</v>
      </c>
      <c r="K24" s="62">
        <f>'дод 2'!L57</f>
        <v>16325656</v>
      </c>
      <c r="L24" s="62">
        <f>'дод 2'!M57</f>
        <v>0</v>
      </c>
      <c r="M24" s="62">
        <f>'дод 2'!N57</f>
        <v>0</v>
      </c>
      <c r="N24" s="62">
        <f>'дод 2'!O57</f>
        <v>6590947</v>
      </c>
      <c r="O24" s="62">
        <f>'дод 2'!P57</f>
        <v>266161235</v>
      </c>
    </row>
    <row r="25" spans="1:15" ht="27" customHeight="1" x14ac:dyDescent="0.25">
      <c r="A25" s="46"/>
      <c r="B25" s="46"/>
      <c r="C25" s="3" t="s">
        <v>308</v>
      </c>
      <c r="D25" s="62">
        <f>'дод 2'!E58</f>
        <v>162879</v>
      </c>
      <c r="E25" s="62">
        <f>'дод 2'!F58</f>
        <v>162879</v>
      </c>
      <c r="F25" s="62">
        <f>'дод 2'!G58</f>
        <v>133510</v>
      </c>
      <c r="G25" s="62">
        <f>'дод 2'!H58</f>
        <v>0</v>
      </c>
      <c r="H25" s="62">
        <f>'дод 2'!I58</f>
        <v>0</v>
      </c>
      <c r="I25" s="62">
        <f>'дод 2'!J58</f>
        <v>80600</v>
      </c>
      <c r="J25" s="62">
        <f>'дод 2'!K58</f>
        <v>80600</v>
      </c>
      <c r="K25" s="62">
        <f>'дод 2'!L58</f>
        <v>0</v>
      </c>
      <c r="L25" s="62">
        <f>'дод 2'!M58</f>
        <v>0</v>
      </c>
      <c r="M25" s="62">
        <f>'дод 2'!N58</f>
        <v>0</v>
      </c>
      <c r="N25" s="62">
        <f>'дод 2'!O58</f>
        <v>80600</v>
      </c>
      <c r="O25" s="62">
        <f>'дод 2'!P58</f>
        <v>243479</v>
      </c>
    </row>
    <row r="26" spans="1:15" ht="55.5" customHeight="1" x14ac:dyDescent="0.25">
      <c r="A26" s="46" t="s">
        <v>65</v>
      </c>
      <c r="B26" s="46" t="s">
        <v>66</v>
      </c>
      <c r="C26" s="6" t="s">
        <v>429</v>
      </c>
      <c r="D26" s="62">
        <f>'дод 2'!E59</f>
        <v>540117903</v>
      </c>
      <c r="E26" s="62">
        <f>'дод 2'!F59</f>
        <v>540117903</v>
      </c>
      <c r="F26" s="62">
        <f>'дод 2'!G59</f>
        <v>378056547</v>
      </c>
      <c r="G26" s="62">
        <f>'дод 2'!H59</f>
        <v>38154564</v>
      </c>
      <c r="H26" s="62">
        <f>'дод 2'!I59</f>
        <v>0</v>
      </c>
      <c r="I26" s="62">
        <f>'дод 2'!J59</f>
        <v>53338835.640000001</v>
      </c>
      <c r="J26" s="62">
        <f>'дод 2'!K59</f>
        <v>24427088.640000001</v>
      </c>
      <c r="K26" s="62">
        <f>'дод 2'!L59</f>
        <v>28911747</v>
      </c>
      <c r="L26" s="62">
        <f>'дод 2'!M59</f>
        <v>1713303</v>
      </c>
      <c r="M26" s="62">
        <f>'дод 2'!N59</f>
        <v>147329</v>
      </c>
      <c r="N26" s="62">
        <f>'дод 2'!O59</f>
        <v>24427088.640000001</v>
      </c>
      <c r="O26" s="62">
        <f>'дод 2'!P59</f>
        <v>593456738.63999999</v>
      </c>
    </row>
    <row r="27" spans="1:15" ht="28.5" customHeight="1" x14ac:dyDescent="0.25">
      <c r="A27" s="46"/>
      <c r="B27" s="46"/>
      <c r="C27" s="3" t="s">
        <v>308</v>
      </c>
      <c r="D27" s="62">
        <f>'дод 2'!E60</f>
        <v>356792090</v>
      </c>
      <c r="E27" s="62">
        <f>'дод 2'!F60</f>
        <v>356792090</v>
      </c>
      <c r="F27" s="62">
        <f>'дод 2'!G60</f>
        <v>286331520</v>
      </c>
      <c r="G27" s="62">
        <f>'дод 2'!H60</f>
        <v>0</v>
      </c>
      <c r="H27" s="62">
        <f>'дод 2'!I60</f>
        <v>0</v>
      </c>
      <c r="I27" s="62">
        <f>'дод 2'!J60</f>
        <v>1384710</v>
      </c>
      <c r="J27" s="62">
        <f>'дод 2'!K60</f>
        <v>1384710</v>
      </c>
      <c r="K27" s="62">
        <f>'дод 2'!L60</f>
        <v>0</v>
      </c>
      <c r="L27" s="62">
        <f>'дод 2'!M60</f>
        <v>0</v>
      </c>
      <c r="M27" s="62">
        <f>'дод 2'!N60</f>
        <v>0</v>
      </c>
      <c r="N27" s="62">
        <f>'дод 2'!O60</f>
        <v>1384710</v>
      </c>
      <c r="O27" s="62">
        <f>'дод 2'!P60</f>
        <v>358176800</v>
      </c>
    </row>
    <row r="28" spans="1:15" ht="75" customHeight="1" x14ac:dyDescent="0.25">
      <c r="A28" s="46">
        <v>1030</v>
      </c>
      <c r="B28" s="46" t="s">
        <v>70</v>
      </c>
      <c r="C28" s="6" t="s">
        <v>430</v>
      </c>
      <c r="D28" s="62">
        <f>'дод 2'!E61</f>
        <v>9444719</v>
      </c>
      <c r="E28" s="62">
        <f>'дод 2'!F61</f>
        <v>9444719</v>
      </c>
      <c r="F28" s="62">
        <f>'дод 2'!G61</f>
        <v>6532300</v>
      </c>
      <c r="G28" s="62">
        <f>'дод 2'!H61</f>
        <v>709270</v>
      </c>
      <c r="H28" s="62">
        <f>'дод 2'!I61</f>
        <v>0</v>
      </c>
      <c r="I28" s="62">
        <f>'дод 2'!J61</f>
        <v>213403</v>
      </c>
      <c r="J28" s="62">
        <f>'дод 2'!K61</f>
        <v>213403</v>
      </c>
      <c r="K28" s="62">
        <f>'дод 2'!L61</f>
        <v>0</v>
      </c>
      <c r="L28" s="62">
        <f>'дод 2'!M61</f>
        <v>0</v>
      </c>
      <c r="M28" s="62">
        <f>'дод 2'!N61</f>
        <v>0</v>
      </c>
      <c r="N28" s="62">
        <f>'дод 2'!O61</f>
        <v>213403</v>
      </c>
      <c r="O28" s="62">
        <f>'дод 2'!P61</f>
        <v>9658122</v>
      </c>
    </row>
    <row r="29" spans="1:15" ht="21.75" customHeight="1" x14ac:dyDescent="0.25">
      <c r="A29" s="46"/>
      <c r="B29" s="46"/>
      <c r="C29" s="3" t="s">
        <v>308</v>
      </c>
      <c r="D29" s="62">
        <f>'дод 2'!E62</f>
        <v>6240139</v>
      </c>
      <c r="E29" s="62">
        <f>'дод 2'!F62</f>
        <v>6240139</v>
      </c>
      <c r="F29" s="62">
        <f>'дод 2'!G62</f>
        <v>5102000</v>
      </c>
      <c r="G29" s="62">
        <f>'дод 2'!H62</f>
        <v>0</v>
      </c>
      <c r="H29" s="62">
        <f>'дод 2'!I62</f>
        <v>0</v>
      </c>
      <c r="I29" s="62">
        <f>'дод 2'!J62</f>
        <v>21229</v>
      </c>
      <c r="J29" s="62">
        <f>'дод 2'!K62</f>
        <v>21229</v>
      </c>
      <c r="K29" s="62">
        <f>'дод 2'!L62</f>
        <v>0</v>
      </c>
      <c r="L29" s="62">
        <f>'дод 2'!M62</f>
        <v>0</v>
      </c>
      <c r="M29" s="62">
        <f>'дод 2'!N62</f>
        <v>0</v>
      </c>
      <c r="N29" s="62">
        <f>'дод 2'!O62</f>
        <v>21229</v>
      </c>
      <c r="O29" s="62">
        <f>'дод 2'!P62</f>
        <v>6261368</v>
      </c>
    </row>
    <row r="30" spans="1:15" ht="40.5" customHeight="1" x14ac:dyDescent="0.25">
      <c r="A30" s="46" t="s">
        <v>71</v>
      </c>
      <c r="B30" s="46" t="s">
        <v>72</v>
      </c>
      <c r="C30" s="6" t="s">
        <v>432</v>
      </c>
      <c r="D30" s="62">
        <f>'дод 2'!E63</f>
        <v>28048440</v>
      </c>
      <c r="E30" s="62">
        <f>'дод 2'!F63</f>
        <v>28048440</v>
      </c>
      <c r="F30" s="62">
        <f>'дод 2'!G63</f>
        <v>19715700</v>
      </c>
      <c r="G30" s="62">
        <f>'дод 2'!H63</f>
        <v>3358190</v>
      </c>
      <c r="H30" s="62">
        <f>'дод 2'!I63</f>
        <v>0</v>
      </c>
      <c r="I30" s="62">
        <f>'дод 2'!J63</f>
        <v>300000</v>
      </c>
      <c r="J30" s="62">
        <f>'дод 2'!K63</f>
        <v>300000</v>
      </c>
      <c r="K30" s="62">
        <f>'дод 2'!L63</f>
        <v>0</v>
      </c>
      <c r="L30" s="62">
        <f>'дод 2'!M63</f>
        <v>0</v>
      </c>
      <c r="M30" s="62">
        <f>'дод 2'!N63</f>
        <v>0</v>
      </c>
      <c r="N30" s="62">
        <f>'дод 2'!O63</f>
        <v>300000</v>
      </c>
      <c r="O30" s="62">
        <f>'дод 2'!P63</f>
        <v>28348440</v>
      </c>
    </row>
    <row r="31" spans="1:15" ht="30.75" customHeight="1" x14ac:dyDescent="0.25">
      <c r="A31" s="46" t="s">
        <v>73</v>
      </c>
      <c r="B31" s="46" t="s">
        <v>72</v>
      </c>
      <c r="C31" s="6" t="s">
        <v>433</v>
      </c>
      <c r="D31" s="62">
        <f>'дод 2'!E129</f>
        <v>39114600</v>
      </c>
      <c r="E31" s="62">
        <f>'дод 2'!F129</f>
        <v>39114600</v>
      </c>
      <c r="F31" s="62">
        <f>'дод 2'!G129</f>
        <v>30830000</v>
      </c>
      <c r="G31" s="62">
        <f>'дод 2'!H129</f>
        <v>793600</v>
      </c>
      <c r="H31" s="62">
        <f>'дод 2'!I129</f>
        <v>0</v>
      </c>
      <c r="I31" s="62">
        <f>'дод 2'!J129</f>
        <v>3336640</v>
      </c>
      <c r="J31" s="62">
        <f>'дод 2'!K129</f>
        <v>557000</v>
      </c>
      <c r="K31" s="62">
        <f>'дод 2'!L129</f>
        <v>2774920</v>
      </c>
      <c r="L31" s="62">
        <f>'дод 2'!M129</f>
        <v>2267316</v>
      </c>
      <c r="M31" s="62">
        <f>'дод 2'!N129</f>
        <v>0</v>
      </c>
      <c r="N31" s="62">
        <f>'дод 2'!O129</f>
        <v>561720</v>
      </c>
      <c r="O31" s="62">
        <f>'дод 2'!P129</f>
        <v>42451240</v>
      </c>
    </row>
    <row r="32" spans="1:15" ht="39.75" customHeight="1" x14ac:dyDescent="0.25">
      <c r="A32" s="46" t="s">
        <v>261</v>
      </c>
      <c r="B32" s="46" t="s">
        <v>74</v>
      </c>
      <c r="C32" s="6" t="s">
        <v>434</v>
      </c>
      <c r="D32" s="62">
        <f>'дод 2'!E64</f>
        <v>117007900</v>
      </c>
      <c r="E32" s="62">
        <f>'дод 2'!F64</f>
        <v>117007900</v>
      </c>
      <c r="F32" s="62">
        <f>'дод 2'!G64</f>
        <v>69744500</v>
      </c>
      <c r="G32" s="62">
        <f>'дод 2'!H64</f>
        <v>11007217</v>
      </c>
      <c r="H32" s="62">
        <f>'дод 2'!I64</f>
        <v>0</v>
      </c>
      <c r="I32" s="62">
        <f>'дод 2'!J64</f>
        <v>8079105</v>
      </c>
      <c r="J32" s="62">
        <f>'дод 2'!K64</f>
        <v>0</v>
      </c>
      <c r="K32" s="62">
        <f>'дод 2'!L64</f>
        <v>7974105</v>
      </c>
      <c r="L32" s="62">
        <f>'дод 2'!M64</f>
        <v>2495573</v>
      </c>
      <c r="M32" s="62">
        <f>'дод 2'!N64</f>
        <v>2976862</v>
      </c>
      <c r="N32" s="62">
        <f>'дод 2'!O64</f>
        <v>105000</v>
      </c>
      <c r="O32" s="62">
        <f>'дод 2'!P64</f>
        <v>125087005</v>
      </c>
    </row>
    <row r="33" spans="1:15" ht="21" customHeight="1" x14ac:dyDescent="0.25">
      <c r="A33" s="46"/>
      <c r="B33" s="46"/>
      <c r="C33" s="3" t="s">
        <v>308</v>
      </c>
      <c r="D33" s="62">
        <f>'дод 2'!E65</f>
        <v>17825000</v>
      </c>
      <c r="E33" s="62">
        <f>'дод 2'!F65</f>
        <v>17825000</v>
      </c>
      <c r="F33" s="62">
        <f>'дод 2'!G65</f>
        <v>14610650</v>
      </c>
      <c r="G33" s="62">
        <f>'дод 2'!H65</f>
        <v>0</v>
      </c>
      <c r="H33" s="62">
        <f>'дод 2'!I65</f>
        <v>0</v>
      </c>
      <c r="I33" s="62">
        <f>'дод 2'!J65</f>
        <v>0</v>
      </c>
      <c r="J33" s="62">
        <f>'дод 2'!K65</f>
        <v>0</v>
      </c>
      <c r="K33" s="62">
        <f>'дод 2'!L65</f>
        <v>0</v>
      </c>
      <c r="L33" s="62">
        <f>'дод 2'!M65</f>
        <v>0</v>
      </c>
      <c r="M33" s="62">
        <f>'дод 2'!N65</f>
        <v>0</v>
      </c>
      <c r="N33" s="62">
        <f>'дод 2'!O65</f>
        <v>0</v>
      </c>
      <c r="O33" s="62">
        <f>'дод 2'!P65</f>
        <v>17825000</v>
      </c>
    </row>
    <row r="34" spans="1:15" ht="33" customHeight="1" x14ac:dyDescent="0.25">
      <c r="A34" s="46" t="s">
        <v>142</v>
      </c>
      <c r="B34" s="46" t="s">
        <v>75</v>
      </c>
      <c r="C34" s="6" t="s">
        <v>435</v>
      </c>
      <c r="D34" s="62">
        <f>'дод 2'!E66</f>
        <v>2893730</v>
      </c>
      <c r="E34" s="62">
        <f>'дод 2'!F66</f>
        <v>2893730</v>
      </c>
      <c r="F34" s="62">
        <f>'дод 2'!G66</f>
        <v>2237500</v>
      </c>
      <c r="G34" s="62">
        <f>'дод 2'!H66</f>
        <v>120380</v>
      </c>
      <c r="H34" s="62">
        <f>'дод 2'!I66</f>
        <v>0</v>
      </c>
      <c r="I34" s="62">
        <f>'дод 2'!J66</f>
        <v>0</v>
      </c>
      <c r="J34" s="62">
        <f>'дод 2'!K66</f>
        <v>0</v>
      </c>
      <c r="K34" s="62">
        <f>'дод 2'!L66</f>
        <v>0</v>
      </c>
      <c r="L34" s="62">
        <f>'дод 2'!M66</f>
        <v>0</v>
      </c>
      <c r="M34" s="62">
        <f>'дод 2'!N66</f>
        <v>0</v>
      </c>
      <c r="N34" s="62">
        <f>'дод 2'!O66</f>
        <v>0</v>
      </c>
      <c r="O34" s="62">
        <f>'дод 2'!P66</f>
        <v>2893730</v>
      </c>
    </row>
    <row r="35" spans="1:15" ht="36" customHeight="1" x14ac:dyDescent="0.25">
      <c r="A35" s="46" t="s">
        <v>327</v>
      </c>
      <c r="B35" s="46" t="s">
        <v>75</v>
      </c>
      <c r="C35" s="6" t="s">
        <v>329</v>
      </c>
      <c r="D35" s="62">
        <f>'дод 2'!E67</f>
        <v>9388520</v>
      </c>
      <c r="E35" s="62">
        <f>'дод 2'!F67</f>
        <v>9388520</v>
      </c>
      <c r="F35" s="62">
        <f>'дод 2'!G67</f>
        <v>6782550</v>
      </c>
      <c r="G35" s="62">
        <f>'дод 2'!H67</f>
        <v>613500</v>
      </c>
      <c r="H35" s="62">
        <f>'дод 2'!I67</f>
        <v>0</v>
      </c>
      <c r="I35" s="62">
        <f>'дод 2'!J67</f>
        <v>432000</v>
      </c>
      <c r="J35" s="62">
        <f>'дод 2'!K67</f>
        <v>432000</v>
      </c>
      <c r="K35" s="62">
        <f>'дод 2'!L67</f>
        <v>0</v>
      </c>
      <c r="L35" s="62">
        <f>'дод 2'!M67</f>
        <v>0</v>
      </c>
      <c r="M35" s="62">
        <f>'дод 2'!N67</f>
        <v>0</v>
      </c>
      <c r="N35" s="62">
        <f>'дод 2'!O67</f>
        <v>432000</v>
      </c>
      <c r="O35" s="62">
        <f>'дод 2'!P67</f>
        <v>9820520</v>
      </c>
    </row>
    <row r="36" spans="1:15" ht="25.5" customHeight="1" x14ac:dyDescent="0.25">
      <c r="A36" s="46" t="s">
        <v>328</v>
      </c>
      <c r="B36" s="46" t="s">
        <v>75</v>
      </c>
      <c r="C36" s="6" t="s">
        <v>330</v>
      </c>
      <c r="D36" s="62">
        <f>'дод 2'!E68</f>
        <v>107400</v>
      </c>
      <c r="E36" s="62">
        <f>'дод 2'!F68</f>
        <v>107400</v>
      </c>
      <c r="F36" s="62">
        <f>'дод 2'!G68</f>
        <v>0</v>
      </c>
      <c r="G36" s="62">
        <f>'дод 2'!H68</f>
        <v>0</v>
      </c>
      <c r="H36" s="62">
        <f>'дод 2'!I68</f>
        <v>0</v>
      </c>
      <c r="I36" s="62">
        <f>'дод 2'!J68</f>
        <v>0</v>
      </c>
      <c r="J36" s="62">
        <f>'дод 2'!K68</f>
        <v>0</v>
      </c>
      <c r="K36" s="62">
        <f>'дод 2'!L68</f>
        <v>0</v>
      </c>
      <c r="L36" s="62">
        <f>'дод 2'!M68</f>
        <v>0</v>
      </c>
      <c r="M36" s="62">
        <f>'дод 2'!N68</f>
        <v>0</v>
      </c>
      <c r="N36" s="62">
        <f>'дод 2'!O68</f>
        <v>0</v>
      </c>
      <c r="O36" s="62">
        <f>'дод 2'!P68</f>
        <v>107400</v>
      </c>
    </row>
    <row r="37" spans="1:15" ht="25.5" customHeight="1" x14ac:dyDescent="0.25">
      <c r="A37" s="46" t="s">
        <v>391</v>
      </c>
      <c r="B37" s="46" t="s">
        <v>75</v>
      </c>
      <c r="C37" s="42" t="s">
        <v>390</v>
      </c>
      <c r="D37" s="62">
        <f>SUM('дод 2'!E69)</f>
        <v>1627940</v>
      </c>
      <c r="E37" s="62">
        <f>SUM('дод 2'!F69)</f>
        <v>1627940</v>
      </c>
      <c r="F37" s="62">
        <f>SUM('дод 2'!G69)</f>
        <v>1224320</v>
      </c>
      <c r="G37" s="62">
        <f>SUM('дод 2'!H69)</f>
        <v>81470</v>
      </c>
      <c r="H37" s="62">
        <f>SUM('дод 2'!I69)</f>
        <v>0</v>
      </c>
      <c r="I37" s="62">
        <f>SUM('дод 2'!J69)</f>
        <v>0</v>
      </c>
      <c r="J37" s="62">
        <f>SUM('дод 2'!K69)</f>
        <v>0</v>
      </c>
      <c r="K37" s="62">
        <f>SUM('дод 2'!L69)</f>
        <v>0</v>
      </c>
      <c r="L37" s="62">
        <f>SUM('дод 2'!M69)</f>
        <v>0</v>
      </c>
      <c r="M37" s="62">
        <f>SUM('дод 2'!N69)</f>
        <v>0</v>
      </c>
      <c r="N37" s="62">
        <f>SUM('дод 2'!O69)</f>
        <v>0</v>
      </c>
      <c r="O37" s="62">
        <f>SUM('дод 2'!P69)</f>
        <v>1627940</v>
      </c>
    </row>
    <row r="38" spans="1:15" ht="15.75" customHeight="1" x14ac:dyDescent="0.25">
      <c r="A38" s="46"/>
      <c r="B38" s="46"/>
      <c r="C38" s="3" t="s">
        <v>308</v>
      </c>
      <c r="D38" s="62">
        <f>'дод 2'!E70</f>
        <v>1236370</v>
      </c>
      <c r="E38" s="62">
        <f>'дод 2'!F70</f>
        <v>1236370</v>
      </c>
      <c r="F38" s="62">
        <f>'дод 2'!G70</f>
        <v>1013420</v>
      </c>
      <c r="G38" s="62">
        <f>'дод 2'!H70</f>
        <v>0</v>
      </c>
      <c r="H38" s="62">
        <f>'дод 2'!I70</f>
        <v>0</v>
      </c>
      <c r="I38" s="62">
        <f>'дод 2'!J70</f>
        <v>0</v>
      </c>
      <c r="J38" s="62">
        <f>'дод 2'!K70</f>
        <v>0</v>
      </c>
      <c r="K38" s="62">
        <f>'дод 2'!L70</f>
        <v>0</v>
      </c>
      <c r="L38" s="62">
        <f>'дод 2'!M70</f>
        <v>0</v>
      </c>
      <c r="M38" s="62">
        <f>'дод 2'!N70</f>
        <v>0</v>
      </c>
      <c r="N38" s="62">
        <f>'дод 2'!O70</f>
        <v>0</v>
      </c>
      <c r="O38" s="62">
        <f>'дод 2'!P70</f>
        <v>1236370</v>
      </c>
    </row>
    <row r="39" spans="1:15" s="82" customFormat="1" ht="19.5" customHeight="1" x14ac:dyDescent="0.25">
      <c r="A39" s="47" t="s">
        <v>76</v>
      </c>
      <c r="B39" s="48"/>
      <c r="C39" s="9" t="s">
        <v>77</v>
      </c>
      <c r="D39" s="61">
        <f>D41+D43+D45+D47+D49+D51+D52</f>
        <v>229000248</v>
      </c>
      <c r="E39" s="61">
        <f t="shared" ref="E39:O39" si="3">E41+E43+E45+E47+E49+E51+E52</f>
        <v>229000248</v>
      </c>
      <c r="F39" s="61">
        <f t="shared" si="3"/>
        <v>0</v>
      </c>
      <c r="G39" s="61">
        <f t="shared" si="3"/>
        <v>0</v>
      </c>
      <c r="H39" s="61">
        <f t="shared" si="3"/>
        <v>0</v>
      </c>
      <c r="I39" s="61">
        <f t="shared" si="3"/>
        <v>78966100</v>
      </c>
      <c r="J39" s="61">
        <f t="shared" si="3"/>
        <v>78966100</v>
      </c>
      <c r="K39" s="61">
        <f t="shared" si="3"/>
        <v>0</v>
      </c>
      <c r="L39" s="61">
        <f t="shared" si="3"/>
        <v>0</v>
      </c>
      <c r="M39" s="61">
        <f t="shared" si="3"/>
        <v>0</v>
      </c>
      <c r="N39" s="61">
        <f t="shared" si="3"/>
        <v>78966100</v>
      </c>
      <c r="O39" s="61">
        <f t="shared" si="3"/>
        <v>307966348</v>
      </c>
    </row>
    <row r="40" spans="1:15" s="82" customFormat="1" ht="23.25" customHeight="1" x14ac:dyDescent="0.25">
      <c r="A40" s="47"/>
      <c r="B40" s="48"/>
      <c r="C40" s="2" t="s">
        <v>308</v>
      </c>
      <c r="D40" s="61">
        <f>D42+D44+D46+D48+D50</f>
        <v>61502848</v>
      </c>
      <c r="E40" s="61">
        <f t="shared" ref="E40:O40" si="4">E42+E44+E46+E48+E50</f>
        <v>61502848</v>
      </c>
      <c r="F40" s="61">
        <f t="shared" si="4"/>
        <v>0</v>
      </c>
      <c r="G40" s="61">
        <f t="shared" si="4"/>
        <v>0</v>
      </c>
      <c r="H40" s="61">
        <f t="shared" si="4"/>
        <v>0</v>
      </c>
      <c r="I40" s="61">
        <f t="shared" si="4"/>
        <v>0</v>
      </c>
      <c r="J40" s="61">
        <f t="shared" si="4"/>
        <v>0</v>
      </c>
      <c r="K40" s="61">
        <f t="shared" si="4"/>
        <v>0</v>
      </c>
      <c r="L40" s="61">
        <f t="shared" si="4"/>
        <v>0</v>
      </c>
      <c r="M40" s="61">
        <f t="shared" si="4"/>
        <v>0</v>
      </c>
      <c r="N40" s="61">
        <f t="shared" si="4"/>
        <v>0</v>
      </c>
      <c r="O40" s="61">
        <f t="shared" si="4"/>
        <v>61502848</v>
      </c>
    </row>
    <row r="41" spans="1:15" ht="31.5" x14ac:dyDescent="0.25">
      <c r="A41" s="46" t="s">
        <v>78</v>
      </c>
      <c r="B41" s="46" t="s">
        <v>79</v>
      </c>
      <c r="C41" s="6" t="s">
        <v>38</v>
      </c>
      <c r="D41" s="62">
        <f>'дод 2'!E84</f>
        <v>121141058</v>
      </c>
      <c r="E41" s="62">
        <f>'дод 2'!F84</f>
        <v>121141058</v>
      </c>
      <c r="F41" s="62">
        <f>'дод 2'!G84</f>
        <v>0</v>
      </c>
      <c r="G41" s="62">
        <f>'дод 2'!H84</f>
        <v>0</v>
      </c>
      <c r="H41" s="62">
        <f>'дод 2'!I84</f>
        <v>0</v>
      </c>
      <c r="I41" s="62">
        <f>'дод 2'!J84</f>
        <v>46795500</v>
      </c>
      <c r="J41" s="62">
        <f>'дод 2'!K84</f>
        <v>46795500</v>
      </c>
      <c r="K41" s="62">
        <f>'дод 2'!L84</f>
        <v>0</v>
      </c>
      <c r="L41" s="62">
        <f>'дод 2'!M84</f>
        <v>0</v>
      </c>
      <c r="M41" s="62">
        <f>'дод 2'!N84</f>
        <v>0</v>
      </c>
      <c r="N41" s="62">
        <f>'дод 2'!O84</f>
        <v>46795500</v>
      </c>
      <c r="O41" s="62">
        <f>'дод 2'!P84</f>
        <v>167936558</v>
      </c>
    </row>
    <row r="42" spans="1:15" ht="15.75" customHeight="1" x14ac:dyDescent="0.25">
      <c r="A42" s="46"/>
      <c r="B42" s="46"/>
      <c r="C42" s="3" t="s">
        <v>308</v>
      </c>
      <c r="D42" s="62">
        <f>'дод 2'!E85</f>
        <v>48187871</v>
      </c>
      <c r="E42" s="62">
        <f>'дод 2'!F85</f>
        <v>48187871</v>
      </c>
      <c r="F42" s="62">
        <f>'дод 2'!G85</f>
        <v>0</v>
      </c>
      <c r="G42" s="62">
        <f>'дод 2'!H85</f>
        <v>0</v>
      </c>
      <c r="H42" s="62">
        <f>'дод 2'!I85</f>
        <v>0</v>
      </c>
      <c r="I42" s="62">
        <f>'дод 2'!J85</f>
        <v>0</v>
      </c>
      <c r="J42" s="62">
        <f>'дод 2'!K85</f>
        <v>0</v>
      </c>
      <c r="K42" s="62">
        <f>'дод 2'!L85</f>
        <v>0</v>
      </c>
      <c r="L42" s="62">
        <f>'дод 2'!M85</f>
        <v>0</v>
      </c>
      <c r="M42" s="62">
        <f>'дод 2'!N85</f>
        <v>0</v>
      </c>
      <c r="N42" s="62">
        <f>'дод 2'!O85</f>
        <v>0</v>
      </c>
      <c r="O42" s="62">
        <f>'дод 2'!P85</f>
        <v>48187871</v>
      </c>
    </row>
    <row r="43" spans="1:15" ht="42.75" customHeight="1" x14ac:dyDescent="0.25">
      <c r="A43" s="46" t="s">
        <v>143</v>
      </c>
      <c r="B43" s="46" t="s">
        <v>80</v>
      </c>
      <c r="C43" s="6" t="s">
        <v>144</v>
      </c>
      <c r="D43" s="62">
        <f>'дод 2'!E86</f>
        <v>15420473</v>
      </c>
      <c r="E43" s="62">
        <f>'дод 2'!F86</f>
        <v>15420473</v>
      </c>
      <c r="F43" s="62">
        <f>'дод 2'!G86</f>
        <v>0</v>
      </c>
      <c r="G43" s="62">
        <f>'дод 2'!H86</f>
        <v>0</v>
      </c>
      <c r="H43" s="62">
        <f>'дод 2'!I86</f>
        <v>0</v>
      </c>
      <c r="I43" s="62">
        <f>'дод 2'!J86</f>
        <v>15040600</v>
      </c>
      <c r="J43" s="62">
        <f>'дод 2'!K86</f>
        <v>15040600</v>
      </c>
      <c r="K43" s="62">
        <f>'дод 2'!L86</f>
        <v>0</v>
      </c>
      <c r="L43" s="62">
        <f>'дод 2'!M86</f>
        <v>0</v>
      </c>
      <c r="M43" s="62">
        <f>'дод 2'!N86</f>
        <v>0</v>
      </c>
      <c r="N43" s="62">
        <f>'дод 2'!O86</f>
        <v>15040600</v>
      </c>
      <c r="O43" s="62">
        <f>'дод 2'!P86</f>
        <v>30461073</v>
      </c>
    </row>
    <row r="44" spans="1:15" ht="24" customHeight="1" x14ac:dyDescent="0.25">
      <c r="A44" s="46"/>
      <c r="B44" s="46"/>
      <c r="C44" s="3" t="s">
        <v>308</v>
      </c>
      <c r="D44" s="62">
        <f>'дод 2'!E87</f>
        <v>6347600</v>
      </c>
      <c r="E44" s="62">
        <f>'дод 2'!F87</f>
        <v>6347600</v>
      </c>
      <c r="F44" s="62">
        <f>'дод 2'!G87</f>
        <v>0</v>
      </c>
      <c r="G44" s="62">
        <f>'дод 2'!H87</f>
        <v>0</v>
      </c>
      <c r="H44" s="62">
        <f>'дод 2'!I87</f>
        <v>0</v>
      </c>
      <c r="I44" s="62">
        <f>'дод 2'!J87</f>
        <v>0</v>
      </c>
      <c r="J44" s="62">
        <f>'дод 2'!K87</f>
        <v>0</v>
      </c>
      <c r="K44" s="62">
        <f>'дод 2'!L87</f>
        <v>0</v>
      </c>
      <c r="L44" s="62">
        <f>'дод 2'!M87</f>
        <v>0</v>
      </c>
      <c r="M44" s="62">
        <f>'дод 2'!N87</f>
        <v>0</v>
      </c>
      <c r="N44" s="62">
        <f>'дод 2'!O87</f>
        <v>0</v>
      </c>
      <c r="O44" s="62">
        <f>'дод 2'!P87</f>
        <v>6347600</v>
      </c>
    </row>
    <row r="45" spans="1:15" ht="25.5" customHeight="1" x14ac:dyDescent="0.25">
      <c r="A45" s="46" t="s">
        <v>145</v>
      </c>
      <c r="B45" s="46" t="s">
        <v>81</v>
      </c>
      <c r="C45" s="6" t="s">
        <v>146</v>
      </c>
      <c r="D45" s="62">
        <f>'дод 2'!E88</f>
        <v>6663426</v>
      </c>
      <c r="E45" s="62">
        <f>'дод 2'!F88</f>
        <v>6663426</v>
      </c>
      <c r="F45" s="62">
        <f>'дод 2'!G88</f>
        <v>0</v>
      </c>
      <c r="G45" s="62">
        <f>'дод 2'!H88</f>
        <v>0</v>
      </c>
      <c r="H45" s="62">
        <f>'дод 2'!I88</f>
        <v>0</v>
      </c>
      <c r="I45" s="62">
        <f>'дод 2'!J88</f>
        <v>1130000</v>
      </c>
      <c r="J45" s="62">
        <f>'дод 2'!K88</f>
        <v>1130000</v>
      </c>
      <c r="K45" s="62">
        <f>'дод 2'!L88</f>
        <v>0</v>
      </c>
      <c r="L45" s="62">
        <f>'дод 2'!M88</f>
        <v>0</v>
      </c>
      <c r="M45" s="62">
        <f>'дод 2'!N88</f>
        <v>0</v>
      </c>
      <c r="N45" s="62">
        <f>'дод 2'!O88</f>
        <v>1130000</v>
      </c>
      <c r="O45" s="62">
        <f>'дод 2'!P88</f>
        <v>7793426</v>
      </c>
    </row>
    <row r="46" spans="1:15" ht="25.5" customHeight="1" x14ac:dyDescent="0.25">
      <c r="A46" s="46"/>
      <c r="B46" s="46"/>
      <c r="C46" s="3" t="s">
        <v>308</v>
      </c>
      <c r="D46" s="62">
        <f>'дод 2'!E89</f>
        <v>1132200</v>
      </c>
      <c r="E46" s="62">
        <f>'дод 2'!F89</f>
        <v>1132200</v>
      </c>
      <c r="F46" s="62">
        <f>'дод 2'!G89</f>
        <v>0</v>
      </c>
      <c r="G46" s="62">
        <f>'дод 2'!H89</f>
        <v>0</v>
      </c>
      <c r="H46" s="62">
        <f>'дод 2'!I89</f>
        <v>0</v>
      </c>
      <c r="I46" s="62">
        <f>'дод 2'!J89</f>
        <v>0</v>
      </c>
      <c r="J46" s="62">
        <f>'дод 2'!K89</f>
        <v>0</v>
      </c>
      <c r="K46" s="62">
        <f>'дод 2'!L89</f>
        <v>0</v>
      </c>
      <c r="L46" s="62">
        <f>'дод 2'!M89</f>
        <v>0</v>
      </c>
      <c r="M46" s="62">
        <f>'дод 2'!N89</f>
        <v>0</v>
      </c>
      <c r="N46" s="62">
        <f>'дод 2'!O89</f>
        <v>0</v>
      </c>
      <c r="O46" s="62">
        <f>'дод 2'!P89</f>
        <v>1132200</v>
      </c>
    </row>
    <row r="47" spans="1:15" ht="54" customHeight="1" x14ac:dyDescent="0.25">
      <c r="A47" s="46" t="s">
        <v>147</v>
      </c>
      <c r="B47" s="46" t="s">
        <v>365</v>
      </c>
      <c r="C47" s="6" t="s">
        <v>148</v>
      </c>
      <c r="D47" s="62">
        <f>'дод 2'!E90</f>
        <v>1984936</v>
      </c>
      <c r="E47" s="62">
        <f>'дод 2'!F90</f>
        <v>1984936</v>
      </c>
      <c r="F47" s="62">
        <f>'дод 2'!G90</f>
        <v>0</v>
      </c>
      <c r="G47" s="62">
        <f>'дод 2'!H90</f>
        <v>0</v>
      </c>
      <c r="H47" s="62">
        <f>'дод 2'!I90</f>
        <v>0</v>
      </c>
      <c r="I47" s="62">
        <f>'дод 2'!J90</f>
        <v>0</v>
      </c>
      <c r="J47" s="62">
        <f>'дод 2'!K90</f>
        <v>0</v>
      </c>
      <c r="K47" s="62">
        <f>'дод 2'!L90</f>
        <v>0</v>
      </c>
      <c r="L47" s="62">
        <f>'дод 2'!M90</f>
        <v>0</v>
      </c>
      <c r="M47" s="62">
        <f>'дод 2'!N90</f>
        <v>0</v>
      </c>
      <c r="N47" s="62">
        <f>'дод 2'!O90</f>
        <v>0</v>
      </c>
      <c r="O47" s="62">
        <f>'дод 2'!P90</f>
        <v>1984936</v>
      </c>
    </row>
    <row r="48" spans="1:15" ht="24.75" customHeight="1" x14ac:dyDescent="0.25">
      <c r="A48" s="49"/>
      <c r="B48" s="46"/>
      <c r="C48" s="3" t="s">
        <v>308</v>
      </c>
      <c r="D48" s="62">
        <f>'дод 2'!E91</f>
        <v>2468</v>
      </c>
      <c r="E48" s="62">
        <f>'дод 2'!F91</f>
        <v>2468</v>
      </c>
      <c r="F48" s="62">
        <f>'дод 2'!G91</f>
        <v>0</v>
      </c>
      <c r="G48" s="62">
        <f>'дод 2'!H91</f>
        <v>0</v>
      </c>
      <c r="H48" s="62">
        <f>'дод 2'!I91</f>
        <v>0</v>
      </c>
      <c r="I48" s="62">
        <f>'дод 2'!J91</f>
        <v>0</v>
      </c>
      <c r="J48" s="62">
        <f>'дод 2'!K91</f>
        <v>0</v>
      </c>
      <c r="K48" s="62">
        <f>'дод 2'!L91</f>
        <v>0</v>
      </c>
      <c r="L48" s="62">
        <f>'дод 2'!M91</f>
        <v>0</v>
      </c>
      <c r="M48" s="62">
        <f>'дод 2'!N91</f>
        <v>0</v>
      </c>
      <c r="N48" s="62">
        <f>'дод 2'!O91</f>
        <v>0</v>
      </c>
      <c r="O48" s="62">
        <f>'дод 2'!P91</f>
        <v>2468</v>
      </c>
    </row>
    <row r="49" spans="1:15" ht="36.75" customHeight="1" x14ac:dyDescent="0.25">
      <c r="A49" s="49">
        <v>2144</v>
      </c>
      <c r="B49" s="46" t="s">
        <v>82</v>
      </c>
      <c r="C49" s="6" t="s">
        <v>149</v>
      </c>
      <c r="D49" s="62">
        <f>'дод 2'!E92</f>
        <v>7432709</v>
      </c>
      <c r="E49" s="62">
        <f>'дод 2'!F92</f>
        <v>7432709</v>
      </c>
      <c r="F49" s="62">
        <f>'дод 2'!G92</f>
        <v>0</v>
      </c>
      <c r="G49" s="62">
        <f>'дод 2'!H92</f>
        <v>0</v>
      </c>
      <c r="H49" s="62">
        <f>'дод 2'!I92</f>
        <v>0</v>
      </c>
      <c r="I49" s="62">
        <f>'дод 2'!J92</f>
        <v>0</v>
      </c>
      <c r="J49" s="62">
        <f>'дод 2'!K92</f>
        <v>0</v>
      </c>
      <c r="K49" s="62">
        <f>'дод 2'!L92</f>
        <v>0</v>
      </c>
      <c r="L49" s="62">
        <f>'дод 2'!M92</f>
        <v>0</v>
      </c>
      <c r="M49" s="62">
        <f>'дод 2'!N92</f>
        <v>0</v>
      </c>
      <c r="N49" s="62">
        <f>'дод 2'!O92</f>
        <v>0</v>
      </c>
      <c r="O49" s="62">
        <f>'дод 2'!P92</f>
        <v>7432709</v>
      </c>
    </row>
    <row r="50" spans="1:15" ht="24.75" customHeight="1" x14ac:dyDescent="0.25">
      <c r="A50" s="49"/>
      <c r="B50" s="46"/>
      <c r="C50" s="3" t="s">
        <v>308</v>
      </c>
      <c r="D50" s="62">
        <f>'дод 2'!E93</f>
        <v>5832709</v>
      </c>
      <c r="E50" s="62">
        <f>'дод 2'!F93</f>
        <v>5832709</v>
      </c>
      <c r="F50" s="62">
        <f>'дод 2'!G93</f>
        <v>0</v>
      </c>
      <c r="G50" s="62">
        <f>'дод 2'!H93</f>
        <v>0</v>
      </c>
      <c r="H50" s="62">
        <f>'дод 2'!I93</f>
        <v>0</v>
      </c>
      <c r="I50" s="62">
        <f>'дод 2'!J93</f>
        <v>0</v>
      </c>
      <c r="J50" s="62">
        <f>'дод 2'!K93</f>
        <v>0</v>
      </c>
      <c r="K50" s="62">
        <f>'дод 2'!L93</f>
        <v>0</v>
      </c>
      <c r="L50" s="62">
        <f>'дод 2'!M93</f>
        <v>0</v>
      </c>
      <c r="M50" s="62">
        <f>'дод 2'!N93</f>
        <v>0</v>
      </c>
      <c r="N50" s="62">
        <f>'дод 2'!O93</f>
        <v>0</v>
      </c>
      <c r="O50" s="62">
        <f>'дод 2'!P93</f>
        <v>5832709</v>
      </c>
    </row>
    <row r="51" spans="1:15" ht="37.5" customHeight="1" x14ac:dyDescent="0.25">
      <c r="A51" s="46" t="s">
        <v>331</v>
      </c>
      <c r="B51" s="46" t="s">
        <v>82</v>
      </c>
      <c r="C51" s="3" t="s">
        <v>333</v>
      </c>
      <c r="D51" s="62">
        <f>'дод 2'!E94</f>
        <v>2894213</v>
      </c>
      <c r="E51" s="62">
        <f>'дод 2'!F94</f>
        <v>2894213</v>
      </c>
      <c r="F51" s="62">
        <f>'дод 2'!G94</f>
        <v>0</v>
      </c>
      <c r="G51" s="62">
        <f>'дод 2'!H94</f>
        <v>0</v>
      </c>
      <c r="H51" s="62">
        <f>'дод 2'!I94</f>
        <v>0</v>
      </c>
      <c r="I51" s="62">
        <f>'дод 2'!J94</f>
        <v>0</v>
      </c>
      <c r="J51" s="62">
        <f>'дод 2'!K94</f>
        <v>0</v>
      </c>
      <c r="K51" s="62">
        <f>'дод 2'!L94</f>
        <v>0</v>
      </c>
      <c r="L51" s="62">
        <f>'дод 2'!M94</f>
        <v>0</v>
      </c>
      <c r="M51" s="62">
        <f>'дод 2'!N94</f>
        <v>0</v>
      </c>
      <c r="N51" s="62">
        <f>'дод 2'!O94</f>
        <v>0</v>
      </c>
      <c r="O51" s="62">
        <f>'дод 2'!P94</f>
        <v>2894213</v>
      </c>
    </row>
    <row r="52" spans="1:15" ht="21.75" customHeight="1" x14ac:dyDescent="0.25">
      <c r="A52" s="46" t="s">
        <v>332</v>
      </c>
      <c r="B52" s="46" t="s">
        <v>82</v>
      </c>
      <c r="C52" s="3" t="s">
        <v>334</v>
      </c>
      <c r="D52" s="62">
        <f>'дод 2'!E95</f>
        <v>73463433</v>
      </c>
      <c r="E52" s="62">
        <f>'дод 2'!F95</f>
        <v>73463433</v>
      </c>
      <c r="F52" s="62">
        <f>'дод 2'!G95</f>
        <v>0</v>
      </c>
      <c r="G52" s="62">
        <f>'дод 2'!H95</f>
        <v>0</v>
      </c>
      <c r="H52" s="62">
        <f>'дод 2'!I95</f>
        <v>0</v>
      </c>
      <c r="I52" s="62">
        <f>'дод 2'!J95</f>
        <v>16000000</v>
      </c>
      <c r="J52" s="62">
        <f>'дод 2'!K95</f>
        <v>16000000</v>
      </c>
      <c r="K52" s="62">
        <f>'дод 2'!L95</f>
        <v>0</v>
      </c>
      <c r="L52" s="62">
        <f>'дод 2'!M95</f>
        <v>0</v>
      </c>
      <c r="M52" s="62">
        <f>'дод 2'!N95</f>
        <v>0</v>
      </c>
      <c r="N52" s="62">
        <f>'дод 2'!O95</f>
        <v>16000000</v>
      </c>
      <c r="O52" s="62">
        <f>'дод 2'!P95</f>
        <v>89463433</v>
      </c>
    </row>
    <row r="53" spans="1:15" s="82" customFormat="1" ht="34.5" customHeight="1" x14ac:dyDescent="0.25">
      <c r="A53" s="47" t="s">
        <v>83</v>
      </c>
      <c r="B53" s="50"/>
      <c r="C53" s="2" t="s">
        <v>84</v>
      </c>
      <c r="D53" s="61">
        <f>SUM(D54+D55+D56+D57+D58+D59+D60+D61+D62+D63+D64+D65+D66+D67+D68+D69+D70+D71+D72+D73+D74+D75+D76)</f>
        <v>128905281.63</v>
      </c>
      <c r="E53" s="61">
        <f t="shared" ref="E53:O53" si="5">SUM(E54+E55+E56+E57+E58+E59+E60+E61+E62+E63+E64+E65+E66+E67+E68+E69+E70+E71+E72+E73+E74+E75+E76)</f>
        <v>128905281.63</v>
      </c>
      <c r="F53" s="61">
        <f t="shared" si="5"/>
        <v>16632985</v>
      </c>
      <c r="G53" s="61">
        <f t="shared" si="5"/>
        <v>887160</v>
      </c>
      <c r="H53" s="61">
        <f t="shared" si="5"/>
        <v>0</v>
      </c>
      <c r="I53" s="61">
        <f t="shared" si="5"/>
        <v>1287640</v>
      </c>
      <c r="J53" s="61">
        <f t="shared" si="5"/>
        <v>1179540</v>
      </c>
      <c r="K53" s="61">
        <f t="shared" si="5"/>
        <v>108100</v>
      </c>
      <c r="L53" s="61">
        <f t="shared" si="5"/>
        <v>85100</v>
      </c>
      <c r="M53" s="61">
        <f t="shared" si="5"/>
        <v>0</v>
      </c>
      <c r="N53" s="61">
        <f t="shared" si="5"/>
        <v>1179540</v>
      </c>
      <c r="O53" s="61">
        <f t="shared" si="5"/>
        <v>130192921.63</v>
      </c>
    </row>
    <row r="54" spans="1:15" ht="45" customHeight="1" x14ac:dyDescent="0.25">
      <c r="A54" s="46" t="s">
        <v>118</v>
      </c>
      <c r="B54" s="46" t="s">
        <v>67</v>
      </c>
      <c r="C54" s="3" t="s">
        <v>150</v>
      </c>
      <c r="D54" s="62">
        <f>'дод 2'!E102</f>
        <v>582400</v>
      </c>
      <c r="E54" s="62">
        <f>'дод 2'!F102</f>
        <v>582400</v>
      </c>
      <c r="F54" s="62">
        <f>'дод 2'!G102</f>
        <v>0</v>
      </c>
      <c r="G54" s="62">
        <f>'дод 2'!H102</f>
        <v>0</v>
      </c>
      <c r="H54" s="62">
        <f>'дод 2'!I102</f>
        <v>0</v>
      </c>
      <c r="I54" s="62">
        <f>'дод 2'!J102</f>
        <v>0</v>
      </c>
      <c r="J54" s="62">
        <f>'дод 2'!K102</f>
        <v>0</v>
      </c>
      <c r="K54" s="62">
        <f>'дод 2'!L102</f>
        <v>0</v>
      </c>
      <c r="L54" s="62">
        <f>'дод 2'!M102</f>
        <v>0</v>
      </c>
      <c r="M54" s="62">
        <f>'дод 2'!N102</f>
        <v>0</v>
      </c>
      <c r="N54" s="62">
        <f>'дод 2'!O102</f>
        <v>0</v>
      </c>
      <c r="O54" s="62">
        <f>'дод 2'!P102</f>
        <v>582400</v>
      </c>
    </row>
    <row r="55" spans="1:15" ht="41.25" customHeight="1" x14ac:dyDescent="0.25">
      <c r="A55" s="46" t="s">
        <v>151</v>
      </c>
      <c r="B55" s="46" t="s">
        <v>69</v>
      </c>
      <c r="C55" s="3" t="s">
        <v>423</v>
      </c>
      <c r="D55" s="62">
        <f>'дод 2'!E103</f>
        <v>1259894</v>
      </c>
      <c r="E55" s="62">
        <f>'дод 2'!F103</f>
        <v>1259894</v>
      </c>
      <c r="F55" s="62">
        <f>'дод 2'!G103</f>
        <v>0</v>
      </c>
      <c r="G55" s="62">
        <f>'дод 2'!H103</f>
        <v>0</v>
      </c>
      <c r="H55" s="62">
        <f>'дод 2'!I103</f>
        <v>0</v>
      </c>
      <c r="I55" s="62">
        <f>'дод 2'!J103</f>
        <v>0</v>
      </c>
      <c r="J55" s="62">
        <f>'дод 2'!K103</f>
        <v>0</v>
      </c>
      <c r="K55" s="62">
        <f>'дод 2'!L103</f>
        <v>0</v>
      </c>
      <c r="L55" s="62">
        <f>'дод 2'!M103</f>
        <v>0</v>
      </c>
      <c r="M55" s="62">
        <f>'дод 2'!N103</f>
        <v>0</v>
      </c>
      <c r="N55" s="62">
        <f>'дод 2'!O103</f>
        <v>0</v>
      </c>
      <c r="O55" s="62">
        <f>'дод 2'!P103</f>
        <v>1259894</v>
      </c>
    </row>
    <row r="56" spans="1:15" ht="54.75" customHeight="1" x14ac:dyDescent="0.25">
      <c r="A56" s="46" t="s">
        <v>119</v>
      </c>
      <c r="B56" s="46" t="s">
        <v>69</v>
      </c>
      <c r="C56" s="3" t="s">
        <v>55</v>
      </c>
      <c r="D56" s="62">
        <f>'дод 2'!E104+'дод 2'!E22</f>
        <v>24145963.129999999</v>
      </c>
      <c r="E56" s="62">
        <f>'дод 2'!F104+'дод 2'!F22</f>
        <v>24145963.129999999</v>
      </c>
      <c r="F56" s="62">
        <f>'дод 2'!G104+'дод 2'!G22</f>
        <v>0</v>
      </c>
      <c r="G56" s="62">
        <f>'дод 2'!H104+'дод 2'!H22</f>
        <v>0</v>
      </c>
      <c r="H56" s="62">
        <f>'дод 2'!I104+'дод 2'!I22</f>
        <v>0</v>
      </c>
      <c r="I56" s="62">
        <f>'дод 2'!J104+'дод 2'!J22</f>
        <v>0</v>
      </c>
      <c r="J56" s="62">
        <f>'дод 2'!K104+'дод 2'!K22</f>
        <v>0</v>
      </c>
      <c r="K56" s="62">
        <f>'дод 2'!L104+'дод 2'!L22</f>
        <v>0</v>
      </c>
      <c r="L56" s="62">
        <f>'дод 2'!M104+'дод 2'!M22</f>
        <v>0</v>
      </c>
      <c r="M56" s="62">
        <f>'дод 2'!N104+'дод 2'!N22</f>
        <v>0</v>
      </c>
      <c r="N56" s="62">
        <f>'дод 2'!O104+'дод 2'!O22</f>
        <v>0</v>
      </c>
      <c r="O56" s="62">
        <f>'дод 2'!P104+'дод 2'!P22</f>
        <v>24145963.129999999</v>
      </c>
    </row>
    <row r="57" spans="1:15" ht="46.5" customHeight="1" x14ac:dyDescent="0.25">
      <c r="A57" s="46" t="s">
        <v>380</v>
      </c>
      <c r="B57" s="46" t="s">
        <v>69</v>
      </c>
      <c r="C57" s="3" t="s">
        <v>379</v>
      </c>
      <c r="D57" s="62">
        <f>'дод 2'!E105</f>
        <v>1000000</v>
      </c>
      <c r="E57" s="62">
        <f>'дод 2'!F105</f>
        <v>1000000</v>
      </c>
      <c r="F57" s="62">
        <f>'дод 2'!G105</f>
        <v>0</v>
      </c>
      <c r="G57" s="62">
        <f>'дод 2'!H105</f>
        <v>0</v>
      </c>
      <c r="H57" s="62">
        <f>'дод 2'!I105</f>
        <v>0</v>
      </c>
      <c r="I57" s="62">
        <f>'дод 2'!J105</f>
        <v>0</v>
      </c>
      <c r="J57" s="62">
        <f>'дод 2'!K105</f>
        <v>0</v>
      </c>
      <c r="K57" s="62">
        <f>'дод 2'!L105</f>
        <v>0</v>
      </c>
      <c r="L57" s="62">
        <f>'дод 2'!M105</f>
        <v>0</v>
      </c>
      <c r="M57" s="62">
        <f>'дод 2'!N105</f>
        <v>0</v>
      </c>
      <c r="N57" s="62">
        <f>'дод 2'!O105</f>
        <v>0</v>
      </c>
      <c r="O57" s="62">
        <f>'дод 2'!P105</f>
        <v>1000000</v>
      </c>
    </row>
    <row r="58" spans="1:15" ht="45" customHeight="1" x14ac:dyDescent="0.25">
      <c r="A58" s="46" t="s">
        <v>152</v>
      </c>
      <c r="B58" s="46" t="s">
        <v>69</v>
      </c>
      <c r="C58" s="3" t="s">
        <v>25</v>
      </c>
      <c r="D58" s="62">
        <f>'дод 2'!E106+'дод 2'!E23</f>
        <v>26348280.5</v>
      </c>
      <c r="E58" s="62">
        <f>'дод 2'!F106+'дод 2'!F23</f>
        <v>26348280.5</v>
      </c>
      <c r="F58" s="62">
        <f>'дод 2'!G106+'дод 2'!G23</f>
        <v>0</v>
      </c>
      <c r="G58" s="62">
        <f>'дод 2'!H106+'дод 2'!H23</f>
        <v>0</v>
      </c>
      <c r="H58" s="62">
        <f>'дод 2'!I106+'дод 2'!I23</f>
        <v>0</v>
      </c>
      <c r="I58" s="62">
        <f>'дод 2'!J106+'дод 2'!J23</f>
        <v>0</v>
      </c>
      <c r="J58" s="62">
        <f>'дод 2'!K106+'дод 2'!K23</f>
        <v>0</v>
      </c>
      <c r="K58" s="62">
        <f>'дод 2'!L106+'дод 2'!L23</f>
        <v>0</v>
      </c>
      <c r="L58" s="62">
        <f>'дод 2'!M106+'дод 2'!M23</f>
        <v>0</v>
      </c>
      <c r="M58" s="62">
        <f>'дод 2'!N106+'дод 2'!N23</f>
        <v>0</v>
      </c>
      <c r="N58" s="62">
        <f>'дод 2'!O106+'дод 2'!O23</f>
        <v>0</v>
      </c>
      <c r="O58" s="62">
        <f>'дод 2'!P106+'дод 2'!P23</f>
        <v>26348280.5</v>
      </c>
    </row>
    <row r="59" spans="1:15" ht="40.5" customHeight="1" x14ac:dyDescent="0.25">
      <c r="A59" s="46" t="s">
        <v>121</v>
      </c>
      <c r="B59" s="46" t="s">
        <v>69</v>
      </c>
      <c r="C59" s="3" t="s">
        <v>41</v>
      </c>
      <c r="D59" s="62">
        <f>'дод 2'!E107</f>
        <v>853000</v>
      </c>
      <c r="E59" s="62">
        <f>'дод 2'!F107</f>
        <v>853000</v>
      </c>
      <c r="F59" s="62">
        <f>'дод 2'!G107</f>
        <v>0</v>
      </c>
      <c r="G59" s="62">
        <f>'дод 2'!H107</f>
        <v>0</v>
      </c>
      <c r="H59" s="62">
        <f>'дод 2'!I107</f>
        <v>0</v>
      </c>
      <c r="I59" s="62">
        <f>'дод 2'!J107</f>
        <v>0</v>
      </c>
      <c r="J59" s="62">
        <f>'дод 2'!K107</f>
        <v>0</v>
      </c>
      <c r="K59" s="62">
        <f>'дод 2'!L107</f>
        <v>0</v>
      </c>
      <c r="L59" s="62">
        <f>'дод 2'!M107</f>
        <v>0</v>
      </c>
      <c r="M59" s="62">
        <f>'дод 2'!N107</f>
        <v>0</v>
      </c>
      <c r="N59" s="62">
        <f>'дод 2'!O107</f>
        <v>0</v>
      </c>
      <c r="O59" s="62">
        <f>'дод 2'!P107</f>
        <v>853000</v>
      </c>
    </row>
    <row r="60" spans="1:15" ht="40.5" customHeight="1" x14ac:dyDescent="0.25">
      <c r="A60" s="46" t="s">
        <v>368</v>
      </c>
      <c r="B60" s="46" t="s">
        <v>67</v>
      </c>
      <c r="C60" s="3" t="s">
        <v>369</v>
      </c>
      <c r="D60" s="62">
        <f>'дод 2'!E108</f>
        <v>228400</v>
      </c>
      <c r="E60" s="62">
        <f>'дод 2'!F108</f>
        <v>228400</v>
      </c>
      <c r="F60" s="62">
        <f>'дод 2'!G108</f>
        <v>0</v>
      </c>
      <c r="G60" s="62">
        <f>'дод 2'!H108</f>
        <v>0</v>
      </c>
      <c r="H60" s="62">
        <f>'дод 2'!I108</f>
        <v>0</v>
      </c>
      <c r="I60" s="62">
        <f>'дод 2'!J108</f>
        <v>0</v>
      </c>
      <c r="J60" s="62">
        <f>'дод 2'!K108</f>
        <v>0</v>
      </c>
      <c r="K60" s="62">
        <f>'дод 2'!L108</f>
        <v>0</v>
      </c>
      <c r="L60" s="62">
        <f>'дод 2'!M108</f>
        <v>0</v>
      </c>
      <c r="M60" s="62">
        <f>'дод 2'!N108</f>
        <v>0</v>
      </c>
      <c r="N60" s="62">
        <f>'дод 2'!O108</f>
        <v>0</v>
      </c>
      <c r="O60" s="62">
        <f>'дод 2'!P108</f>
        <v>228400</v>
      </c>
    </row>
    <row r="61" spans="1:15" ht="74.25" customHeight="1" x14ac:dyDescent="0.25">
      <c r="A61" s="46" t="s">
        <v>122</v>
      </c>
      <c r="B61" s="46" t="s">
        <v>65</v>
      </c>
      <c r="C61" s="3" t="s">
        <v>42</v>
      </c>
      <c r="D61" s="62">
        <f>'дод 2'!E109</f>
        <v>13559330</v>
      </c>
      <c r="E61" s="62">
        <f>'дод 2'!F109</f>
        <v>13559330</v>
      </c>
      <c r="F61" s="62">
        <f>'дод 2'!G109</f>
        <v>10389550</v>
      </c>
      <c r="G61" s="62">
        <f>'дод 2'!H109</f>
        <v>230060</v>
      </c>
      <c r="H61" s="62">
        <f>'дод 2'!I109</f>
        <v>0</v>
      </c>
      <c r="I61" s="62">
        <f>'дод 2'!J109</f>
        <v>471000</v>
      </c>
      <c r="J61" s="62">
        <f>'дод 2'!K109</f>
        <v>362900</v>
      </c>
      <c r="K61" s="62">
        <f>'дод 2'!L109</f>
        <v>108100</v>
      </c>
      <c r="L61" s="62">
        <f>'дод 2'!M109</f>
        <v>85100</v>
      </c>
      <c r="M61" s="62">
        <f>'дод 2'!N109</f>
        <v>0</v>
      </c>
      <c r="N61" s="62">
        <f>'дод 2'!O109</f>
        <v>362900</v>
      </c>
      <c r="O61" s="62">
        <f>'дод 2'!P109</f>
        <v>14030330</v>
      </c>
    </row>
    <row r="62" spans="1:15" ht="69.75" customHeight="1" x14ac:dyDescent="0.25">
      <c r="A62" s="46" t="s">
        <v>392</v>
      </c>
      <c r="B62" s="46" t="s">
        <v>120</v>
      </c>
      <c r="C62" s="42" t="s">
        <v>393</v>
      </c>
      <c r="D62" s="62">
        <f>SUM('дод 2'!E124)</f>
        <v>0</v>
      </c>
      <c r="E62" s="62">
        <f>SUM('дод 2'!F124)</f>
        <v>0</v>
      </c>
      <c r="F62" s="62">
        <f>SUM('дод 2'!G124)</f>
        <v>0</v>
      </c>
      <c r="G62" s="62">
        <f>SUM('дод 2'!H124)</f>
        <v>0</v>
      </c>
      <c r="H62" s="62">
        <f>SUM('дод 2'!I124)</f>
        <v>0</v>
      </c>
      <c r="I62" s="62">
        <f>SUM('дод 2'!J124)</f>
        <v>20000</v>
      </c>
      <c r="J62" s="62">
        <f>SUM('дод 2'!K124)</f>
        <v>20000</v>
      </c>
      <c r="K62" s="62">
        <f>SUM('дод 2'!L124)</f>
        <v>0</v>
      </c>
      <c r="L62" s="62">
        <f>SUM('дод 2'!M124)</f>
        <v>0</v>
      </c>
      <c r="M62" s="62">
        <f>SUM('дод 2'!N124)</f>
        <v>0</v>
      </c>
      <c r="N62" s="62">
        <f>SUM('дод 2'!O124)</f>
        <v>20000</v>
      </c>
      <c r="O62" s="62">
        <f>SUM('дод 2'!P124)</f>
        <v>20000</v>
      </c>
    </row>
    <row r="63" spans="1:15" s="84" customFormat="1" ht="43.5" customHeight="1" x14ac:dyDescent="0.25">
      <c r="A63" s="46" t="s">
        <v>123</v>
      </c>
      <c r="B63" s="46" t="s">
        <v>120</v>
      </c>
      <c r="C63" s="3" t="s">
        <v>43</v>
      </c>
      <c r="D63" s="62">
        <f>'дод 2'!E125</f>
        <v>90500</v>
      </c>
      <c r="E63" s="62">
        <f>'дод 2'!F125</f>
        <v>90500</v>
      </c>
      <c r="F63" s="62">
        <f>'дод 2'!G125</f>
        <v>0</v>
      </c>
      <c r="G63" s="62">
        <f>'дод 2'!H125</f>
        <v>0</v>
      </c>
      <c r="H63" s="62">
        <f>'дод 2'!I125</f>
        <v>0</v>
      </c>
      <c r="I63" s="62">
        <f>'дод 2'!J125</f>
        <v>0</v>
      </c>
      <c r="J63" s="62">
        <f>'дод 2'!K125</f>
        <v>0</v>
      </c>
      <c r="K63" s="62">
        <f>'дод 2'!L125</f>
        <v>0</v>
      </c>
      <c r="L63" s="62">
        <f>'дод 2'!M125</f>
        <v>0</v>
      </c>
      <c r="M63" s="62">
        <f>'дод 2'!N125</f>
        <v>0</v>
      </c>
      <c r="N63" s="62">
        <f>'дод 2'!O125</f>
        <v>0</v>
      </c>
      <c r="O63" s="62">
        <f>'дод 2'!P125</f>
        <v>90500</v>
      </c>
    </row>
    <row r="64" spans="1:15" s="84" customFormat="1" ht="42.75" customHeight="1" x14ac:dyDescent="0.25">
      <c r="A64" s="46" t="s">
        <v>153</v>
      </c>
      <c r="B64" s="46" t="s">
        <v>120</v>
      </c>
      <c r="C64" s="3" t="s">
        <v>154</v>
      </c>
      <c r="D64" s="62">
        <f>'дод 2'!E24</f>
        <v>2529735</v>
      </c>
      <c r="E64" s="62">
        <f>'дод 2'!F24</f>
        <v>2529735</v>
      </c>
      <c r="F64" s="62">
        <f>'дод 2'!G24</f>
        <v>1883250</v>
      </c>
      <c r="G64" s="62">
        <f>'дод 2'!H24</f>
        <v>50170</v>
      </c>
      <c r="H64" s="62">
        <f>'дод 2'!I24</f>
        <v>0</v>
      </c>
      <c r="I64" s="62">
        <f>'дод 2'!J24</f>
        <v>0</v>
      </c>
      <c r="J64" s="62">
        <f>'дод 2'!K24</f>
        <v>0</v>
      </c>
      <c r="K64" s="62">
        <f>'дод 2'!L24</f>
        <v>0</v>
      </c>
      <c r="L64" s="62">
        <f>'дод 2'!M24</f>
        <v>0</v>
      </c>
      <c r="M64" s="62">
        <f>'дод 2'!N24</f>
        <v>0</v>
      </c>
      <c r="N64" s="62">
        <f>'дод 2'!O24</f>
        <v>0</v>
      </c>
      <c r="O64" s="62">
        <f>'дод 2'!P24</f>
        <v>2529735</v>
      </c>
    </row>
    <row r="65" spans="1:15" s="84" customFormat="1" ht="57" customHeight="1" x14ac:dyDescent="0.25">
      <c r="A65" s="49" t="s">
        <v>127</v>
      </c>
      <c r="B65" s="49" t="s">
        <v>120</v>
      </c>
      <c r="C65" s="3" t="s">
        <v>401</v>
      </c>
      <c r="D65" s="62">
        <f>'дод 2'!E25</f>
        <v>850000</v>
      </c>
      <c r="E65" s="62">
        <f>'дод 2'!F25</f>
        <v>850000</v>
      </c>
      <c r="F65" s="62">
        <f>'дод 2'!G25</f>
        <v>0</v>
      </c>
      <c r="G65" s="62">
        <f>'дод 2'!H25</f>
        <v>0</v>
      </c>
      <c r="H65" s="62">
        <f>'дод 2'!I25</f>
        <v>0</v>
      </c>
      <c r="I65" s="62">
        <f>'дод 2'!J25</f>
        <v>0</v>
      </c>
      <c r="J65" s="62">
        <f>'дод 2'!K25</f>
        <v>0</v>
      </c>
      <c r="K65" s="62">
        <f>'дод 2'!L25</f>
        <v>0</v>
      </c>
      <c r="L65" s="62">
        <f>'дод 2'!M25</f>
        <v>0</v>
      </c>
      <c r="M65" s="62">
        <f>'дод 2'!N25</f>
        <v>0</v>
      </c>
      <c r="N65" s="62">
        <f>'дод 2'!O25</f>
        <v>0</v>
      </c>
      <c r="O65" s="62">
        <f>'дод 2'!P25</f>
        <v>850000</v>
      </c>
    </row>
    <row r="66" spans="1:15" ht="75" customHeight="1" x14ac:dyDescent="0.25">
      <c r="A66" s="46" t="s">
        <v>128</v>
      </c>
      <c r="B66" s="46" t="s">
        <v>120</v>
      </c>
      <c r="C66" s="6" t="s">
        <v>28</v>
      </c>
      <c r="D66" s="62">
        <f>'дод 2'!E71+'дод 2'!E26</f>
        <v>7560000</v>
      </c>
      <c r="E66" s="62">
        <f>'дод 2'!F71+'дод 2'!F26</f>
        <v>7560000</v>
      </c>
      <c r="F66" s="62">
        <f>'дод 2'!G71+'дод 2'!G26</f>
        <v>0</v>
      </c>
      <c r="G66" s="62">
        <f>'дод 2'!H71+'дод 2'!H26</f>
        <v>0</v>
      </c>
      <c r="H66" s="62">
        <f>'дод 2'!I71+'дод 2'!I26</f>
        <v>0</v>
      </c>
      <c r="I66" s="62">
        <f>'дод 2'!J71+'дод 2'!J26</f>
        <v>0</v>
      </c>
      <c r="J66" s="62">
        <f>'дод 2'!K71+'дод 2'!K26</f>
        <v>0</v>
      </c>
      <c r="K66" s="62">
        <f>'дод 2'!L71+'дод 2'!L26</f>
        <v>0</v>
      </c>
      <c r="L66" s="62">
        <f>'дод 2'!M71+'дод 2'!M26</f>
        <v>0</v>
      </c>
      <c r="M66" s="62">
        <f>'дод 2'!N71+'дод 2'!N26</f>
        <v>0</v>
      </c>
      <c r="N66" s="62">
        <f>'дод 2'!O71+'дод 2'!O26</f>
        <v>0</v>
      </c>
      <c r="O66" s="62">
        <f>'дод 2'!P71+'дод 2'!P26</f>
        <v>7560000</v>
      </c>
    </row>
    <row r="67" spans="1:15" ht="92.25" customHeight="1" x14ac:dyDescent="0.25">
      <c r="A67" s="46" t="s">
        <v>129</v>
      </c>
      <c r="B67" s="46">
        <v>1010</v>
      </c>
      <c r="C67" s="3" t="s">
        <v>335</v>
      </c>
      <c r="D67" s="62">
        <f>'дод 2'!E110</f>
        <v>1884220</v>
      </c>
      <c r="E67" s="62">
        <f>'дод 2'!F110</f>
        <v>1884220</v>
      </c>
      <c r="F67" s="62">
        <f>'дод 2'!G110</f>
        <v>0</v>
      </c>
      <c r="G67" s="62">
        <f>'дод 2'!H110</f>
        <v>0</v>
      </c>
      <c r="H67" s="62">
        <f>'дод 2'!I110</f>
        <v>0</v>
      </c>
      <c r="I67" s="62">
        <f>'дод 2'!J110</f>
        <v>0</v>
      </c>
      <c r="J67" s="62">
        <f>'дод 2'!K110</f>
        <v>0</v>
      </c>
      <c r="K67" s="62">
        <f>'дод 2'!L110</f>
        <v>0</v>
      </c>
      <c r="L67" s="62">
        <f>'дод 2'!M110</f>
        <v>0</v>
      </c>
      <c r="M67" s="62">
        <f>'дод 2'!N110</f>
        <v>0</v>
      </c>
      <c r="N67" s="62">
        <f>'дод 2'!O110</f>
        <v>0</v>
      </c>
      <c r="O67" s="62">
        <f>'дод 2'!P110</f>
        <v>1884220</v>
      </c>
    </row>
    <row r="68" spans="1:15" s="84" customFormat="1" ht="53.25" customHeight="1" x14ac:dyDescent="0.25">
      <c r="A68" s="46" t="s">
        <v>370</v>
      </c>
      <c r="B68" s="46">
        <v>1010</v>
      </c>
      <c r="C68" s="3" t="s">
        <v>372</v>
      </c>
      <c r="D68" s="62">
        <f>'дод 2'!E111</f>
        <v>228095</v>
      </c>
      <c r="E68" s="62">
        <f>'дод 2'!F111</f>
        <v>228095</v>
      </c>
      <c r="F68" s="62">
        <f>'дод 2'!G111</f>
        <v>0</v>
      </c>
      <c r="G68" s="62">
        <f>'дод 2'!H111</f>
        <v>0</v>
      </c>
      <c r="H68" s="62">
        <f>'дод 2'!I111</f>
        <v>0</v>
      </c>
      <c r="I68" s="62">
        <f>'дод 2'!J111</f>
        <v>0</v>
      </c>
      <c r="J68" s="62">
        <f>'дод 2'!K111</f>
        <v>0</v>
      </c>
      <c r="K68" s="62">
        <f>'дод 2'!L111</f>
        <v>0</v>
      </c>
      <c r="L68" s="62">
        <f>'дод 2'!M111</f>
        <v>0</v>
      </c>
      <c r="M68" s="62">
        <f>'дод 2'!N111</f>
        <v>0</v>
      </c>
      <c r="N68" s="62">
        <f>'дод 2'!O111</f>
        <v>0</v>
      </c>
      <c r="O68" s="62">
        <f>'дод 2'!P111</f>
        <v>228095</v>
      </c>
    </row>
    <row r="69" spans="1:15" s="84" customFormat="1" ht="38.25" customHeight="1" x14ac:dyDescent="0.25">
      <c r="A69" s="46" t="s">
        <v>371</v>
      </c>
      <c r="B69" s="46">
        <v>1010</v>
      </c>
      <c r="C69" s="3" t="s">
        <v>373</v>
      </c>
      <c r="D69" s="62">
        <f>'дод 2'!E112</f>
        <v>90</v>
      </c>
      <c r="E69" s="62">
        <f>'дод 2'!F112</f>
        <v>90</v>
      </c>
      <c r="F69" s="62">
        <f>'дод 2'!G112</f>
        <v>0</v>
      </c>
      <c r="G69" s="62">
        <f>'дод 2'!H112</f>
        <v>0</v>
      </c>
      <c r="H69" s="62">
        <f>'дод 2'!I112</f>
        <v>0</v>
      </c>
      <c r="I69" s="62">
        <f>'дод 2'!J112</f>
        <v>0</v>
      </c>
      <c r="J69" s="62">
        <f>'дод 2'!K112</f>
        <v>0</v>
      </c>
      <c r="K69" s="62">
        <f>'дод 2'!L112</f>
        <v>0</v>
      </c>
      <c r="L69" s="62">
        <f>'дод 2'!M112</f>
        <v>0</v>
      </c>
      <c r="M69" s="62">
        <f>'дод 2'!N112</f>
        <v>0</v>
      </c>
      <c r="N69" s="62">
        <f>'дод 2'!O112</f>
        <v>0</v>
      </c>
      <c r="O69" s="62">
        <f>'дод 2'!P112</f>
        <v>90</v>
      </c>
    </row>
    <row r="70" spans="1:15" ht="77.25" customHeight="1" x14ac:dyDescent="0.25">
      <c r="A70" s="46" t="s">
        <v>124</v>
      </c>
      <c r="B70" s="46" t="s">
        <v>68</v>
      </c>
      <c r="C70" s="3" t="s">
        <v>402</v>
      </c>
      <c r="D70" s="62">
        <f>'дод 2'!E113</f>
        <v>2075000</v>
      </c>
      <c r="E70" s="62">
        <f>'дод 2'!F113</f>
        <v>2075000</v>
      </c>
      <c r="F70" s="62">
        <f>'дод 2'!G113</f>
        <v>0</v>
      </c>
      <c r="G70" s="62">
        <f>'дод 2'!H113</f>
        <v>0</v>
      </c>
      <c r="H70" s="62">
        <f>'дод 2'!I113</f>
        <v>0</v>
      </c>
      <c r="I70" s="62">
        <f>'дод 2'!J113</f>
        <v>0</v>
      </c>
      <c r="J70" s="62">
        <f>'дод 2'!K113</f>
        <v>0</v>
      </c>
      <c r="K70" s="62">
        <f>'дод 2'!L113</f>
        <v>0</v>
      </c>
      <c r="L70" s="62">
        <f>'дод 2'!M113</f>
        <v>0</v>
      </c>
      <c r="M70" s="62">
        <f>'дод 2'!N113</f>
        <v>0</v>
      </c>
      <c r="N70" s="62">
        <f>'дод 2'!O113</f>
        <v>0</v>
      </c>
      <c r="O70" s="62">
        <f>'дод 2'!P113</f>
        <v>2075000</v>
      </c>
    </row>
    <row r="71" spans="1:15" s="84" customFormat="1" ht="36.75" customHeight="1" x14ac:dyDescent="0.25">
      <c r="A71" s="46" t="s">
        <v>336</v>
      </c>
      <c r="B71" s="46" t="s">
        <v>67</v>
      </c>
      <c r="C71" s="3" t="s">
        <v>24</v>
      </c>
      <c r="D71" s="62">
        <f>'дод 2'!E114</f>
        <v>2170968</v>
      </c>
      <c r="E71" s="62">
        <f>'дод 2'!F114</f>
        <v>2170968</v>
      </c>
      <c r="F71" s="62">
        <f>'дод 2'!G114</f>
        <v>0</v>
      </c>
      <c r="G71" s="62">
        <f>'дод 2'!H114</f>
        <v>0</v>
      </c>
      <c r="H71" s="62">
        <f>'дод 2'!I114</f>
        <v>0</v>
      </c>
      <c r="I71" s="62">
        <f>'дод 2'!J114</f>
        <v>0</v>
      </c>
      <c r="J71" s="62">
        <f>'дод 2'!K114</f>
        <v>0</v>
      </c>
      <c r="K71" s="62">
        <f>'дод 2'!L114</f>
        <v>0</v>
      </c>
      <c r="L71" s="62">
        <f>'дод 2'!M114</f>
        <v>0</v>
      </c>
      <c r="M71" s="62">
        <f>'дод 2'!N114</f>
        <v>0</v>
      </c>
      <c r="N71" s="62">
        <f>'дод 2'!O114</f>
        <v>0</v>
      </c>
      <c r="O71" s="62">
        <f>'дод 2'!P114</f>
        <v>2170968</v>
      </c>
    </row>
    <row r="72" spans="1:15" s="84" customFormat="1" ht="55.5" customHeight="1" x14ac:dyDescent="0.25">
      <c r="A72" s="46" t="s">
        <v>337</v>
      </c>
      <c r="B72" s="46" t="s">
        <v>67</v>
      </c>
      <c r="C72" s="3" t="s">
        <v>366</v>
      </c>
      <c r="D72" s="62">
        <f>'дод 2'!E115</f>
        <v>1892237</v>
      </c>
      <c r="E72" s="62">
        <f>'дод 2'!F115</f>
        <v>1892237</v>
      </c>
      <c r="F72" s="62">
        <f>'дод 2'!G115</f>
        <v>0</v>
      </c>
      <c r="G72" s="62">
        <f>'дод 2'!H115</f>
        <v>0</v>
      </c>
      <c r="H72" s="62">
        <f>'дод 2'!I115</f>
        <v>0</v>
      </c>
      <c r="I72" s="62">
        <f>'дод 2'!J115</f>
        <v>0</v>
      </c>
      <c r="J72" s="62">
        <f>'дод 2'!K115</f>
        <v>0</v>
      </c>
      <c r="K72" s="62">
        <f>'дод 2'!L115</f>
        <v>0</v>
      </c>
      <c r="L72" s="62">
        <f>'дод 2'!M115</f>
        <v>0</v>
      </c>
      <c r="M72" s="62">
        <f>'дод 2'!N115</f>
        <v>0</v>
      </c>
      <c r="N72" s="62">
        <f>'дод 2'!O115</f>
        <v>0</v>
      </c>
      <c r="O72" s="62">
        <f>'дод 2'!P115</f>
        <v>1892237</v>
      </c>
    </row>
    <row r="73" spans="1:15" ht="43.5" customHeight="1" x14ac:dyDescent="0.25">
      <c r="A73" s="46" t="s">
        <v>125</v>
      </c>
      <c r="B73" s="46" t="s">
        <v>71</v>
      </c>
      <c r="C73" s="3" t="s">
        <v>403</v>
      </c>
      <c r="D73" s="62">
        <f>'дод 2'!E116</f>
        <v>86500</v>
      </c>
      <c r="E73" s="62">
        <f>'дод 2'!F116</f>
        <v>86500</v>
      </c>
      <c r="F73" s="62">
        <f>'дод 2'!G116</f>
        <v>0</v>
      </c>
      <c r="G73" s="62">
        <f>'дод 2'!H116</f>
        <v>0</v>
      </c>
      <c r="H73" s="62">
        <f>'дод 2'!I116</f>
        <v>0</v>
      </c>
      <c r="I73" s="62">
        <f>'дод 2'!J116</f>
        <v>0</v>
      </c>
      <c r="J73" s="62">
        <f>'дод 2'!K116</f>
        <v>0</v>
      </c>
      <c r="K73" s="62">
        <f>'дод 2'!L116</f>
        <v>0</v>
      </c>
      <c r="L73" s="62">
        <f>'дод 2'!M116</f>
        <v>0</v>
      </c>
      <c r="M73" s="62">
        <f>'дод 2'!N116</f>
        <v>0</v>
      </c>
      <c r="N73" s="62">
        <f>'дод 2'!O116</f>
        <v>0</v>
      </c>
      <c r="O73" s="62">
        <f>'дод 2'!P116</f>
        <v>86500</v>
      </c>
    </row>
    <row r="74" spans="1:15" ht="27.75" customHeight="1" x14ac:dyDescent="0.25">
      <c r="A74" s="46" t="s">
        <v>338</v>
      </c>
      <c r="B74" s="46" t="s">
        <v>126</v>
      </c>
      <c r="C74" s="3" t="s">
        <v>50</v>
      </c>
      <c r="D74" s="62">
        <f>'дод 2'!E117+'дод 2'!E140</f>
        <v>600000</v>
      </c>
      <c r="E74" s="62">
        <f>'дод 2'!F117+'дод 2'!F140</f>
        <v>600000</v>
      </c>
      <c r="F74" s="62">
        <f>'дод 2'!G117+'дод 2'!G140</f>
        <v>163935</v>
      </c>
      <c r="G74" s="62">
        <f>'дод 2'!H117+'дод 2'!H140</f>
        <v>0</v>
      </c>
      <c r="H74" s="62">
        <f>'дод 2'!I117+'дод 2'!I140</f>
        <v>0</v>
      </c>
      <c r="I74" s="62">
        <f>'дод 2'!J117+'дод 2'!J140</f>
        <v>0</v>
      </c>
      <c r="J74" s="62">
        <f>'дод 2'!K117+'дод 2'!K140</f>
        <v>0</v>
      </c>
      <c r="K74" s="62">
        <f>'дод 2'!L117+'дод 2'!L140</f>
        <v>0</v>
      </c>
      <c r="L74" s="62">
        <f>'дод 2'!M117+'дод 2'!M140</f>
        <v>0</v>
      </c>
      <c r="M74" s="62">
        <f>'дод 2'!N117+'дод 2'!N140</f>
        <v>0</v>
      </c>
      <c r="N74" s="62">
        <f>'дод 2'!O117+'дод 2'!O140</f>
        <v>0</v>
      </c>
      <c r="O74" s="62">
        <f>'дод 2'!P117+'дод 2'!P140</f>
        <v>600000</v>
      </c>
    </row>
    <row r="75" spans="1:15" s="84" customFormat="1" ht="32.25" customHeight="1" x14ac:dyDescent="0.25">
      <c r="A75" s="46" t="s">
        <v>339</v>
      </c>
      <c r="B75" s="46" t="s">
        <v>71</v>
      </c>
      <c r="C75" s="3" t="s">
        <v>341</v>
      </c>
      <c r="D75" s="62">
        <f>'дод 2'!E118+'дод 2'!E27</f>
        <v>6719301</v>
      </c>
      <c r="E75" s="62">
        <f>'дод 2'!F118+'дод 2'!F27</f>
        <v>6719301</v>
      </c>
      <c r="F75" s="62">
        <f>'дод 2'!G118+'дод 2'!G27</f>
        <v>4196250</v>
      </c>
      <c r="G75" s="62">
        <f>'дод 2'!H118+'дод 2'!H27</f>
        <v>606930</v>
      </c>
      <c r="H75" s="62">
        <f>'дод 2'!I118+'дод 2'!I27</f>
        <v>0</v>
      </c>
      <c r="I75" s="62">
        <f>'дод 2'!J118+'дод 2'!J27</f>
        <v>761000</v>
      </c>
      <c r="J75" s="62">
        <f>'дод 2'!K118+'дод 2'!K27</f>
        <v>761000</v>
      </c>
      <c r="K75" s="62">
        <f>'дод 2'!L118+'дод 2'!L27</f>
        <v>0</v>
      </c>
      <c r="L75" s="62">
        <f>'дод 2'!M118+'дод 2'!M27</f>
        <v>0</v>
      </c>
      <c r="M75" s="62">
        <f>'дод 2'!N118+'дод 2'!N27</f>
        <v>0</v>
      </c>
      <c r="N75" s="62">
        <f>'дод 2'!O118+'дод 2'!O27</f>
        <v>761000</v>
      </c>
      <c r="O75" s="62">
        <f>'дод 2'!P118+'дод 2'!P27</f>
        <v>7480301</v>
      </c>
    </row>
    <row r="76" spans="1:15" s="84" customFormat="1" ht="31.5" customHeight="1" x14ac:dyDescent="0.25">
      <c r="A76" s="46" t="s">
        <v>340</v>
      </c>
      <c r="B76" s="46" t="s">
        <v>71</v>
      </c>
      <c r="C76" s="3" t="s">
        <v>342</v>
      </c>
      <c r="D76" s="62">
        <f>'дод 2'!E72+'дод 2'!E119+'дод 2'!E28</f>
        <v>34241368</v>
      </c>
      <c r="E76" s="62">
        <f>'дод 2'!F72+'дод 2'!F119+'дод 2'!F28</f>
        <v>34241368</v>
      </c>
      <c r="F76" s="62">
        <f>'дод 2'!G72+'дод 2'!G119+'дод 2'!G28</f>
        <v>0</v>
      </c>
      <c r="G76" s="62">
        <f>'дод 2'!H72+'дод 2'!H119+'дод 2'!H28</f>
        <v>0</v>
      </c>
      <c r="H76" s="62">
        <f>'дод 2'!I72+'дод 2'!I119+'дод 2'!I28</f>
        <v>0</v>
      </c>
      <c r="I76" s="62">
        <f>'дод 2'!J72+'дод 2'!J119+'дод 2'!J28</f>
        <v>35640</v>
      </c>
      <c r="J76" s="62">
        <f>'дод 2'!K72+'дод 2'!K119+'дод 2'!K28</f>
        <v>35640</v>
      </c>
      <c r="K76" s="62">
        <f>'дод 2'!L72+'дод 2'!L119+'дод 2'!L28</f>
        <v>0</v>
      </c>
      <c r="L76" s="62">
        <f>'дод 2'!M72+'дод 2'!M119+'дод 2'!M28</f>
        <v>0</v>
      </c>
      <c r="M76" s="62">
        <f>'дод 2'!N72+'дод 2'!N119+'дод 2'!N28</f>
        <v>0</v>
      </c>
      <c r="N76" s="62">
        <f>'дод 2'!O72+'дод 2'!O119+'дод 2'!O28</f>
        <v>35640</v>
      </c>
      <c r="O76" s="62">
        <f>'дод 2'!P72+'дод 2'!P119+'дод 2'!P28</f>
        <v>34277008</v>
      </c>
    </row>
    <row r="77" spans="1:15" s="82" customFormat="1" ht="19.5" customHeight="1" x14ac:dyDescent="0.25">
      <c r="A77" s="47" t="s">
        <v>90</v>
      </c>
      <c r="B77" s="50"/>
      <c r="C77" s="2" t="s">
        <v>91</v>
      </c>
      <c r="D77" s="61">
        <f t="shared" ref="D77:O77" si="6">D78+D79+D80+D81</f>
        <v>32782865</v>
      </c>
      <c r="E77" s="61">
        <f t="shared" si="6"/>
        <v>32782865</v>
      </c>
      <c r="F77" s="61">
        <f t="shared" si="6"/>
        <v>19079400</v>
      </c>
      <c r="G77" s="61">
        <f t="shared" si="6"/>
        <v>2209260</v>
      </c>
      <c r="H77" s="61">
        <f t="shared" si="6"/>
        <v>0</v>
      </c>
      <c r="I77" s="61">
        <f t="shared" si="6"/>
        <v>623495</v>
      </c>
      <c r="J77" s="61">
        <f t="shared" si="6"/>
        <v>587495</v>
      </c>
      <c r="K77" s="61">
        <f t="shared" si="6"/>
        <v>36000</v>
      </c>
      <c r="L77" s="61">
        <f t="shared" si="6"/>
        <v>12100</v>
      </c>
      <c r="M77" s="61">
        <f t="shared" si="6"/>
        <v>3300</v>
      </c>
      <c r="N77" s="61">
        <f t="shared" si="6"/>
        <v>587495</v>
      </c>
      <c r="O77" s="61">
        <f t="shared" si="6"/>
        <v>33406360</v>
      </c>
    </row>
    <row r="78" spans="1:15" ht="22.5" customHeight="1" x14ac:dyDescent="0.25">
      <c r="A78" s="46" t="s">
        <v>92</v>
      </c>
      <c r="B78" s="46" t="s">
        <v>93</v>
      </c>
      <c r="C78" s="3" t="s">
        <v>21</v>
      </c>
      <c r="D78" s="62">
        <f>'дод 2'!E130</f>
        <v>19303085</v>
      </c>
      <c r="E78" s="62">
        <f>'дод 2'!F130</f>
        <v>19303085</v>
      </c>
      <c r="F78" s="62">
        <f>'дод 2'!G130</f>
        <v>13804000</v>
      </c>
      <c r="G78" s="62">
        <f>'дод 2'!H130</f>
        <v>1346200</v>
      </c>
      <c r="H78" s="62">
        <f>'дод 2'!I130</f>
        <v>0</v>
      </c>
      <c r="I78" s="62">
        <f>'дод 2'!J130</f>
        <v>346795</v>
      </c>
      <c r="J78" s="62">
        <f>'дод 2'!K130</f>
        <v>316795</v>
      </c>
      <c r="K78" s="62">
        <f>'дод 2'!L130</f>
        <v>30000</v>
      </c>
      <c r="L78" s="62">
        <f>'дод 2'!M130</f>
        <v>12100</v>
      </c>
      <c r="M78" s="62">
        <f>'дод 2'!N130</f>
        <v>0</v>
      </c>
      <c r="N78" s="62">
        <f>'дод 2'!O130</f>
        <v>316795</v>
      </c>
      <c r="O78" s="62">
        <f>'дод 2'!P130</f>
        <v>19649880</v>
      </c>
    </row>
    <row r="79" spans="1:15" ht="33.75" customHeight="1" x14ac:dyDescent="0.25">
      <c r="A79" s="46" t="s">
        <v>376</v>
      </c>
      <c r="B79" s="46" t="s">
        <v>377</v>
      </c>
      <c r="C79" s="3" t="s">
        <v>378</v>
      </c>
      <c r="D79" s="62">
        <f>'дод 2'!E29+'дод 2'!E131</f>
        <v>5273180</v>
      </c>
      <c r="E79" s="62">
        <f>'дод 2'!F29+'дод 2'!F131</f>
        <v>5273180</v>
      </c>
      <c r="F79" s="62">
        <f>'дод 2'!G29+'дод 2'!G131</f>
        <v>2522400</v>
      </c>
      <c r="G79" s="62">
        <f>'дод 2'!H29+'дод 2'!H131</f>
        <v>738960</v>
      </c>
      <c r="H79" s="62">
        <f>'дод 2'!I29+'дод 2'!I131</f>
        <v>0</v>
      </c>
      <c r="I79" s="62">
        <f>'дод 2'!J29+'дод 2'!J131</f>
        <v>52700</v>
      </c>
      <c r="J79" s="62">
        <f>'дод 2'!K29+'дод 2'!K131</f>
        <v>46700</v>
      </c>
      <c r="K79" s="62">
        <f>'дод 2'!L29+'дод 2'!L131</f>
        <v>6000</v>
      </c>
      <c r="L79" s="62">
        <f>'дод 2'!M29+'дод 2'!M131</f>
        <v>0</v>
      </c>
      <c r="M79" s="62">
        <f>'дод 2'!N29+'дод 2'!N131</f>
        <v>3300</v>
      </c>
      <c r="N79" s="62">
        <f>'дод 2'!O29+'дод 2'!O131</f>
        <v>46700</v>
      </c>
      <c r="O79" s="62">
        <f>'дод 2'!P29+'дод 2'!P131</f>
        <v>5325880</v>
      </c>
    </row>
    <row r="80" spans="1:15" s="84" customFormat="1" ht="39.75" customHeight="1" x14ac:dyDescent="0.25">
      <c r="A80" s="46" t="s">
        <v>343</v>
      </c>
      <c r="B80" s="46" t="s">
        <v>94</v>
      </c>
      <c r="C80" s="3" t="s">
        <v>404</v>
      </c>
      <c r="D80" s="62">
        <f>'дод 2'!E30+'дод 2'!E132</f>
        <v>5240900</v>
      </c>
      <c r="E80" s="62">
        <f>'дод 2'!F30+'дод 2'!F132</f>
        <v>5240900</v>
      </c>
      <c r="F80" s="62">
        <f>'дод 2'!G30+'дод 2'!G132</f>
        <v>2753000</v>
      </c>
      <c r="G80" s="62">
        <f>'дод 2'!H30+'дод 2'!H132</f>
        <v>124100</v>
      </c>
      <c r="H80" s="62">
        <f>'дод 2'!I30+'дод 2'!I132</f>
        <v>0</v>
      </c>
      <c r="I80" s="62">
        <f>'дод 2'!J30+'дод 2'!J132</f>
        <v>224000</v>
      </c>
      <c r="J80" s="62">
        <f>'дод 2'!K30+'дод 2'!K132</f>
        <v>224000</v>
      </c>
      <c r="K80" s="62">
        <f>'дод 2'!L30+'дод 2'!L132</f>
        <v>0</v>
      </c>
      <c r="L80" s="62">
        <f>'дод 2'!M30+'дод 2'!M132</f>
        <v>0</v>
      </c>
      <c r="M80" s="62">
        <f>'дод 2'!N30+'дод 2'!N132</f>
        <v>0</v>
      </c>
      <c r="N80" s="62">
        <f>'дод 2'!O30+'дод 2'!O132</f>
        <v>224000</v>
      </c>
      <c r="O80" s="62">
        <f>'дод 2'!P30+'дод 2'!P132</f>
        <v>5464900</v>
      </c>
    </row>
    <row r="81" spans="1:15" s="84" customFormat="1" ht="30" customHeight="1" x14ac:dyDescent="0.25">
      <c r="A81" s="46" t="s">
        <v>344</v>
      </c>
      <c r="B81" s="46" t="s">
        <v>94</v>
      </c>
      <c r="C81" s="3" t="s">
        <v>345</v>
      </c>
      <c r="D81" s="62">
        <f>'дод 2'!E31+'дод 2'!E133</f>
        <v>2965700</v>
      </c>
      <c r="E81" s="62">
        <f>'дод 2'!F31+'дод 2'!F133</f>
        <v>2965700</v>
      </c>
      <c r="F81" s="62">
        <f>'дод 2'!G31+'дод 2'!G133</f>
        <v>0</v>
      </c>
      <c r="G81" s="62">
        <f>'дод 2'!H31+'дод 2'!H133</f>
        <v>0</v>
      </c>
      <c r="H81" s="62">
        <f>'дод 2'!I31+'дод 2'!I133</f>
        <v>0</v>
      </c>
      <c r="I81" s="62">
        <f>'дод 2'!J31+'дод 2'!J133</f>
        <v>0</v>
      </c>
      <c r="J81" s="62">
        <f>'дод 2'!K31+'дод 2'!K133</f>
        <v>0</v>
      </c>
      <c r="K81" s="62">
        <f>'дод 2'!L31+'дод 2'!L133</f>
        <v>0</v>
      </c>
      <c r="L81" s="62">
        <f>'дод 2'!M31+'дод 2'!M133</f>
        <v>0</v>
      </c>
      <c r="M81" s="62">
        <f>'дод 2'!N31+'дод 2'!N133</f>
        <v>0</v>
      </c>
      <c r="N81" s="62">
        <f>'дод 2'!O31+'дод 2'!O133</f>
        <v>0</v>
      </c>
      <c r="O81" s="62">
        <f>'дод 2'!P31+'дод 2'!P133</f>
        <v>2965700</v>
      </c>
    </row>
    <row r="82" spans="1:15" s="82" customFormat="1" ht="21.75" customHeight="1" x14ac:dyDescent="0.25">
      <c r="A82" s="47" t="s">
        <v>97</v>
      </c>
      <c r="B82" s="50"/>
      <c r="C82" s="2" t="s">
        <v>98</v>
      </c>
      <c r="D82" s="61">
        <f t="shared" ref="D82:O82" si="7">D83+D84+D85+D86+D87+D88</f>
        <v>46772470</v>
      </c>
      <c r="E82" s="61">
        <f t="shared" si="7"/>
        <v>46772470</v>
      </c>
      <c r="F82" s="61">
        <f t="shared" si="7"/>
        <v>17286800</v>
      </c>
      <c r="G82" s="61">
        <f t="shared" si="7"/>
        <v>1430790</v>
      </c>
      <c r="H82" s="61">
        <f t="shared" si="7"/>
        <v>0</v>
      </c>
      <c r="I82" s="61">
        <f t="shared" si="7"/>
        <v>2730570</v>
      </c>
      <c r="J82" s="61">
        <f t="shared" si="7"/>
        <v>2551450</v>
      </c>
      <c r="K82" s="61">
        <f t="shared" si="7"/>
        <v>179120</v>
      </c>
      <c r="L82" s="61">
        <f t="shared" si="7"/>
        <v>91105</v>
      </c>
      <c r="M82" s="61">
        <f t="shared" si="7"/>
        <v>51050</v>
      </c>
      <c r="N82" s="61">
        <f t="shared" si="7"/>
        <v>2551450</v>
      </c>
      <c r="O82" s="61">
        <f t="shared" si="7"/>
        <v>49503040</v>
      </c>
    </row>
    <row r="83" spans="1:15" s="84" customFormat="1" ht="43.5" customHeight="1" x14ac:dyDescent="0.25">
      <c r="A83" s="46" t="s">
        <v>99</v>
      </c>
      <c r="B83" s="46" t="s">
        <v>100</v>
      </c>
      <c r="C83" s="3" t="s">
        <v>29</v>
      </c>
      <c r="D83" s="62">
        <f>'дод 2'!E32</f>
        <v>1761000</v>
      </c>
      <c r="E83" s="62">
        <f>'дод 2'!F32</f>
        <v>1761000</v>
      </c>
      <c r="F83" s="62">
        <f>'дод 2'!G32</f>
        <v>0</v>
      </c>
      <c r="G83" s="62">
        <f>'дод 2'!H32</f>
        <v>0</v>
      </c>
      <c r="H83" s="62">
        <f>'дод 2'!I32</f>
        <v>0</v>
      </c>
      <c r="I83" s="62">
        <f>'дод 2'!J32</f>
        <v>0</v>
      </c>
      <c r="J83" s="62">
        <f>'дод 2'!K32</f>
        <v>0</v>
      </c>
      <c r="K83" s="62">
        <f>'дод 2'!L32</f>
        <v>0</v>
      </c>
      <c r="L83" s="62">
        <f>'дод 2'!M32</f>
        <v>0</v>
      </c>
      <c r="M83" s="62">
        <f>'дод 2'!N32</f>
        <v>0</v>
      </c>
      <c r="N83" s="62">
        <f>'дод 2'!O32</f>
        <v>0</v>
      </c>
      <c r="O83" s="62">
        <f>'дод 2'!P32</f>
        <v>1761000</v>
      </c>
    </row>
    <row r="84" spans="1:15" s="84" customFormat="1" ht="39.75" customHeight="1" x14ac:dyDescent="0.25">
      <c r="A84" s="46" t="s">
        <v>101</v>
      </c>
      <c r="B84" s="46" t="s">
        <v>100</v>
      </c>
      <c r="C84" s="3" t="s">
        <v>22</v>
      </c>
      <c r="D84" s="62">
        <f>'дод 2'!E33</f>
        <v>2275000</v>
      </c>
      <c r="E84" s="62">
        <f>'дод 2'!F33</f>
        <v>2275000</v>
      </c>
      <c r="F84" s="62">
        <f>'дод 2'!G33</f>
        <v>0</v>
      </c>
      <c r="G84" s="62">
        <f>'дод 2'!H33</f>
        <v>0</v>
      </c>
      <c r="H84" s="62">
        <f>'дод 2'!I33</f>
        <v>0</v>
      </c>
      <c r="I84" s="62">
        <f>'дод 2'!J33</f>
        <v>0</v>
      </c>
      <c r="J84" s="62">
        <f>'дод 2'!K33</f>
        <v>0</v>
      </c>
      <c r="K84" s="62">
        <f>'дод 2'!L33</f>
        <v>0</v>
      </c>
      <c r="L84" s="62">
        <f>'дод 2'!M33</f>
        <v>0</v>
      </c>
      <c r="M84" s="62">
        <f>'дод 2'!N33</f>
        <v>0</v>
      </c>
      <c r="N84" s="62">
        <f>'дод 2'!O33</f>
        <v>0</v>
      </c>
      <c r="O84" s="62">
        <f>'дод 2'!P33</f>
        <v>2275000</v>
      </c>
    </row>
    <row r="85" spans="1:15" s="84" customFormat="1" ht="36.75" customHeight="1" x14ac:dyDescent="0.25">
      <c r="A85" s="46" t="s">
        <v>137</v>
      </c>
      <c r="B85" s="46" t="s">
        <v>100</v>
      </c>
      <c r="C85" s="3" t="s">
        <v>30</v>
      </c>
      <c r="D85" s="62">
        <f>'дод 2'!E73+'дод 2'!E34</f>
        <v>20353330</v>
      </c>
      <c r="E85" s="62">
        <f>'дод 2'!F73+'дод 2'!F34</f>
        <v>20353330</v>
      </c>
      <c r="F85" s="62">
        <f>'дод 2'!G73+'дод 2'!G34</f>
        <v>14839900</v>
      </c>
      <c r="G85" s="62">
        <f>'дод 2'!H73+'дод 2'!H34</f>
        <v>1060690</v>
      </c>
      <c r="H85" s="62">
        <f>'дод 2'!I73+'дод 2'!I34</f>
        <v>0</v>
      </c>
      <c r="I85" s="62">
        <f>'дод 2'!J73+'дод 2'!J34</f>
        <v>1478000</v>
      </c>
      <c r="J85" s="62">
        <f>'дод 2'!K73+'дод 2'!K34</f>
        <v>1478000</v>
      </c>
      <c r="K85" s="62">
        <f>'дод 2'!L73+'дод 2'!L34</f>
        <v>0</v>
      </c>
      <c r="L85" s="62">
        <f>'дод 2'!M73+'дод 2'!M34</f>
        <v>0</v>
      </c>
      <c r="M85" s="62">
        <f>'дод 2'!N73+'дод 2'!N34</f>
        <v>0</v>
      </c>
      <c r="N85" s="62">
        <f>'дод 2'!O73+'дод 2'!O34</f>
        <v>1478000</v>
      </c>
      <c r="O85" s="62">
        <f>'дод 2'!P73+'дод 2'!P34</f>
        <v>21831330</v>
      </c>
    </row>
    <row r="86" spans="1:15" s="84" customFormat="1" ht="31.5" customHeight="1" x14ac:dyDescent="0.25">
      <c r="A86" s="46" t="s">
        <v>138</v>
      </c>
      <c r="B86" s="46" t="s">
        <v>100</v>
      </c>
      <c r="C86" s="3" t="s">
        <v>31</v>
      </c>
      <c r="D86" s="62">
        <f>'дод 2'!E35</f>
        <v>11346630</v>
      </c>
      <c r="E86" s="62">
        <f>'дод 2'!F35</f>
        <v>11346630</v>
      </c>
      <c r="F86" s="62">
        <f>'дод 2'!G35</f>
        <v>0</v>
      </c>
      <c r="G86" s="62">
        <f>'дод 2'!H35</f>
        <v>0</v>
      </c>
      <c r="H86" s="62">
        <f>'дод 2'!I35</f>
        <v>0</v>
      </c>
      <c r="I86" s="62">
        <f>'дод 2'!J35</f>
        <v>130000</v>
      </c>
      <c r="J86" s="62">
        <f>'дод 2'!K35</f>
        <v>130000</v>
      </c>
      <c r="K86" s="62">
        <f>'дод 2'!L35</f>
        <v>0</v>
      </c>
      <c r="L86" s="62">
        <f>'дод 2'!M35</f>
        <v>0</v>
      </c>
      <c r="M86" s="62">
        <f>'дод 2'!N35</f>
        <v>0</v>
      </c>
      <c r="N86" s="62">
        <f>'дод 2'!O35</f>
        <v>130000</v>
      </c>
      <c r="O86" s="62">
        <f>'дод 2'!P35</f>
        <v>11476630</v>
      </c>
    </row>
    <row r="87" spans="1:15" s="84" customFormat="1" ht="60" customHeight="1" x14ac:dyDescent="0.25">
      <c r="A87" s="46" t="s">
        <v>133</v>
      </c>
      <c r="B87" s="46" t="s">
        <v>100</v>
      </c>
      <c r="C87" s="3" t="s">
        <v>134</v>
      </c>
      <c r="D87" s="62">
        <f>'дод 2'!E36</f>
        <v>3943120</v>
      </c>
      <c r="E87" s="62">
        <f>'дод 2'!F36</f>
        <v>3943120</v>
      </c>
      <c r="F87" s="62">
        <f>'дод 2'!G36</f>
        <v>2446900</v>
      </c>
      <c r="G87" s="62">
        <f>'дод 2'!H36</f>
        <v>370100</v>
      </c>
      <c r="H87" s="62">
        <f>'дод 2'!I36</f>
        <v>0</v>
      </c>
      <c r="I87" s="62">
        <f>'дод 2'!J36</f>
        <v>1079120</v>
      </c>
      <c r="J87" s="62">
        <f>'дод 2'!K36</f>
        <v>900000</v>
      </c>
      <c r="K87" s="62">
        <f>'дод 2'!L36</f>
        <v>179120</v>
      </c>
      <c r="L87" s="62">
        <f>'дод 2'!M36</f>
        <v>91105</v>
      </c>
      <c r="M87" s="62">
        <f>'дод 2'!N36</f>
        <v>51050</v>
      </c>
      <c r="N87" s="62">
        <f>'дод 2'!O36</f>
        <v>900000</v>
      </c>
      <c r="O87" s="62">
        <f>'дод 2'!P36</f>
        <v>5022240</v>
      </c>
    </row>
    <row r="88" spans="1:15" s="84" customFormat="1" ht="42" customHeight="1" x14ac:dyDescent="0.25">
      <c r="A88" s="46" t="s">
        <v>136</v>
      </c>
      <c r="B88" s="46" t="s">
        <v>100</v>
      </c>
      <c r="C88" s="3" t="s">
        <v>135</v>
      </c>
      <c r="D88" s="62">
        <f>'дод 2'!E37</f>
        <v>7093390</v>
      </c>
      <c r="E88" s="62">
        <f>'дод 2'!F37</f>
        <v>7093390</v>
      </c>
      <c r="F88" s="62">
        <f>'дод 2'!G37</f>
        <v>0</v>
      </c>
      <c r="G88" s="62">
        <f>'дод 2'!H37</f>
        <v>0</v>
      </c>
      <c r="H88" s="62">
        <f>'дод 2'!I37</f>
        <v>0</v>
      </c>
      <c r="I88" s="62">
        <f>'дод 2'!J37</f>
        <v>43450</v>
      </c>
      <c r="J88" s="62">
        <f>'дод 2'!K37</f>
        <v>43450</v>
      </c>
      <c r="K88" s="62">
        <f>'дод 2'!L37</f>
        <v>0</v>
      </c>
      <c r="L88" s="62">
        <f>'дод 2'!M37</f>
        <v>0</v>
      </c>
      <c r="M88" s="62">
        <f>'дод 2'!N37</f>
        <v>0</v>
      </c>
      <c r="N88" s="62">
        <f>'дод 2'!O37</f>
        <v>43450</v>
      </c>
      <c r="O88" s="62">
        <f>'дод 2'!P37</f>
        <v>7136840</v>
      </c>
    </row>
    <row r="89" spans="1:15" s="82" customFormat="1" ht="27" customHeight="1" x14ac:dyDescent="0.25">
      <c r="A89" s="47" t="s">
        <v>85</v>
      </c>
      <c r="B89" s="50"/>
      <c r="C89" s="2" t="s">
        <v>86</v>
      </c>
      <c r="D89" s="61">
        <f>D90+D91+D92+D93+D94+D95+D96+D97</f>
        <v>237848912.95999998</v>
      </c>
      <c r="E89" s="61">
        <f t="shared" ref="E89:O89" si="8">E90+E91+E92+E93+E94+E95+E96+E97</f>
        <v>204654474.95999998</v>
      </c>
      <c r="F89" s="61">
        <f t="shared" si="8"/>
        <v>0</v>
      </c>
      <c r="G89" s="61">
        <f t="shared" si="8"/>
        <v>27658106</v>
      </c>
      <c r="H89" s="61">
        <f t="shared" si="8"/>
        <v>33194438</v>
      </c>
      <c r="I89" s="61">
        <f t="shared" si="8"/>
        <v>79990609.75999999</v>
      </c>
      <c r="J89" s="61">
        <f t="shared" si="8"/>
        <v>79832906.699999988</v>
      </c>
      <c r="K89" s="61">
        <f t="shared" si="8"/>
        <v>0</v>
      </c>
      <c r="L89" s="61">
        <f t="shared" si="8"/>
        <v>0</v>
      </c>
      <c r="M89" s="61">
        <f t="shared" si="8"/>
        <v>0</v>
      </c>
      <c r="N89" s="61">
        <f t="shared" si="8"/>
        <v>79990609.75999999</v>
      </c>
      <c r="O89" s="61">
        <f t="shared" si="8"/>
        <v>317839522.72000003</v>
      </c>
    </row>
    <row r="90" spans="1:15" s="84" customFormat="1" ht="33.75" customHeight="1" x14ac:dyDescent="0.25">
      <c r="A90" s="46" t="s">
        <v>155</v>
      </c>
      <c r="B90" s="46" t="s">
        <v>87</v>
      </c>
      <c r="C90" s="3" t="s">
        <v>156</v>
      </c>
      <c r="D90" s="62">
        <f>'дод 2'!E141</f>
        <v>0</v>
      </c>
      <c r="E90" s="62">
        <f>'дод 2'!F141</f>
        <v>0</v>
      </c>
      <c r="F90" s="62">
        <f>'дод 2'!G141</f>
        <v>0</v>
      </c>
      <c r="G90" s="62">
        <f>'дод 2'!H141</f>
        <v>0</v>
      </c>
      <c r="H90" s="62">
        <f>'дод 2'!I141</f>
        <v>0</v>
      </c>
      <c r="I90" s="62">
        <f>'дод 2'!J141</f>
        <v>12167333.93</v>
      </c>
      <c r="J90" s="62">
        <f>'дод 2'!K141</f>
        <v>12137333.93</v>
      </c>
      <c r="K90" s="62">
        <f>'дод 2'!L141</f>
        <v>0</v>
      </c>
      <c r="L90" s="62">
        <f>'дод 2'!M141</f>
        <v>0</v>
      </c>
      <c r="M90" s="62">
        <f>'дод 2'!N141</f>
        <v>0</v>
      </c>
      <c r="N90" s="62">
        <f>'дод 2'!O141</f>
        <v>12167333.93</v>
      </c>
      <c r="O90" s="62">
        <f>'дод 2'!P141</f>
        <v>12167333.93</v>
      </c>
    </row>
    <row r="91" spans="1:15" s="84" customFormat="1" ht="36.75" customHeight="1" x14ac:dyDescent="0.25">
      <c r="A91" s="46" t="s">
        <v>157</v>
      </c>
      <c r="B91" s="46" t="s">
        <v>89</v>
      </c>
      <c r="C91" s="3" t="s">
        <v>178</v>
      </c>
      <c r="D91" s="62">
        <f>'дод 2'!E142</f>
        <v>30925000</v>
      </c>
      <c r="E91" s="62">
        <f>'дод 2'!F142</f>
        <v>425000</v>
      </c>
      <c r="F91" s="62">
        <f>'дод 2'!G142</f>
        <v>0</v>
      </c>
      <c r="G91" s="62">
        <f>'дод 2'!H142</f>
        <v>0</v>
      </c>
      <c r="H91" s="62">
        <f>'дод 2'!I142</f>
        <v>30500000</v>
      </c>
      <c r="I91" s="62">
        <f>'дод 2'!J142</f>
        <v>1721000</v>
      </c>
      <c r="J91" s="62">
        <f>'дод 2'!K142</f>
        <v>1721000</v>
      </c>
      <c r="K91" s="62">
        <f>'дод 2'!L142</f>
        <v>0</v>
      </c>
      <c r="L91" s="62">
        <f>'дод 2'!M142</f>
        <v>0</v>
      </c>
      <c r="M91" s="62">
        <f>'дод 2'!N142</f>
        <v>0</v>
      </c>
      <c r="N91" s="62">
        <f>'дод 2'!O142</f>
        <v>1721000</v>
      </c>
      <c r="O91" s="62">
        <f>'дод 2'!P142</f>
        <v>32646000</v>
      </c>
    </row>
    <row r="92" spans="1:15" s="84" customFormat="1" ht="36.75" customHeight="1" x14ac:dyDescent="0.25">
      <c r="A92" s="49" t="s">
        <v>302</v>
      </c>
      <c r="B92" s="49" t="s">
        <v>89</v>
      </c>
      <c r="C92" s="3" t="s">
        <v>303</v>
      </c>
      <c r="D92" s="62">
        <f>'дод 2'!E143</f>
        <v>193887</v>
      </c>
      <c r="E92" s="62">
        <f>'дод 2'!F143</f>
        <v>193887</v>
      </c>
      <c r="F92" s="62">
        <f>'дод 2'!G143</f>
        <v>0</v>
      </c>
      <c r="G92" s="62">
        <f>'дод 2'!H143</f>
        <v>0</v>
      </c>
      <c r="H92" s="62">
        <f>'дод 2'!I143</f>
        <v>0</v>
      </c>
      <c r="I92" s="62">
        <f>'дод 2'!J143</f>
        <v>13408448.83</v>
      </c>
      <c r="J92" s="62">
        <f>'дод 2'!K143</f>
        <v>13358448.83</v>
      </c>
      <c r="K92" s="62">
        <f>'дод 2'!L143</f>
        <v>0</v>
      </c>
      <c r="L92" s="62">
        <f>'дод 2'!M143</f>
        <v>0</v>
      </c>
      <c r="M92" s="62">
        <f>'дод 2'!N143</f>
        <v>0</v>
      </c>
      <c r="N92" s="62">
        <f>'дод 2'!O143</f>
        <v>13408448.83</v>
      </c>
      <c r="O92" s="62">
        <f>'дод 2'!P143</f>
        <v>13602335.83</v>
      </c>
    </row>
    <row r="93" spans="1:15" s="84" customFormat="1" ht="33" customHeight="1" x14ac:dyDescent="0.25">
      <c r="A93" s="46" t="s">
        <v>305</v>
      </c>
      <c r="B93" s="46" t="s">
        <v>89</v>
      </c>
      <c r="C93" s="3" t="s">
        <v>405</v>
      </c>
      <c r="D93" s="62">
        <f>'дод 2'!E144</f>
        <v>100000</v>
      </c>
      <c r="E93" s="62">
        <f>'дод 2'!F144</f>
        <v>100000</v>
      </c>
      <c r="F93" s="62">
        <f>'дод 2'!G144</f>
        <v>0</v>
      </c>
      <c r="G93" s="62">
        <f>'дод 2'!H144</f>
        <v>0</v>
      </c>
      <c r="H93" s="62">
        <f>'дод 2'!I144</f>
        <v>0</v>
      </c>
      <c r="I93" s="62">
        <f>'дод 2'!J144</f>
        <v>0</v>
      </c>
      <c r="J93" s="62">
        <f>'дод 2'!K144</f>
        <v>0</v>
      </c>
      <c r="K93" s="62">
        <f>'дод 2'!L144</f>
        <v>0</v>
      </c>
      <c r="L93" s="62">
        <f>'дод 2'!M144</f>
        <v>0</v>
      </c>
      <c r="M93" s="62">
        <f>'дод 2'!N144</f>
        <v>0</v>
      </c>
      <c r="N93" s="62">
        <f>'дод 2'!O144</f>
        <v>0</v>
      </c>
      <c r="O93" s="62">
        <f>'дод 2'!P144</f>
        <v>100000</v>
      </c>
    </row>
    <row r="94" spans="1:15" s="84" customFormat="1" ht="52.5" customHeight="1" x14ac:dyDescent="0.25">
      <c r="A94" s="46" t="s">
        <v>88</v>
      </c>
      <c r="B94" s="46" t="s">
        <v>89</v>
      </c>
      <c r="C94" s="3" t="s">
        <v>160</v>
      </c>
      <c r="D94" s="62">
        <f>'дод 2'!E145</f>
        <v>2605232</v>
      </c>
      <c r="E94" s="62">
        <f>'дод 2'!F145</f>
        <v>0</v>
      </c>
      <c r="F94" s="62">
        <f>'дод 2'!G145</f>
        <v>0</v>
      </c>
      <c r="G94" s="62">
        <f>'дод 2'!H145</f>
        <v>0</v>
      </c>
      <c r="H94" s="62">
        <f>'дод 2'!I145</f>
        <v>2605232</v>
      </c>
      <c r="I94" s="62">
        <f>'дод 2'!J145</f>
        <v>2000000</v>
      </c>
      <c r="J94" s="62">
        <f>'дод 2'!K145</f>
        <v>2000000</v>
      </c>
      <c r="K94" s="62">
        <f>'дод 2'!L145</f>
        <v>0</v>
      </c>
      <c r="L94" s="62">
        <f>'дод 2'!M145</f>
        <v>0</v>
      </c>
      <c r="M94" s="62">
        <f>'дод 2'!N145</f>
        <v>0</v>
      </c>
      <c r="N94" s="62">
        <f>'дод 2'!O145</f>
        <v>2000000</v>
      </c>
      <c r="O94" s="62">
        <f>'дод 2'!P145</f>
        <v>4605232</v>
      </c>
    </row>
    <row r="95" spans="1:15" ht="30" customHeight="1" x14ac:dyDescent="0.25">
      <c r="A95" s="46" t="s">
        <v>158</v>
      </c>
      <c r="B95" s="46" t="s">
        <v>89</v>
      </c>
      <c r="C95" s="3" t="s">
        <v>159</v>
      </c>
      <c r="D95" s="62">
        <f>'дод 2'!E146+'дод 2'!E170</f>
        <v>192585770.56999999</v>
      </c>
      <c r="E95" s="62">
        <f>'дод 2'!F146+'дод 2'!F170</f>
        <v>192585770.56999999</v>
      </c>
      <c r="F95" s="62">
        <f>'дод 2'!G146+'дод 2'!G170</f>
        <v>0</v>
      </c>
      <c r="G95" s="62">
        <f>'дод 2'!H146+'дод 2'!H170</f>
        <v>27615706</v>
      </c>
      <c r="H95" s="62">
        <f>'дод 2'!I146+'дод 2'!I170</f>
        <v>0</v>
      </c>
      <c r="I95" s="62">
        <f>'дод 2'!J146+'дод 2'!J170</f>
        <v>49815415.150000006</v>
      </c>
      <c r="J95" s="62">
        <f>'дод 2'!K146+'дод 2'!K170</f>
        <v>49815415.150000006</v>
      </c>
      <c r="K95" s="62">
        <f>'дод 2'!L146+'дод 2'!L170</f>
        <v>0</v>
      </c>
      <c r="L95" s="62">
        <f>'дод 2'!M146+'дод 2'!M170</f>
        <v>0</v>
      </c>
      <c r="M95" s="62">
        <f>'дод 2'!N146+'дод 2'!N170</f>
        <v>0</v>
      </c>
      <c r="N95" s="62">
        <f>'дод 2'!O146+'дод 2'!O170</f>
        <v>49815415.150000006</v>
      </c>
      <c r="O95" s="62">
        <f>'дод 2'!P146+'дод 2'!P170</f>
        <v>242401185.72</v>
      </c>
    </row>
    <row r="96" spans="1:15" s="84" customFormat="1" ht="57" customHeight="1" x14ac:dyDescent="0.25">
      <c r="A96" s="46" t="s">
        <v>162</v>
      </c>
      <c r="B96" s="51" t="s">
        <v>87</v>
      </c>
      <c r="C96" s="3" t="s">
        <v>163</v>
      </c>
      <c r="D96" s="62">
        <f>'дод 2'!E171</f>
        <v>84906</v>
      </c>
      <c r="E96" s="62">
        <f>'дод 2'!F171</f>
        <v>0</v>
      </c>
      <c r="F96" s="62">
        <f>'дод 2'!G171</f>
        <v>0</v>
      </c>
      <c r="G96" s="62">
        <f>'дод 2'!H171</f>
        <v>0</v>
      </c>
      <c r="H96" s="62">
        <f>'дод 2'!I171</f>
        <v>84906</v>
      </c>
      <c r="I96" s="62">
        <f>'дод 2'!J171</f>
        <v>77703.06</v>
      </c>
      <c r="J96" s="62">
        <f>'дод 2'!K171</f>
        <v>0</v>
      </c>
      <c r="K96" s="62">
        <f>'дод 2'!L171</f>
        <v>0</v>
      </c>
      <c r="L96" s="62">
        <f>'дод 2'!M171</f>
        <v>0</v>
      </c>
      <c r="M96" s="62">
        <f>'дод 2'!N171</f>
        <v>0</v>
      </c>
      <c r="N96" s="62">
        <f>'дод 2'!O171</f>
        <v>77703.06</v>
      </c>
      <c r="O96" s="62">
        <f>'дод 2'!P171</f>
        <v>162609.06</v>
      </c>
    </row>
    <row r="97" spans="1:15" ht="39.75" customHeight="1" x14ac:dyDescent="0.25">
      <c r="A97" s="46" t="s">
        <v>172</v>
      </c>
      <c r="B97" s="51" t="s">
        <v>364</v>
      </c>
      <c r="C97" s="3" t="s">
        <v>173</v>
      </c>
      <c r="D97" s="62">
        <f>'дод 2'!E147+'дод 2'!E184</f>
        <v>11354117.390000001</v>
      </c>
      <c r="E97" s="62">
        <f>'дод 2'!F147+'дод 2'!F184</f>
        <v>11349817.390000001</v>
      </c>
      <c r="F97" s="62">
        <f>'дод 2'!G147+'дод 2'!G184</f>
        <v>0</v>
      </c>
      <c r="G97" s="62">
        <f>'дод 2'!H147+'дод 2'!H184</f>
        <v>42400</v>
      </c>
      <c r="H97" s="62">
        <f>'дод 2'!I147+'дод 2'!I184</f>
        <v>4300</v>
      </c>
      <c r="I97" s="62">
        <f>'дод 2'!J147+'дод 2'!J184</f>
        <v>800708.78999999911</v>
      </c>
      <c r="J97" s="62">
        <f>'дод 2'!K147+'дод 2'!K184</f>
        <v>800708.78999999911</v>
      </c>
      <c r="K97" s="62">
        <f>'дод 2'!L147+'дод 2'!L184</f>
        <v>0</v>
      </c>
      <c r="L97" s="62">
        <f>'дод 2'!M147+'дод 2'!M184</f>
        <v>0</v>
      </c>
      <c r="M97" s="62">
        <f>'дод 2'!N147+'дод 2'!N184</f>
        <v>0</v>
      </c>
      <c r="N97" s="62">
        <f>'дод 2'!O147+'дод 2'!O184</f>
        <v>800708.78999999911</v>
      </c>
      <c r="O97" s="62">
        <f>'дод 2'!P147+'дод 2'!P184</f>
        <v>12154826.18</v>
      </c>
    </row>
    <row r="98" spans="1:15" s="82" customFormat="1" ht="29.25" customHeight="1" x14ac:dyDescent="0.25">
      <c r="A98" s="47" t="s">
        <v>164</v>
      </c>
      <c r="B98" s="50"/>
      <c r="C98" s="2" t="s">
        <v>165</v>
      </c>
      <c r="D98" s="61">
        <f>D100+D102+D114+D121+D123+D132</f>
        <v>50749667</v>
      </c>
      <c r="E98" s="61">
        <f t="shared" ref="E98:O98" si="9">E100+E102+E114+E121+E123+E132</f>
        <v>20932667</v>
      </c>
      <c r="F98" s="61">
        <f t="shared" si="9"/>
        <v>0</v>
      </c>
      <c r="G98" s="61">
        <f t="shared" si="9"/>
        <v>0</v>
      </c>
      <c r="H98" s="61">
        <f t="shared" si="9"/>
        <v>29817000</v>
      </c>
      <c r="I98" s="61">
        <f>I100+I102+I114+I121+I123+I132</f>
        <v>334741522.25999999</v>
      </c>
      <c r="J98" s="61">
        <f t="shared" si="9"/>
        <v>240232390.13</v>
      </c>
      <c r="K98" s="61">
        <f t="shared" si="9"/>
        <v>82171363.010000005</v>
      </c>
      <c r="L98" s="61">
        <f t="shared" si="9"/>
        <v>0</v>
      </c>
      <c r="M98" s="61">
        <f t="shared" si="9"/>
        <v>0</v>
      </c>
      <c r="N98" s="61">
        <f t="shared" si="9"/>
        <v>252570159.25</v>
      </c>
      <c r="O98" s="61">
        <f t="shared" si="9"/>
        <v>385491189.25999999</v>
      </c>
    </row>
    <row r="99" spans="1:15" s="82" customFormat="1" ht="18.75" customHeight="1" x14ac:dyDescent="0.25">
      <c r="A99" s="47"/>
      <c r="B99" s="50"/>
      <c r="C99" s="2" t="s">
        <v>308</v>
      </c>
      <c r="D99" s="61">
        <f>D103+D115</f>
        <v>0</v>
      </c>
      <c r="E99" s="61">
        <f t="shared" ref="E99:O99" si="10">E103+E115</f>
        <v>0</v>
      </c>
      <c r="F99" s="61">
        <f t="shared" si="10"/>
        <v>0</v>
      </c>
      <c r="G99" s="61">
        <f t="shared" si="10"/>
        <v>0</v>
      </c>
      <c r="H99" s="61">
        <f t="shared" si="10"/>
        <v>0</v>
      </c>
      <c r="I99" s="61">
        <f t="shared" si="10"/>
        <v>81187498.930000007</v>
      </c>
      <c r="J99" s="61">
        <f t="shared" si="10"/>
        <v>1187498.93</v>
      </c>
      <c r="K99" s="61">
        <f t="shared" si="10"/>
        <v>80000000</v>
      </c>
      <c r="L99" s="61">
        <f t="shared" si="10"/>
        <v>0</v>
      </c>
      <c r="M99" s="61">
        <f t="shared" si="10"/>
        <v>0</v>
      </c>
      <c r="N99" s="61">
        <f t="shared" si="10"/>
        <v>1187498.93</v>
      </c>
      <c r="O99" s="61">
        <f t="shared" si="10"/>
        <v>81187498.930000007</v>
      </c>
    </row>
    <row r="100" spans="1:15" s="82" customFormat="1" x14ac:dyDescent="0.25">
      <c r="A100" s="47" t="s">
        <v>174</v>
      </c>
      <c r="B100" s="50"/>
      <c r="C100" s="2" t="s">
        <v>175</v>
      </c>
      <c r="D100" s="61">
        <f t="shared" ref="D100:O100" si="11">D101</f>
        <v>700000</v>
      </c>
      <c r="E100" s="61">
        <f t="shared" si="11"/>
        <v>700000</v>
      </c>
      <c r="F100" s="61">
        <f t="shared" si="11"/>
        <v>0</v>
      </c>
      <c r="G100" s="61">
        <f t="shared" si="11"/>
        <v>0</v>
      </c>
      <c r="H100" s="61">
        <f t="shared" si="11"/>
        <v>0</v>
      </c>
      <c r="I100" s="61">
        <f t="shared" si="11"/>
        <v>0</v>
      </c>
      <c r="J100" s="61">
        <f t="shared" si="11"/>
        <v>0</v>
      </c>
      <c r="K100" s="61">
        <f t="shared" si="11"/>
        <v>0</v>
      </c>
      <c r="L100" s="61">
        <f t="shared" si="11"/>
        <v>0</v>
      </c>
      <c r="M100" s="61">
        <f t="shared" si="11"/>
        <v>0</v>
      </c>
      <c r="N100" s="61">
        <f t="shared" si="11"/>
        <v>0</v>
      </c>
      <c r="O100" s="61">
        <f t="shared" si="11"/>
        <v>700000</v>
      </c>
    </row>
    <row r="101" spans="1:15" ht="24" customHeight="1" x14ac:dyDescent="0.25">
      <c r="A101" s="46" t="s">
        <v>166</v>
      </c>
      <c r="B101" s="46" t="s">
        <v>103</v>
      </c>
      <c r="C101" s="3" t="s">
        <v>406</v>
      </c>
      <c r="D101" s="62">
        <f>'дод 2'!E192</f>
        <v>700000</v>
      </c>
      <c r="E101" s="62">
        <f>'дод 2'!F192</f>
        <v>700000</v>
      </c>
      <c r="F101" s="62">
        <f>'дод 2'!G192</f>
        <v>0</v>
      </c>
      <c r="G101" s="62">
        <f>'дод 2'!H192</f>
        <v>0</v>
      </c>
      <c r="H101" s="62">
        <f>'дод 2'!I192</f>
        <v>0</v>
      </c>
      <c r="I101" s="62">
        <f>'дод 2'!J192</f>
        <v>0</v>
      </c>
      <c r="J101" s="62">
        <f>'дод 2'!K192</f>
        <v>0</v>
      </c>
      <c r="K101" s="62">
        <f>'дод 2'!L192</f>
        <v>0</v>
      </c>
      <c r="L101" s="62">
        <f>'дод 2'!M192</f>
        <v>0</v>
      </c>
      <c r="M101" s="62">
        <f>'дод 2'!N192</f>
        <v>0</v>
      </c>
      <c r="N101" s="62">
        <f>'дод 2'!O192</f>
        <v>0</v>
      </c>
      <c r="O101" s="62">
        <f>'дод 2'!P192</f>
        <v>700000</v>
      </c>
    </row>
    <row r="102" spans="1:15" s="82" customFormat="1" ht="21" customHeight="1" x14ac:dyDescent="0.25">
      <c r="A102" s="47" t="s">
        <v>117</v>
      </c>
      <c r="B102" s="47"/>
      <c r="C102" s="13" t="s">
        <v>167</v>
      </c>
      <c r="D102" s="61">
        <f>D104+D105+D106+D108+D109+D111+D107+D110+D112</f>
        <v>0</v>
      </c>
      <c r="E102" s="61">
        <f t="shared" ref="E102:O102" si="12">E104+E105+E106+E108+E109+E111+E107+E110+E112</f>
        <v>0</v>
      </c>
      <c r="F102" s="61">
        <f t="shared" si="12"/>
        <v>0</v>
      </c>
      <c r="G102" s="61">
        <f t="shared" si="12"/>
        <v>0</v>
      </c>
      <c r="H102" s="61">
        <f t="shared" si="12"/>
        <v>0</v>
      </c>
      <c r="I102" s="61">
        <f t="shared" si="12"/>
        <v>94767338.129999995</v>
      </c>
      <c r="J102" s="61">
        <f t="shared" si="12"/>
        <v>94767338.129999995</v>
      </c>
      <c r="K102" s="61">
        <f t="shared" si="12"/>
        <v>0</v>
      </c>
      <c r="L102" s="61">
        <f t="shared" si="12"/>
        <v>0</v>
      </c>
      <c r="M102" s="61">
        <f t="shared" si="12"/>
        <v>0</v>
      </c>
      <c r="N102" s="61">
        <f t="shared" si="12"/>
        <v>94767338.129999995</v>
      </c>
      <c r="O102" s="61">
        <f t="shared" si="12"/>
        <v>94767338.129999995</v>
      </c>
    </row>
    <row r="103" spans="1:15" s="82" customFormat="1" ht="21" customHeight="1" x14ac:dyDescent="0.25">
      <c r="A103" s="47"/>
      <c r="B103" s="47"/>
      <c r="C103" s="2" t="s">
        <v>308</v>
      </c>
      <c r="D103" s="61">
        <f>D113</f>
        <v>0</v>
      </c>
      <c r="E103" s="61">
        <f t="shared" ref="E103:O103" si="13">E113</f>
        <v>0</v>
      </c>
      <c r="F103" s="61">
        <f t="shared" si="13"/>
        <v>0</v>
      </c>
      <c r="G103" s="61">
        <f t="shared" si="13"/>
        <v>0</v>
      </c>
      <c r="H103" s="61">
        <f t="shared" si="13"/>
        <v>0</v>
      </c>
      <c r="I103" s="61">
        <f t="shared" si="13"/>
        <v>1187498.93</v>
      </c>
      <c r="J103" s="61">
        <f t="shared" si="13"/>
        <v>1187498.93</v>
      </c>
      <c r="K103" s="61">
        <f t="shared" si="13"/>
        <v>0</v>
      </c>
      <c r="L103" s="61">
        <f t="shared" si="13"/>
        <v>0</v>
      </c>
      <c r="M103" s="61">
        <f t="shared" si="13"/>
        <v>0</v>
      </c>
      <c r="N103" s="61">
        <f t="shared" si="13"/>
        <v>1187498.93</v>
      </c>
      <c r="O103" s="61">
        <f t="shared" si="13"/>
        <v>1187498.93</v>
      </c>
    </row>
    <row r="104" spans="1:15" ht="28.5" customHeight="1" x14ac:dyDescent="0.25">
      <c r="A104" s="49" t="s">
        <v>315</v>
      </c>
      <c r="B104" s="49" t="s">
        <v>132</v>
      </c>
      <c r="C104" s="3" t="s">
        <v>324</v>
      </c>
      <c r="D104" s="62">
        <f>'дод 2'!E172+'дод 2'!E148</f>
        <v>0</v>
      </c>
      <c r="E104" s="62">
        <f>'дод 2'!F172+'дод 2'!F148</f>
        <v>0</v>
      </c>
      <c r="F104" s="62">
        <f>'дод 2'!G172+'дод 2'!G148</f>
        <v>0</v>
      </c>
      <c r="G104" s="62">
        <f>'дод 2'!H172+'дод 2'!H148</f>
        <v>0</v>
      </c>
      <c r="H104" s="62">
        <f>'дод 2'!I172+'дод 2'!I148</f>
        <v>0</v>
      </c>
      <c r="I104" s="62">
        <f>'дод 2'!J172+'дод 2'!J148</f>
        <v>13462297.759999998</v>
      </c>
      <c r="J104" s="62">
        <f>'дод 2'!K172+'дод 2'!K148</f>
        <v>13462297.759999998</v>
      </c>
      <c r="K104" s="62">
        <f>'дод 2'!L172+'дод 2'!L148</f>
        <v>0</v>
      </c>
      <c r="L104" s="62">
        <f>'дод 2'!M172+'дод 2'!M148</f>
        <v>0</v>
      </c>
      <c r="M104" s="62">
        <f>'дод 2'!N172+'дод 2'!N148</f>
        <v>0</v>
      </c>
      <c r="N104" s="62">
        <f>'дод 2'!O172+'дод 2'!O148</f>
        <v>13462297.759999998</v>
      </c>
      <c r="O104" s="62">
        <f>'дод 2'!P172+'дод 2'!P148</f>
        <v>13462297.759999998</v>
      </c>
    </row>
    <row r="105" spans="1:15" s="84" customFormat="1" ht="28.5" customHeight="1" x14ac:dyDescent="0.25">
      <c r="A105" s="49" t="s">
        <v>320</v>
      </c>
      <c r="B105" s="49" t="s">
        <v>132</v>
      </c>
      <c r="C105" s="3" t="s">
        <v>325</v>
      </c>
      <c r="D105" s="62">
        <f>'дод 2'!E173+'дод 2'!E74</f>
        <v>0</v>
      </c>
      <c r="E105" s="62">
        <f>'дод 2'!F173+'дод 2'!F74</f>
        <v>0</v>
      </c>
      <c r="F105" s="62">
        <f>'дод 2'!G173+'дод 2'!G74</f>
        <v>0</v>
      </c>
      <c r="G105" s="62">
        <f>'дод 2'!H173+'дод 2'!H74</f>
        <v>0</v>
      </c>
      <c r="H105" s="62">
        <f>'дод 2'!I173+'дод 2'!I74</f>
        <v>0</v>
      </c>
      <c r="I105" s="62">
        <f>'дод 2'!J173+'дод 2'!J74</f>
        <v>4050000</v>
      </c>
      <c r="J105" s="62">
        <f>'дод 2'!K173+'дод 2'!K74</f>
        <v>4050000</v>
      </c>
      <c r="K105" s="62">
        <f>'дод 2'!L173+'дод 2'!L74</f>
        <v>0</v>
      </c>
      <c r="L105" s="62">
        <f>'дод 2'!M173+'дод 2'!M74</f>
        <v>0</v>
      </c>
      <c r="M105" s="62">
        <f>'дод 2'!N173+'дод 2'!N74</f>
        <v>0</v>
      </c>
      <c r="N105" s="62">
        <f>'дод 2'!O173+'дод 2'!O74</f>
        <v>4050000</v>
      </c>
      <c r="O105" s="62">
        <f>'дод 2'!P173+'дод 2'!P74</f>
        <v>4050000</v>
      </c>
    </row>
    <row r="106" spans="1:15" s="84" customFormat="1" ht="28.5" customHeight="1" x14ac:dyDescent="0.25">
      <c r="A106" s="49" t="s">
        <v>322</v>
      </c>
      <c r="B106" s="49" t="s">
        <v>132</v>
      </c>
      <c r="C106" s="3" t="s">
        <v>326</v>
      </c>
      <c r="D106" s="62">
        <f>'дод 2'!E174</f>
        <v>0</v>
      </c>
      <c r="E106" s="62">
        <f>'дод 2'!F174</f>
        <v>0</v>
      </c>
      <c r="F106" s="62">
        <f>'дод 2'!G174</f>
        <v>0</v>
      </c>
      <c r="G106" s="62">
        <f>'дод 2'!H174</f>
        <v>0</v>
      </c>
      <c r="H106" s="62">
        <f>'дод 2'!I174</f>
        <v>0</v>
      </c>
      <c r="I106" s="62">
        <f>'дод 2'!J174</f>
        <v>12454849</v>
      </c>
      <c r="J106" s="62">
        <f>'дод 2'!K174</f>
        <v>12454849</v>
      </c>
      <c r="K106" s="62">
        <f>'дод 2'!L174</f>
        <v>0</v>
      </c>
      <c r="L106" s="62">
        <f>'дод 2'!M174</f>
        <v>0</v>
      </c>
      <c r="M106" s="62">
        <f>'дод 2'!N174</f>
        <v>0</v>
      </c>
      <c r="N106" s="62">
        <f>'дод 2'!O174</f>
        <v>12454849</v>
      </c>
      <c r="O106" s="62">
        <f>'дод 2'!P174</f>
        <v>12454849</v>
      </c>
    </row>
    <row r="107" spans="1:15" s="84" customFormat="1" ht="31.5" x14ac:dyDescent="0.25">
      <c r="A107" s="49">
        <v>7325</v>
      </c>
      <c r="B107" s="49">
        <v>443</v>
      </c>
      <c r="C107" s="3" t="s">
        <v>422</v>
      </c>
      <c r="D107" s="62">
        <f>'дод 2'!E175</f>
        <v>0</v>
      </c>
      <c r="E107" s="62">
        <f>'дод 2'!F175</f>
        <v>0</v>
      </c>
      <c r="F107" s="62">
        <f>'дод 2'!G175</f>
        <v>0</v>
      </c>
      <c r="G107" s="62">
        <f>'дод 2'!H175</f>
        <v>0</v>
      </c>
      <c r="H107" s="62">
        <f>'дод 2'!I175</f>
        <v>0</v>
      </c>
      <c r="I107" s="62">
        <f>'дод 2'!J175</f>
        <v>500000</v>
      </c>
      <c r="J107" s="62">
        <f>'дод 2'!K175</f>
        <v>500000</v>
      </c>
      <c r="K107" s="62">
        <f>'дод 2'!L175</f>
        <v>0</v>
      </c>
      <c r="L107" s="62">
        <f>'дод 2'!M175</f>
        <v>0</v>
      </c>
      <c r="M107" s="62">
        <f>'дод 2'!N175</f>
        <v>0</v>
      </c>
      <c r="N107" s="62">
        <f>'дод 2'!O175</f>
        <v>500000</v>
      </c>
      <c r="O107" s="62">
        <f>'дод 2'!P175</f>
        <v>500000</v>
      </c>
    </row>
    <row r="108" spans="1:15" ht="32.25" customHeight="1" x14ac:dyDescent="0.25">
      <c r="A108" s="49" t="s">
        <v>317</v>
      </c>
      <c r="B108" s="49" t="s">
        <v>132</v>
      </c>
      <c r="C108" s="3" t="s">
        <v>389</v>
      </c>
      <c r="D108" s="62">
        <f>'дод 2'!E176+'дод 2'!E149</f>
        <v>0</v>
      </c>
      <c r="E108" s="62">
        <f>'дод 2'!F176+'дод 2'!F149</f>
        <v>0</v>
      </c>
      <c r="F108" s="62">
        <f>'дод 2'!G176+'дод 2'!G149</f>
        <v>0</v>
      </c>
      <c r="G108" s="62">
        <f>'дод 2'!H176+'дод 2'!H149</f>
        <v>0</v>
      </c>
      <c r="H108" s="62">
        <f>'дод 2'!I176+'дод 2'!I149</f>
        <v>0</v>
      </c>
      <c r="I108" s="62">
        <f>'дод 2'!J176+'дод 2'!J149</f>
        <v>50529710.769999996</v>
      </c>
      <c r="J108" s="62">
        <f>'дод 2'!K176+'дод 2'!K149</f>
        <v>50529710.769999996</v>
      </c>
      <c r="K108" s="62">
        <f>'дод 2'!L176+'дод 2'!L149</f>
        <v>0</v>
      </c>
      <c r="L108" s="62">
        <f>'дод 2'!M176+'дод 2'!M149</f>
        <v>0</v>
      </c>
      <c r="M108" s="62">
        <f>'дод 2'!N176+'дод 2'!N149</f>
        <v>0</v>
      </c>
      <c r="N108" s="62">
        <f>'дод 2'!O176+'дод 2'!O149</f>
        <v>50529710.769999996</v>
      </c>
      <c r="O108" s="62">
        <f>'дод 2'!P176+'дод 2'!P149</f>
        <v>50529710.769999996</v>
      </c>
    </row>
    <row r="109" spans="1:15" ht="35.25" customHeight="1" x14ac:dyDescent="0.25">
      <c r="A109" s="46" t="s">
        <v>168</v>
      </c>
      <c r="B109" s="46" t="s">
        <v>132</v>
      </c>
      <c r="C109" s="3" t="s">
        <v>1</v>
      </c>
      <c r="D109" s="62">
        <f>'дод 2'!E150</f>
        <v>0</v>
      </c>
      <c r="E109" s="62">
        <f>'дод 2'!F150</f>
        <v>0</v>
      </c>
      <c r="F109" s="62">
        <f>'дод 2'!G150</f>
        <v>0</v>
      </c>
      <c r="G109" s="62">
        <f>'дод 2'!H150</f>
        <v>0</v>
      </c>
      <c r="H109" s="62">
        <f>'дод 2'!I150</f>
        <v>0</v>
      </c>
      <c r="I109" s="62">
        <f>'дод 2'!J150</f>
        <v>3000000</v>
      </c>
      <c r="J109" s="62">
        <f>'дод 2'!K150</f>
        <v>3000000</v>
      </c>
      <c r="K109" s="62">
        <f>'дод 2'!L150</f>
        <v>0</v>
      </c>
      <c r="L109" s="62">
        <f>'дод 2'!M150</f>
        <v>0</v>
      </c>
      <c r="M109" s="62">
        <f>'дод 2'!N150</f>
        <v>0</v>
      </c>
      <c r="N109" s="62">
        <f>'дод 2'!O150</f>
        <v>3000000</v>
      </c>
      <c r="O109" s="62">
        <f>'дод 2'!P150</f>
        <v>3000000</v>
      </c>
    </row>
    <row r="110" spans="1:15" ht="51.75" customHeight="1" x14ac:dyDescent="0.25">
      <c r="A110" s="46">
        <v>7361</v>
      </c>
      <c r="B110" s="46" t="s">
        <v>102</v>
      </c>
      <c r="C110" s="3" t="s">
        <v>448</v>
      </c>
      <c r="D110" s="62">
        <f>'дод 2'!E151+'дод 2'!E177+'дод 2'!E96</f>
        <v>0</v>
      </c>
      <c r="E110" s="62">
        <f>'дод 2'!F151+'дод 2'!F177+'дод 2'!F96</f>
        <v>0</v>
      </c>
      <c r="F110" s="62">
        <f>'дод 2'!G151+'дод 2'!G177+'дод 2'!G96</f>
        <v>0</v>
      </c>
      <c r="G110" s="62">
        <f>'дод 2'!H151+'дод 2'!H177+'дод 2'!H96</f>
        <v>0</v>
      </c>
      <c r="H110" s="62">
        <f>'дод 2'!I151+'дод 2'!I177+'дод 2'!I96</f>
        <v>0</v>
      </c>
      <c r="I110" s="62">
        <f>'дод 2'!J151+'дод 2'!J177+'дод 2'!J96</f>
        <v>9386113</v>
      </c>
      <c r="J110" s="62">
        <f>'дод 2'!K151+'дод 2'!K177+'дод 2'!K96</f>
        <v>9386113</v>
      </c>
      <c r="K110" s="62">
        <f>'дод 2'!L151+'дод 2'!L177+'дод 2'!L96</f>
        <v>0</v>
      </c>
      <c r="L110" s="62">
        <f>'дод 2'!M151+'дод 2'!M177+'дод 2'!M96</f>
        <v>0</v>
      </c>
      <c r="M110" s="62">
        <f>'дод 2'!N151+'дод 2'!N177+'дод 2'!N96</f>
        <v>0</v>
      </c>
      <c r="N110" s="62">
        <f>'дод 2'!O151+'дод 2'!O177+'дод 2'!O96</f>
        <v>9386113</v>
      </c>
      <c r="O110" s="62">
        <f>'дод 2'!P151+'дод 2'!P177+'дод 2'!P96</f>
        <v>9386113</v>
      </c>
    </row>
    <row r="111" spans="1:15" s="84" customFormat="1" ht="46.5" customHeight="1" x14ac:dyDescent="0.25">
      <c r="A111" s="46">
        <v>7362</v>
      </c>
      <c r="B111" s="46" t="s">
        <v>102</v>
      </c>
      <c r="C111" s="3" t="s">
        <v>428</v>
      </c>
      <c r="D111" s="62">
        <f>'дод 2'!E152</f>
        <v>0</v>
      </c>
      <c r="E111" s="62">
        <f>'дод 2'!F152</f>
        <v>0</v>
      </c>
      <c r="F111" s="62">
        <f>'дод 2'!G152</f>
        <v>0</v>
      </c>
      <c r="G111" s="62">
        <f>'дод 2'!H152</f>
        <v>0</v>
      </c>
      <c r="H111" s="62">
        <f>'дод 2'!I152</f>
        <v>0</v>
      </c>
      <c r="I111" s="62">
        <f>'дод 2'!J152</f>
        <v>75600</v>
      </c>
      <c r="J111" s="62">
        <f>'дод 2'!K152</f>
        <v>75600</v>
      </c>
      <c r="K111" s="62">
        <f>'дод 2'!L152</f>
        <v>0</v>
      </c>
      <c r="L111" s="62">
        <f>'дод 2'!M152</f>
        <v>0</v>
      </c>
      <c r="M111" s="62">
        <f>'дод 2'!N152</f>
        <v>0</v>
      </c>
      <c r="N111" s="62">
        <f>'дод 2'!O152</f>
        <v>75600</v>
      </c>
      <c r="O111" s="62">
        <f>'дод 2'!P152</f>
        <v>75600</v>
      </c>
    </row>
    <row r="112" spans="1:15" s="84" customFormat="1" ht="46.5" customHeight="1" x14ac:dyDescent="0.25">
      <c r="A112" s="46">
        <v>7363</v>
      </c>
      <c r="B112" s="106" t="s">
        <v>102</v>
      </c>
      <c r="C112" s="107" t="s">
        <v>438</v>
      </c>
      <c r="D112" s="62">
        <f>'дод 2'!E75+'дод 2'!E153+'дод 2'!E178</f>
        <v>0</v>
      </c>
      <c r="E112" s="62">
        <f>'дод 2'!F75+'дод 2'!F153+'дод 2'!F178</f>
        <v>0</v>
      </c>
      <c r="F112" s="62">
        <f>'дод 2'!G75+'дод 2'!G153+'дод 2'!G178</f>
        <v>0</v>
      </c>
      <c r="G112" s="62">
        <f>'дод 2'!H75+'дод 2'!H153+'дод 2'!H178</f>
        <v>0</v>
      </c>
      <c r="H112" s="62">
        <f>'дод 2'!I75+'дод 2'!I153+'дод 2'!I178</f>
        <v>0</v>
      </c>
      <c r="I112" s="62">
        <f>'дод 2'!J75+'дод 2'!J153+'дод 2'!J178</f>
        <v>1308767.6000000001</v>
      </c>
      <c r="J112" s="62">
        <f>'дод 2'!K75+'дод 2'!K153+'дод 2'!K178</f>
        <v>1308767.6000000001</v>
      </c>
      <c r="K112" s="62">
        <f>'дод 2'!L75+'дод 2'!L153+'дод 2'!L178</f>
        <v>0</v>
      </c>
      <c r="L112" s="62">
        <f>'дод 2'!M75+'дод 2'!M153+'дод 2'!M178</f>
        <v>0</v>
      </c>
      <c r="M112" s="62">
        <f>'дод 2'!N75+'дод 2'!N153+'дод 2'!N178</f>
        <v>0</v>
      </c>
      <c r="N112" s="62">
        <f>'дод 2'!O75+'дод 2'!O153+'дод 2'!O178</f>
        <v>1308767.6000000001</v>
      </c>
      <c r="O112" s="62">
        <f>'дод 2'!P75+'дод 2'!P153+'дод 2'!P178</f>
        <v>1308767.6000000001</v>
      </c>
    </row>
    <row r="113" spans="1:15" s="84" customFormat="1" x14ac:dyDescent="0.25">
      <c r="A113" s="46"/>
      <c r="B113" s="106"/>
      <c r="C113" s="3" t="s">
        <v>308</v>
      </c>
      <c r="D113" s="62">
        <f>'дод 2'!E76+'дод 2'!E154</f>
        <v>0</v>
      </c>
      <c r="E113" s="62">
        <f>'дод 2'!F76+'дод 2'!F154</f>
        <v>0</v>
      </c>
      <c r="F113" s="62">
        <f>'дод 2'!G76+'дод 2'!G154</f>
        <v>0</v>
      </c>
      <c r="G113" s="62">
        <f>'дод 2'!H76+'дод 2'!H154</f>
        <v>0</v>
      </c>
      <c r="H113" s="62">
        <f>'дод 2'!I76+'дод 2'!I154</f>
        <v>0</v>
      </c>
      <c r="I113" s="62">
        <f>'дод 2'!J76+'дод 2'!J154</f>
        <v>1187498.93</v>
      </c>
      <c r="J113" s="62">
        <f>'дод 2'!K76+'дод 2'!K154</f>
        <v>1187498.93</v>
      </c>
      <c r="K113" s="62">
        <f>'дод 2'!L76+'дод 2'!L154</f>
        <v>0</v>
      </c>
      <c r="L113" s="62">
        <f>'дод 2'!M76+'дод 2'!M154</f>
        <v>0</v>
      </c>
      <c r="M113" s="62">
        <f>'дод 2'!N76+'дод 2'!N154</f>
        <v>0</v>
      </c>
      <c r="N113" s="62">
        <f>'дод 2'!O76+'дод 2'!O154</f>
        <v>1187498.93</v>
      </c>
      <c r="O113" s="62">
        <f>'дод 2'!P76+'дод 2'!P154</f>
        <v>1187498.93</v>
      </c>
    </row>
    <row r="114" spans="1:15" s="82" customFormat="1" ht="39.75" customHeight="1" x14ac:dyDescent="0.25">
      <c r="A114" s="47" t="s">
        <v>105</v>
      </c>
      <c r="B114" s="50"/>
      <c r="C114" s="2" t="s">
        <v>2</v>
      </c>
      <c r="D114" s="61">
        <f>D116+D119+D117+D118</f>
        <v>28000000</v>
      </c>
      <c r="E114" s="61">
        <f t="shared" ref="E114:O114" si="14">E116+E119+E117+E118</f>
        <v>0</v>
      </c>
      <c r="F114" s="61">
        <f t="shared" si="14"/>
        <v>0</v>
      </c>
      <c r="G114" s="61">
        <f t="shared" si="14"/>
        <v>0</v>
      </c>
      <c r="H114" s="61">
        <f t="shared" si="14"/>
        <v>28000000</v>
      </c>
      <c r="I114" s="61">
        <f t="shared" si="14"/>
        <v>80000000</v>
      </c>
      <c r="J114" s="61">
        <f t="shared" si="14"/>
        <v>0</v>
      </c>
      <c r="K114" s="61">
        <f t="shared" si="14"/>
        <v>80000000</v>
      </c>
      <c r="L114" s="61">
        <f t="shared" si="14"/>
        <v>0</v>
      </c>
      <c r="M114" s="61">
        <f t="shared" si="14"/>
        <v>0</v>
      </c>
      <c r="N114" s="61">
        <f t="shared" si="14"/>
        <v>0</v>
      </c>
      <c r="O114" s="61">
        <f t="shared" si="14"/>
        <v>108000000</v>
      </c>
    </row>
    <row r="115" spans="1:15" s="82" customFormat="1" ht="17.25" customHeight="1" x14ac:dyDescent="0.25">
      <c r="A115" s="47"/>
      <c r="B115" s="50"/>
      <c r="C115" s="2" t="s">
        <v>308</v>
      </c>
      <c r="D115" s="61">
        <f>D120</f>
        <v>0</v>
      </c>
      <c r="E115" s="61">
        <f t="shared" ref="E115:O115" si="15">E120</f>
        <v>0</v>
      </c>
      <c r="F115" s="61">
        <f t="shared" si="15"/>
        <v>0</v>
      </c>
      <c r="G115" s="61">
        <f t="shared" si="15"/>
        <v>0</v>
      </c>
      <c r="H115" s="61">
        <f t="shared" si="15"/>
        <v>0</v>
      </c>
      <c r="I115" s="61">
        <f t="shared" si="15"/>
        <v>80000000</v>
      </c>
      <c r="J115" s="61">
        <f t="shared" si="15"/>
        <v>0</v>
      </c>
      <c r="K115" s="61">
        <f t="shared" si="15"/>
        <v>80000000</v>
      </c>
      <c r="L115" s="61">
        <f t="shared" si="15"/>
        <v>0</v>
      </c>
      <c r="M115" s="61">
        <f t="shared" si="15"/>
        <v>0</v>
      </c>
      <c r="N115" s="61">
        <f t="shared" si="15"/>
        <v>0</v>
      </c>
      <c r="O115" s="61">
        <f t="shared" si="15"/>
        <v>80000000</v>
      </c>
    </row>
    <row r="116" spans="1:15" s="84" customFormat="1" ht="30" customHeight="1" x14ac:dyDescent="0.25">
      <c r="A116" s="46" t="s">
        <v>4</v>
      </c>
      <c r="B116" s="46" t="s">
        <v>104</v>
      </c>
      <c r="C116" s="3" t="s">
        <v>49</v>
      </c>
      <c r="D116" s="62">
        <f>'дод 2'!E38</f>
        <v>10000000</v>
      </c>
      <c r="E116" s="62">
        <f>'дод 2'!F38</f>
        <v>0</v>
      </c>
      <c r="F116" s="62">
        <f>'дод 2'!G38</f>
        <v>0</v>
      </c>
      <c r="G116" s="62">
        <f>'дод 2'!H38</f>
        <v>0</v>
      </c>
      <c r="H116" s="62">
        <f>'дод 2'!I38</f>
        <v>10000000</v>
      </c>
      <c r="I116" s="62">
        <f>'дод 2'!J38</f>
        <v>0</v>
      </c>
      <c r="J116" s="62">
        <f>'дод 2'!K38</f>
        <v>0</v>
      </c>
      <c r="K116" s="62">
        <f>'дод 2'!L38</f>
        <v>0</v>
      </c>
      <c r="L116" s="62">
        <f>'дод 2'!M38</f>
        <v>0</v>
      </c>
      <c r="M116" s="62">
        <f>'дод 2'!N38</f>
        <v>0</v>
      </c>
      <c r="N116" s="62">
        <f>'дод 2'!O38</f>
        <v>0</v>
      </c>
      <c r="O116" s="62">
        <f>'дод 2'!P38</f>
        <v>10000000</v>
      </c>
    </row>
    <row r="117" spans="1:15" s="84" customFormat="1" ht="30" customHeight="1" x14ac:dyDescent="0.25">
      <c r="A117" s="46">
        <v>7413</v>
      </c>
      <c r="B117" s="46" t="s">
        <v>104</v>
      </c>
      <c r="C117" s="3" t="s">
        <v>462</v>
      </c>
      <c r="D117" s="62">
        <f>'дод 2'!E39</f>
        <v>2800000</v>
      </c>
      <c r="E117" s="62">
        <f>'дод 2'!F39</f>
        <v>0</v>
      </c>
      <c r="F117" s="62">
        <f>'дод 2'!G39</f>
        <v>0</v>
      </c>
      <c r="G117" s="62">
        <f>'дод 2'!H39</f>
        <v>0</v>
      </c>
      <c r="H117" s="62">
        <f>'дод 2'!I39</f>
        <v>2800000</v>
      </c>
      <c r="I117" s="62">
        <f>'дод 2'!J39</f>
        <v>0</v>
      </c>
      <c r="J117" s="62">
        <f>'дод 2'!K39</f>
        <v>0</v>
      </c>
      <c r="K117" s="62">
        <f>'дод 2'!L39</f>
        <v>0</v>
      </c>
      <c r="L117" s="62">
        <f>'дод 2'!M39</f>
        <v>0</v>
      </c>
      <c r="M117" s="62">
        <f>'дод 2'!N39</f>
        <v>0</v>
      </c>
      <c r="N117" s="62">
        <f>'дод 2'!O39</f>
        <v>0</v>
      </c>
      <c r="O117" s="62">
        <f>'дод 2'!P39</f>
        <v>2800000</v>
      </c>
    </row>
    <row r="118" spans="1:15" s="84" customFormat="1" ht="30" customHeight="1" x14ac:dyDescent="0.25">
      <c r="A118" s="46">
        <v>7426</v>
      </c>
      <c r="B118" s="46">
        <v>453</v>
      </c>
      <c r="C118" s="3" t="s">
        <v>463</v>
      </c>
      <c r="D118" s="62">
        <f>'дод 2'!E40</f>
        <v>15200000</v>
      </c>
      <c r="E118" s="62">
        <f>'дод 2'!F40</f>
        <v>0</v>
      </c>
      <c r="F118" s="62">
        <f>'дод 2'!G40</f>
        <v>0</v>
      </c>
      <c r="G118" s="62">
        <f>'дод 2'!H40</f>
        <v>0</v>
      </c>
      <c r="H118" s="62">
        <f>'дод 2'!I40</f>
        <v>15200000</v>
      </c>
      <c r="I118" s="62">
        <f>'дод 2'!J40</f>
        <v>0</v>
      </c>
      <c r="J118" s="62">
        <f>'дод 2'!K40</f>
        <v>0</v>
      </c>
      <c r="K118" s="62">
        <f>'дод 2'!L40</f>
        <v>0</v>
      </c>
      <c r="L118" s="62">
        <f>'дод 2'!M40</f>
        <v>0</v>
      </c>
      <c r="M118" s="62">
        <f>'дод 2'!N40</f>
        <v>0</v>
      </c>
      <c r="N118" s="62">
        <f>'дод 2'!O40</f>
        <v>0</v>
      </c>
      <c r="O118" s="62">
        <f>'дод 2'!P40</f>
        <v>15200000</v>
      </c>
    </row>
    <row r="119" spans="1:15" s="84" customFormat="1" ht="53.25" customHeight="1" x14ac:dyDescent="0.25">
      <c r="A119" s="46">
        <v>7462</v>
      </c>
      <c r="B119" s="46">
        <v>456</v>
      </c>
      <c r="C119" s="3" t="s">
        <v>451</v>
      </c>
      <c r="D119" s="62">
        <f>'дод 2'!E155</f>
        <v>0</v>
      </c>
      <c r="E119" s="62">
        <f>'дод 2'!F155</f>
        <v>0</v>
      </c>
      <c r="F119" s="62">
        <f>'дод 2'!G155</f>
        <v>0</v>
      </c>
      <c r="G119" s="62">
        <f>'дод 2'!H155</f>
        <v>0</v>
      </c>
      <c r="H119" s="62">
        <f>'дод 2'!I155</f>
        <v>0</v>
      </c>
      <c r="I119" s="62">
        <f>'дод 2'!J155</f>
        <v>80000000</v>
      </c>
      <c r="J119" s="62">
        <f>'дод 2'!K155</f>
        <v>0</v>
      </c>
      <c r="K119" s="62">
        <f>'дод 2'!L155</f>
        <v>80000000</v>
      </c>
      <c r="L119" s="62">
        <f>'дод 2'!M155</f>
        <v>0</v>
      </c>
      <c r="M119" s="62">
        <f>'дод 2'!N155</f>
        <v>0</v>
      </c>
      <c r="N119" s="62">
        <f>'дод 2'!O155</f>
        <v>0</v>
      </c>
      <c r="O119" s="62">
        <f>'дод 2'!P155</f>
        <v>80000000</v>
      </c>
    </row>
    <row r="120" spans="1:15" s="84" customFormat="1" ht="17.25" customHeight="1" x14ac:dyDescent="0.25">
      <c r="A120" s="46"/>
      <c r="B120" s="46"/>
      <c r="C120" s="3" t="s">
        <v>308</v>
      </c>
      <c r="D120" s="62">
        <f>'дод 2'!E156</f>
        <v>0</v>
      </c>
      <c r="E120" s="62">
        <f>'дод 2'!F156</f>
        <v>0</v>
      </c>
      <c r="F120" s="62">
        <f>'дод 2'!G156</f>
        <v>0</v>
      </c>
      <c r="G120" s="62">
        <f>'дод 2'!H156</f>
        <v>0</v>
      </c>
      <c r="H120" s="62">
        <f>'дод 2'!I156</f>
        <v>0</v>
      </c>
      <c r="I120" s="62">
        <f>'дод 2'!J156</f>
        <v>80000000</v>
      </c>
      <c r="J120" s="62">
        <f>'дод 2'!K156</f>
        <v>0</v>
      </c>
      <c r="K120" s="62">
        <f>'дод 2'!L156</f>
        <v>80000000</v>
      </c>
      <c r="L120" s="62">
        <f>'дод 2'!M156</f>
        <v>0</v>
      </c>
      <c r="M120" s="62">
        <f>'дод 2'!N156</f>
        <v>0</v>
      </c>
      <c r="N120" s="62">
        <f>'дод 2'!O156</f>
        <v>0</v>
      </c>
      <c r="O120" s="62">
        <f>'дод 2'!P156</f>
        <v>80000000</v>
      </c>
    </row>
    <row r="121" spans="1:15" s="82" customFormat="1" ht="28.5" customHeight="1" x14ac:dyDescent="0.25">
      <c r="A121" s="48" t="s">
        <v>279</v>
      </c>
      <c r="B121" s="50"/>
      <c r="C121" s="2" t="s">
        <v>280</v>
      </c>
      <c r="D121" s="61">
        <f t="shared" ref="D121:O121" si="16">D122</f>
        <v>13450000</v>
      </c>
      <c r="E121" s="61">
        <f t="shared" si="16"/>
        <v>13450000</v>
      </c>
      <c r="F121" s="61">
        <f t="shared" si="16"/>
        <v>0</v>
      </c>
      <c r="G121" s="61">
        <f t="shared" si="16"/>
        <v>0</v>
      </c>
      <c r="H121" s="61">
        <f t="shared" si="16"/>
        <v>0</v>
      </c>
      <c r="I121" s="61">
        <f t="shared" si="16"/>
        <v>6050000</v>
      </c>
      <c r="J121" s="61">
        <f t="shared" si="16"/>
        <v>6050000</v>
      </c>
      <c r="K121" s="61">
        <f t="shared" si="16"/>
        <v>0</v>
      </c>
      <c r="L121" s="61">
        <f t="shared" si="16"/>
        <v>0</v>
      </c>
      <c r="M121" s="61">
        <f t="shared" si="16"/>
        <v>0</v>
      </c>
      <c r="N121" s="61">
        <f t="shared" si="16"/>
        <v>6050000</v>
      </c>
      <c r="O121" s="61">
        <f t="shared" si="16"/>
        <v>19500000</v>
      </c>
    </row>
    <row r="122" spans="1:15" ht="37.5" customHeight="1" x14ac:dyDescent="0.25">
      <c r="A122" s="49" t="s">
        <v>277</v>
      </c>
      <c r="B122" s="49" t="s">
        <v>278</v>
      </c>
      <c r="C122" s="11" t="s">
        <v>276</v>
      </c>
      <c r="D122" s="62">
        <f>'дод 2'!E41</f>
        <v>13450000</v>
      </c>
      <c r="E122" s="62">
        <f>'дод 2'!F41</f>
        <v>13450000</v>
      </c>
      <c r="F122" s="62">
        <f>'дод 2'!G41</f>
        <v>0</v>
      </c>
      <c r="G122" s="62">
        <f>'дод 2'!H41</f>
        <v>0</v>
      </c>
      <c r="H122" s="62">
        <f>'дод 2'!I41</f>
        <v>0</v>
      </c>
      <c r="I122" s="62">
        <f>'дод 2'!J41</f>
        <v>6050000</v>
      </c>
      <c r="J122" s="62">
        <f>'дод 2'!K41</f>
        <v>6050000</v>
      </c>
      <c r="K122" s="62">
        <f>'дод 2'!L41</f>
        <v>0</v>
      </c>
      <c r="L122" s="62">
        <f>'дод 2'!M41</f>
        <v>0</v>
      </c>
      <c r="M122" s="62">
        <f>'дод 2'!N41</f>
        <v>0</v>
      </c>
      <c r="N122" s="62">
        <f>'дод 2'!O41</f>
        <v>6050000</v>
      </c>
      <c r="O122" s="62">
        <f>'дод 2'!P41</f>
        <v>19500000</v>
      </c>
    </row>
    <row r="123" spans="1:15" s="82" customFormat="1" ht="38.25" customHeight="1" x14ac:dyDescent="0.25">
      <c r="A123" s="47" t="s">
        <v>108</v>
      </c>
      <c r="B123" s="50"/>
      <c r="C123" s="2" t="s">
        <v>5</v>
      </c>
      <c r="D123" s="61">
        <f t="shared" ref="D123:O123" si="17">D124+D125+D126+D127+D128+D129+D130+D131</f>
        <v>8599667</v>
      </c>
      <c r="E123" s="61">
        <f t="shared" si="17"/>
        <v>6782667</v>
      </c>
      <c r="F123" s="61">
        <f t="shared" si="17"/>
        <v>0</v>
      </c>
      <c r="G123" s="61">
        <f t="shared" si="17"/>
        <v>0</v>
      </c>
      <c r="H123" s="61">
        <f t="shared" si="17"/>
        <v>1817000</v>
      </c>
      <c r="I123" s="61">
        <f t="shared" si="17"/>
        <v>153039184.13</v>
      </c>
      <c r="J123" s="61">
        <f t="shared" si="17"/>
        <v>139415052</v>
      </c>
      <c r="K123" s="61">
        <f t="shared" si="17"/>
        <v>2171363.0100000002</v>
      </c>
      <c r="L123" s="61">
        <f t="shared" si="17"/>
        <v>0</v>
      </c>
      <c r="M123" s="61">
        <f t="shared" si="17"/>
        <v>0</v>
      </c>
      <c r="N123" s="61">
        <f t="shared" si="17"/>
        <v>150867821.12</v>
      </c>
      <c r="O123" s="61">
        <f t="shared" si="17"/>
        <v>161638851.13</v>
      </c>
    </row>
    <row r="124" spans="1:15" ht="30.75" customHeight="1" x14ac:dyDescent="0.25">
      <c r="A124" s="46" t="s">
        <v>6</v>
      </c>
      <c r="B124" s="46" t="s">
        <v>107</v>
      </c>
      <c r="C124" s="3" t="s">
        <v>32</v>
      </c>
      <c r="D124" s="62">
        <f>'дод 2'!E42+'дод 2'!E193</f>
        <v>1235000</v>
      </c>
      <c r="E124" s="62">
        <f>'дод 2'!F42+'дод 2'!F193</f>
        <v>617000</v>
      </c>
      <c r="F124" s="62">
        <f>'дод 2'!G42+'дод 2'!G193</f>
        <v>0</v>
      </c>
      <c r="G124" s="62">
        <f>'дод 2'!H42+'дод 2'!H193</f>
        <v>0</v>
      </c>
      <c r="H124" s="62">
        <f>'дод 2'!I42+'дод 2'!I193</f>
        <v>618000</v>
      </c>
      <c r="I124" s="62">
        <f>'дод 2'!J42+'дод 2'!J193</f>
        <v>0</v>
      </c>
      <c r="J124" s="62">
        <f>'дод 2'!K42+'дод 2'!K193</f>
        <v>0</v>
      </c>
      <c r="K124" s="62">
        <f>'дод 2'!L42+'дод 2'!L193</f>
        <v>0</v>
      </c>
      <c r="L124" s="62">
        <f>'дод 2'!M42+'дод 2'!M193</f>
        <v>0</v>
      </c>
      <c r="M124" s="62">
        <f>'дод 2'!N42+'дод 2'!N193</f>
        <v>0</v>
      </c>
      <c r="N124" s="62">
        <f>'дод 2'!O42+'дод 2'!O193</f>
        <v>0</v>
      </c>
      <c r="O124" s="62">
        <f>'дод 2'!P42+'дод 2'!P193</f>
        <v>1235000</v>
      </c>
    </row>
    <row r="125" spans="1:15" ht="24.75" customHeight="1" x14ac:dyDescent="0.25">
      <c r="A125" s="46" t="s">
        <v>3</v>
      </c>
      <c r="B125" s="46" t="s">
        <v>106</v>
      </c>
      <c r="C125" s="3" t="s">
        <v>45</v>
      </c>
      <c r="D125" s="62">
        <f>'дод 2'!E77+'дод 2'!E97+'дод 2'!E134+'дод 2'!E157+'дод 2'!E179+'дод 2'!E200</f>
        <v>4350811</v>
      </c>
      <c r="E125" s="62">
        <f>'дод 2'!F77+'дод 2'!F97+'дод 2'!F134+'дод 2'!F157+'дод 2'!F179+'дод 2'!F200</f>
        <v>3151811</v>
      </c>
      <c r="F125" s="62">
        <f>'дод 2'!G77+'дод 2'!G97+'дод 2'!G134+'дод 2'!G157+'дод 2'!G179+'дод 2'!G200</f>
        <v>0</v>
      </c>
      <c r="G125" s="62">
        <f>'дод 2'!H77+'дод 2'!H97+'дод 2'!H134+'дод 2'!H157+'дод 2'!H179+'дод 2'!H200</f>
        <v>0</v>
      </c>
      <c r="H125" s="62">
        <f>'дод 2'!I77+'дод 2'!I97+'дод 2'!I134+'дод 2'!I157+'дод 2'!I179+'дод 2'!I200</f>
        <v>1199000</v>
      </c>
      <c r="I125" s="62">
        <f>'дод 2'!J77+'дод 2'!J97+'дод 2'!J134+'дод 2'!J157+'дод 2'!J179+'дод 2'!J200</f>
        <v>109462174</v>
      </c>
      <c r="J125" s="62">
        <f>'дод 2'!K77+'дод 2'!K97+'дод 2'!K134+'дод 2'!K157+'дод 2'!K179+'дод 2'!K200</f>
        <v>99725722</v>
      </c>
      <c r="K125" s="62">
        <f>'дод 2'!L77+'дод 2'!L97+'дод 2'!L134+'дод 2'!L157+'дод 2'!L179+'дод 2'!L200</f>
        <v>0</v>
      </c>
      <c r="L125" s="62">
        <f>'дод 2'!M77+'дод 2'!M97+'дод 2'!M134+'дод 2'!M157+'дод 2'!M179+'дод 2'!M200</f>
        <v>0</v>
      </c>
      <c r="M125" s="62">
        <f>'дод 2'!N77+'дод 2'!N97+'дод 2'!N134+'дод 2'!N157+'дод 2'!N179+'дод 2'!N200</f>
        <v>0</v>
      </c>
      <c r="N125" s="62">
        <f>'дод 2'!O77+'дод 2'!O97+'дод 2'!O134+'дод 2'!O157+'дод 2'!O179+'дод 2'!O200</f>
        <v>109462174</v>
      </c>
      <c r="O125" s="62">
        <f>'дод 2'!P77+'дод 2'!P97+'дод 2'!P134+'дод 2'!P157+'дод 2'!P179+'дод 2'!P200</f>
        <v>113812985</v>
      </c>
    </row>
    <row r="126" spans="1:15" ht="33.75" customHeight="1" x14ac:dyDescent="0.25">
      <c r="A126" s="46" t="s">
        <v>310</v>
      </c>
      <c r="B126" s="46" t="s">
        <v>102</v>
      </c>
      <c r="C126" s="3" t="s">
        <v>407</v>
      </c>
      <c r="D126" s="62">
        <f>'дод 2'!E194</f>
        <v>0</v>
      </c>
      <c r="E126" s="62">
        <f>'дод 2'!F194</f>
        <v>0</v>
      </c>
      <c r="F126" s="62">
        <f>'дод 2'!G194</f>
        <v>0</v>
      </c>
      <c r="G126" s="62">
        <f>'дод 2'!H194</f>
        <v>0</v>
      </c>
      <c r="H126" s="62">
        <f>'дод 2'!I194</f>
        <v>0</v>
      </c>
      <c r="I126" s="62">
        <f>'дод 2'!J194</f>
        <v>30000</v>
      </c>
      <c r="J126" s="62">
        <f>'дод 2'!K194</f>
        <v>30000</v>
      </c>
      <c r="K126" s="62">
        <f>'дод 2'!L194</f>
        <v>0</v>
      </c>
      <c r="L126" s="62">
        <f>'дод 2'!M194</f>
        <v>0</v>
      </c>
      <c r="M126" s="62">
        <f>'дод 2'!N194</f>
        <v>0</v>
      </c>
      <c r="N126" s="62">
        <f>'дод 2'!O194</f>
        <v>30000</v>
      </c>
      <c r="O126" s="62">
        <f>'дод 2'!P194</f>
        <v>30000</v>
      </c>
    </row>
    <row r="127" spans="1:15" ht="59.25" customHeight="1" x14ac:dyDescent="0.25">
      <c r="A127" s="46" t="s">
        <v>312</v>
      </c>
      <c r="B127" s="46" t="s">
        <v>102</v>
      </c>
      <c r="C127" s="3" t="s">
        <v>313</v>
      </c>
      <c r="D127" s="62">
        <f>'дод 2'!E195</f>
        <v>0</v>
      </c>
      <c r="E127" s="62">
        <f>'дод 2'!F195</f>
        <v>0</v>
      </c>
      <c r="F127" s="62">
        <f>'дод 2'!G195</f>
        <v>0</v>
      </c>
      <c r="G127" s="62">
        <f>'дод 2'!H195</f>
        <v>0</v>
      </c>
      <c r="H127" s="62">
        <f>'дод 2'!I195</f>
        <v>0</v>
      </c>
      <c r="I127" s="62">
        <f>'дод 2'!J195</f>
        <v>45000</v>
      </c>
      <c r="J127" s="62">
        <f>'дод 2'!K195</f>
        <v>45000</v>
      </c>
      <c r="K127" s="62">
        <f>'дод 2'!L195</f>
        <v>0</v>
      </c>
      <c r="L127" s="62">
        <f>'дод 2'!M195</f>
        <v>0</v>
      </c>
      <c r="M127" s="62">
        <f>'дод 2'!N195</f>
        <v>0</v>
      </c>
      <c r="N127" s="62">
        <f>'дод 2'!O195</f>
        <v>45000</v>
      </c>
      <c r="O127" s="62">
        <f>'дод 2'!P195</f>
        <v>45000</v>
      </c>
    </row>
    <row r="128" spans="1:15" ht="30.75" customHeight="1" x14ac:dyDescent="0.25">
      <c r="A128" s="46" t="s">
        <v>7</v>
      </c>
      <c r="B128" s="46" t="s">
        <v>102</v>
      </c>
      <c r="C128" s="3" t="s">
        <v>33</v>
      </c>
      <c r="D128" s="62">
        <f>'дод 2'!E43+'дод 2'!E158</f>
        <v>0</v>
      </c>
      <c r="E128" s="62">
        <f>'дод 2'!F43+'дод 2'!F158</f>
        <v>0</v>
      </c>
      <c r="F128" s="62">
        <f>'дод 2'!G43+'дод 2'!G158</f>
        <v>0</v>
      </c>
      <c r="G128" s="62">
        <f>'дод 2'!H43+'дод 2'!H158</f>
        <v>0</v>
      </c>
      <c r="H128" s="62">
        <f>'дод 2'!I43+'дод 2'!I158</f>
        <v>0</v>
      </c>
      <c r="I128" s="62">
        <f>'дод 2'!J43+'дод 2'!J158</f>
        <v>39614330</v>
      </c>
      <c r="J128" s="62">
        <f>'дод 2'!K43+'дод 2'!K158</f>
        <v>39614330</v>
      </c>
      <c r="K128" s="62">
        <f>'дод 2'!L43+'дод 2'!L158</f>
        <v>0</v>
      </c>
      <c r="L128" s="62">
        <f>'дод 2'!M43+'дод 2'!M158</f>
        <v>0</v>
      </c>
      <c r="M128" s="62">
        <f>'дод 2'!N43+'дод 2'!N158</f>
        <v>0</v>
      </c>
      <c r="N128" s="62">
        <f>'дод 2'!O43+'дод 2'!O158</f>
        <v>39614330</v>
      </c>
      <c r="O128" s="62">
        <f>'дод 2'!P43+'дод 2'!P158</f>
        <v>39614330</v>
      </c>
    </row>
    <row r="129" spans="1:15" ht="36.75" customHeight="1" x14ac:dyDescent="0.25">
      <c r="A129" s="46" t="s">
        <v>290</v>
      </c>
      <c r="B129" s="46" t="s">
        <v>102</v>
      </c>
      <c r="C129" s="3" t="s">
        <v>291</v>
      </c>
      <c r="D129" s="62">
        <f>'дод 2'!E44</f>
        <v>241467</v>
      </c>
      <c r="E129" s="62">
        <f>'дод 2'!F44</f>
        <v>241467</v>
      </c>
      <c r="F129" s="62">
        <f>'дод 2'!G44</f>
        <v>0</v>
      </c>
      <c r="G129" s="62">
        <f>'дод 2'!H44</f>
        <v>0</v>
      </c>
      <c r="H129" s="62">
        <f>'дод 2'!I44</f>
        <v>0</v>
      </c>
      <c r="I129" s="62">
        <f>'дод 2'!J44</f>
        <v>0</v>
      </c>
      <c r="J129" s="62">
        <f>'дод 2'!K44</f>
        <v>0</v>
      </c>
      <c r="K129" s="62">
        <f>'дод 2'!L44</f>
        <v>0</v>
      </c>
      <c r="L129" s="62">
        <f>'дод 2'!M44</f>
        <v>0</v>
      </c>
      <c r="M129" s="62">
        <f>'дод 2'!N44</f>
        <v>0</v>
      </c>
      <c r="N129" s="62">
        <f>'дод 2'!O44</f>
        <v>0</v>
      </c>
      <c r="O129" s="62">
        <f>'дод 2'!P44</f>
        <v>241467</v>
      </c>
    </row>
    <row r="130" spans="1:15" s="84" customFormat="1" ht="108" customHeight="1" x14ac:dyDescent="0.25">
      <c r="A130" s="46" t="s">
        <v>346</v>
      </c>
      <c r="B130" s="46" t="s">
        <v>102</v>
      </c>
      <c r="C130" s="3" t="s">
        <v>367</v>
      </c>
      <c r="D130" s="62">
        <f>'дод 2'!E45+'дод 2'!E159+'дод 2'!E180+'дод 2'!E185</f>
        <v>0</v>
      </c>
      <c r="E130" s="62">
        <f>'дод 2'!F45+'дод 2'!F159+'дод 2'!F180+'дод 2'!F185</f>
        <v>0</v>
      </c>
      <c r="F130" s="62">
        <f>'дод 2'!G45+'дод 2'!G159+'дод 2'!G180+'дод 2'!G185</f>
        <v>0</v>
      </c>
      <c r="G130" s="62">
        <f>'дод 2'!H45+'дод 2'!H159+'дод 2'!H180+'дод 2'!H185</f>
        <v>0</v>
      </c>
      <c r="H130" s="62">
        <f>'дод 2'!I45+'дод 2'!I159+'дод 2'!I180+'дод 2'!I185</f>
        <v>0</v>
      </c>
      <c r="I130" s="62">
        <f>'дод 2'!J45+'дод 2'!J159+'дод 2'!J180+'дод 2'!J185</f>
        <v>3887680.13</v>
      </c>
      <c r="J130" s="62">
        <f>'дод 2'!K45+'дод 2'!K159+'дод 2'!K180+'дод 2'!K185</f>
        <v>0</v>
      </c>
      <c r="K130" s="62">
        <f>'дод 2'!L45+'дод 2'!L159+'дод 2'!L180+'дод 2'!L185</f>
        <v>2171363.0100000002</v>
      </c>
      <c r="L130" s="62">
        <f>'дод 2'!M45+'дод 2'!M159+'дод 2'!M180+'дод 2'!M185</f>
        <v>0</v>
      </c>
      <c r="M130" s="62">
        <f>'дод 2'!N45+'дод 2'!N159+'дод 2'!N180+'дод 2'!N185</f>
        <v>0</v>
      </c>
      <c r="N130" s="62">
        <f>'дод 2'!O45+'дод 2'!O159+'дод 2'!O180+'дод 2'!O185</f>
        <v>1716317.12</v>
      </c>
      <c r="O130" s="62">
        <f>'дод 2'!P45+'дод 2'!P159+'дод 2'!P180+'дод 2'!P185</f>
        <v>3887680.13</v>
      </c>
    </row>
    <row r="131" spans="1:15" s="84" customFormat="1" ht="30.75" customHeight="1" x14ac:dyDescent="0.25">
      <c r="A131" s="46" t="s">
        <v>281</v>
      </c>
      <c r="B131" s="46" t="s">
        <v>102</v>
      </c>
      <c r="C131" s="3" t="s">
        <v>23</v>
      </c>
      <c r="D131" s="62">
        <f>'дод 2'!E46+'дод 2'!E196+'дод 2'!E201</f>
        <v>2772389</v>
      </c>
      <c r="E131" s="62">
        <f>'дод 2'!F46+'дод 2'!F196+'дод 2'!F201</f>
        <v>2772389</v>
      </c>
      <c r="F131" s="62">
        <f>'дод 2'!G46+'дод 2'!G196+'дод 2'!G201</f>
        <v>0</v>
      </c>
      <c r="G131" s="62">
        <f>'дод 2'!H46+'дод 2'!H196+'дод 2'!H201</f>
        <v>0</v>
      </c>
      <c r="H131" s="62">
        <f>'дод 2'!I46+'дод 2'!I196+'дод 2'!I201</f>
        <v>0</v>
      </c>
      <c r="I131" s="62">
        <f>'дод 2'!J46+'дод 2'!J196+'дод 2'!J201</f>
        <v>0</v>
      </c>
      <c r="J131" s="62">
        <f>'дод 2'!K46+'дод 2'!K196+'дод 2'!K201</f>
        <v>0</v>
      </c>
      <c r="K131" s="62">
        <f>'дод 2'!L46+'дод 2'!L196+'дод 2'!L201</f>
        <v>0</v>
      </c>
      <c r="L131" s="62">
        <f>'дод 2'!M46+'дод 2'!M196+'дод 2'!M201</f>
        <v>0</v>
      </c>
      <c r="M131" s="62">
        <f>'дод 2'!N46+'дод 2'!N196+'дод 2'!N201</f>
        <v>0</v>
      </c>
      <c r="N131" s="62">
        <f>'дод 2'!O46+'дод 2'!O196+'дод 2'!O201</f>
        <v>0</v>
      </c>
      <c r="O131" s="62">
        <f>'дод 2'!P46+'дод 2'!P196+'дод 2'!P201</f>
        <v>2772389</v>
      </c>
    </row>
    <row r="132" spans="1:15" s="83" customFormat="1" ht="48.75" customHeight="1" x14ac:dyDescent="0.25">
      <c r="A132" s="47">
        <v>7700</v>
      </c>
      <c r="B132" s="47"/>
      <c r="C132" s="99" t="s">
        <v>426</v>
      </c>
      <c r="D132" s="61">
        <f>D133</f>
        <v>0</v>
      </c>
      <c r="E132" s="61">
        <f t="shared" ref="E132:O132" si="18">E133</f>
        <v>0</v>
      </c>
      <c r="F132" s="61">
        <f t="shared" si="18"/>
        <v>0</v>
      </c>
      <c r="G132" s="61">
        <f t="shared" si="18"/>
        <v>0</v>
      </c>
      <c r="H132" s="61">
        <f t="shared" si="18"/>
        <v>0</v>
      </c>
      <c r="I132" s="61">
        <f t="shared" si="18"/>
        <v>885000</v>
      </c>
      <c r="J132" s="61">
        <f t="shared" si="18"/>
        <v>0</v>
      </c>
      <c r="K132" s="61">
        <f t="shared" si="18"/>
        <v>0</v>
      </c>
      <c r="L132" s="61">
        <f t="shared" si="18"/>
        <v>0</v>
      </c>
      <c r="M132" s="61">
        <f t="shared" si="18"/>
        <v>0</v>
      </c>
      <c r="N132" s="61">
        <f t="shared" si="18"/>
        <v>885000</v>
      </c>
      <c r="O132" s="61">
        <f t="shared" si="18"/>
        <v>885000</v>
      </c>
    </row>
    <row r="133" spans="1:15" s="84" customFormat="1" ht="46.5" customHeight="1" x14ac:dyDescent="0.25">
      <c r="A133" s="46">
        <v>7700</v>
      </c>
      <c r="B133" s="98" t="s">
        <v>113</v>
      </c>
      <c r="C133" s="24" t="s">
        <v>426</v>
      </c>
      <c r="D133" s="62">
        <f>'дод 2'!E98</f>
        <v>0</v>
      </c>
      <c r="E133" s="62">
        <f>'дод 2'!F98</f>
        <v>0</v>
      </c>
      <c r="F133" s="62">
        <f>'дод 2'!G98</f>
        <v>0</v>
      </c>
      <c r="G133" s="62">
        <f>'дод 2'!H98</f>
        <v>0</v>
      </c>
      <c r="H133" s="62">
        <f>'дод 2'!I98</f>
        <v>0</v>
      </c>
      <c r="I133" s="62">
        <f>'дод 2'!J98</f>
        <v>885000</v>
      </c>
      <c r="J133" s="62">
        <f>'дод 2'!K98</f>
        <v>0</v>
      </c>
      <c r="K133" s="62">
        <f>'дод 2'!L98</f>
        <v>0</v>
      </c>
      <c r="L133" s="62">
        <f>'дод 2'!M98</f>
        <v>0</v>
      </c>
      <c r="M133" s="62">
        <f>'дод 2'!N98</f>
        <v>0</v>
      </c>
      <c r="N133" s="62">
        <f>'дод 2'!O98</f>
        <v>885000</v>
      </c>
      <c r="O133" s="62">
        <f>'дод 2'!P98</f>
        <v>885000</v>
      </c>
    </row>
    <row r="134" spans="1:15" s="82" customFormat="1" x14ac:dyDescent="0.25">
      <c r="A134" s="47" t="s">
        <v>114</v>
      </c>
      <c r="B134" s="48"/>
      <c r="C134" s="2" t="s">
        <v>9</v>
      </c>
      <c r="D134" s="61">
        <f t="shared" ref="D134:O134" si="19">D135+D138+D140+D143+D145+D146</f>
        <v>11880585</v>
      </c>
      <c r="E134" s="61">
        <f t="shared" si="19"/>
        <v>6273513</v>
      </c>
      <c r="F134" s="61">
        <f t="shared" si="19"/>
        <v>1542220</v>
      </c>
      <c r="G134" s="61">
        <f t="shared" si="19"/>
        <v>413540</v>
      </c>
      <c r="H134" s="61">
        <f t="shared" si="19"/>
        <v>0</v>
      </c>
      <c r="I134" s="61">
        <f t="shared" si="19"/>
        <v>8664643.4499999993</v>
      </c>
      <c r="J134" s="61">
        <f t="shared" si="19"/>
        <v>2299600</v>
      </c>
      <c r="K134" s="61">
        <f t="shared" si="19"/>
        <v>2552000</v>
      </c>
      <c r="L134" s="61">
        <f t="shared" si="19"/>
        <v>0</v>
      </c>
      <c r="M134" s="61">
        <f t="shared" si="19"/>
        <v>541400</v>
      </c>
      <c r="N134" s="61">
        <f t="shared" si="19"/>
        <v>6112643.4500000002</v>
      </c>
      <c r="O134" s="61">
        <f t="shared" si="19"/>
        <v>20545228.449999999</v>
      </c>
    </row>
    <row r="135" spans="1:15" s="82" customFormat="1" ht="39.75" customHeight="1" x14ac:dyDescent="0.25">
      <c r="A135" s="47" t="s">
        <v>116</v>
      </c>
      <c r="B135" s="48"/>
      <c r="C135" s="2" t="s">
        <v>10</v>
      </c>
      <c r="D135" s="61">
        <f t="shared" ref="D135:O135" si="20">D136+D137</f>
        <v>4703088</v>
      </c>
      <c r="E135" s="61">
        <f t="shared" si="20"/>
        <v>4703088</v>
      </c>
      <c r="F135" s="61">
        <f t="shared" si="20"/>
        <v>1542220</v>
      </c>
      <c r="G135" s="61">
        <f t="shared" si="20"/>
        <v>135380</v>
      </c>
      <c r="H135" s="61">
        <f t="shared" si="20"/>
        <v>0</v>
      </c>
      <c r="I135" s="61">
        <f t="shared" si="20"/>
        <v>2305100</v>
      </c>
      <c r="J135" s="61">
        <f t="shared" si="20"/>
        <v>2299600</v>
      </c>
      <c r="K135" s="61">
        <f t="shared" si="20"/>
        <v>5500</v>
      </c>
      <c r="L135" s="61">
        <f t="shared" si="20"/>
        <v>0</v>
      </c>
      <c r="M135" s="61">
        <f t="shared" si="20"/>
        <v>1400</v>
      </c>
      <c r="N135" s="61">
        <f t="shared" si="20"/>
        <v>2299600</v>
      </c>
      <c r="O135" s="61">
        <f t="shared" si="20"/>
        <v>7008188</v>
      </c>
    </row>
    <row r="136" spans="1:15" s="82" customFormat="1" ht="36.75" customHeight="1" x14ac:dyDescent="0.25">
      <c r="A136" s="49" t="s">
        <v>11</v>
      </c>
      <c r="B136" s="49" t="s">
        <v>109</v>
      </c>
      <c r="C136" s="3" t="s">
        <v>347</v>
      </c>
      <c r="D136" s="62">
        <f>'дод 2'!E47+'дод 2'!E160</f>
        <v>2672818</v>
      </c>
      <c r="E136" s="62">
        <f>'дод 2'!F47+'дод 2'!F160</f>
        <v>2672818</v>
      </c>
      <c r="F136" s="62">
        <f>'дод 2'!G47+'дод 2'!G160</f>
        <v>0</v>
      </c>
      <c r="G136" s="62">
        <f>'дод 2'!H47+'дод 2'!H160</f>
        <v>55500</v>
      </c>
      <c r="H136" s="62">
        <f>'дод 2'!I47+'дод 2'!I160</f>
        <v>0</v>
      </c>
      <c r="I136" s="62">
        <f>'дод 2'!J47+'дод 2'!J160</f>
        <v>2299600</v>
      </c>
      <c r="J136" s="62">
        <f>'дод 2'!K47+'дод 2'!K160</f>
        <v>2299600</v>
      </c>
      <c r="K136" s="62">
        <f>'дод 2'!L47+'дод 2'!L160</f>
        <v>0</v>
      </c>
      <c r="L136" s="62">
        <f>'дод 2'!M47+'дод 2'!M160</f>
        <v>0</v>
      </c>
      <c r="M136" s="62">
        <f>'дод 2'!N47+'дод 2'!N160</f>
        <v>0</v>
      </c>
      <c r="N136" s="62">
        <f>'дод 2'!O47+'дод 2'!O160</f>
        <v>2299600</v>
      </c>
      <c r="O136" s="62">
        <f>'дод 2'!P47+'дод 2'!P160</f>
        <v>4972418</v>
      </c>
    </row>
    <row r="137" spans="1:15" ht="24.75" customHeight="1" x14ac:dyDescent="0.25">
      <c r="A137" s="46" t="s">
        <v>179</v>
      </c>
      <c r="B137" s="51" t="s">
        <v>109</v>
      </c>
      <c r="C137" s="3" t="s">
        <v>12</v>
      </c>
      <c r="D137" s="62">
        <f>'дод 2'!E48</f>
        <v>2030270</v>
      </c>
      <c r="E137" s="62">
        <f>'дод 2'!F48</f>
        <v>2030270</v>
      </c>
      <c r="F137" s="62">
        <f>'дод 2'!G48</f>
        <v>1542220</v>
      </c>
      <c r="G137" s="62">
        <f>'дод 2'!H48</f>
        <v>79880</v>
      </c>
      <c r="H137" s="62">
        <f>'дод 2'!I48</f>
        <v>0</v>
      </c>
      <c r="I137" s="62">
        <f>'дод 2'!J48</f>
        <v>5500</v>
      </c>
      <c r="J137" s="62">
        <f>'дод 2'!K48</f>
        <v>0</v>
      </c>
      <c r="K137" s="62">
        <f>'дод 2'!L48</f>
        <v>5500</v>
      </c>
      <c r="L137" s="62">
        <f>'дод 2'!M48</f>
        <v>0</v>
      </c>
      <c r="M137" s="62">
        <f>'дод 2'!N48</f>
        <v>1400</v>
      </c>
      <c r="N137" s="62">
        <f>'дод 2'!O48</f>
        <v>0</v>
      </c>
      <c r="O137" s="62">
        <f>'дод 2'!P48</f>
        <v>2035770</v>
      </c>
    </row>
    <row r="138" spans="1:15" s="82" customFormat="1" ht="30" customHeight="1" x14ac:dyDescent="0.25">
      <c r="A138" s="47" t="s">
        <v>292</v>
      </c>
      <c r="B138" s="47"/>
      <c r="C138" s="12" t="s">
        <v>293</v>
      </c>
      <c r="D138" s="61">
        <f t="shared" ref="D138:O138" si="21">D139</f>
        <v>683360</v>
      </c>
      <c r="E138" s="61">
        <f t="shared" si="21"/>
        <v>683360</v>
      </c>
      <c r="F138" s="61">
        <f t="shared" si="21"/>
        <v>0</v>
      </c>
      <c r="G138" s="61">
        <f t="shared" si="21"/>
        <v>278160</v>
      </c>
      <c r="H138" s="61">
        <f t="shared" si="21"/>
        <v>0</v>
      </c>
      <c r="I138" s="61">
        <f t="shared" si="21"/>
        <v>0</v>
      </c>
      <c r="J138" s="61">
        <f t="shared" si="21"/>
        <v>0</v>
      </c>
      <c r="K138" s="61">
        <f t="shared" si="21"/>
        <v>0</v>
      </c>
      <c r="L138" s="61">
        <f t="shared" si="21"/>
        <v>0</v>
      </c>
      <c r="M138" s="61">
        <f t="shared" si="21"/>
        <v>0</v>
      </c>
      <c r="N138" s="61">
        <f t="shared" si="21"/>
        <v>0</v>
      </c>
      <c r="O138" s="61">
        <f t="shared" si="21"/>
        <v>683360</v>
      </c>
    </row>
    <row r="139" spans="1:15" ht="30" customHeight="1" x14ac:dyDescent="0.25">
      <c r="A139" s="46" t="s">
        <v>286</v>
      </c>
      <c r="B139" s="51" t="s">
        <v>287</v>
      </c>
      <c r="C139" s="3" t="s">
        <v>288</v>
      </c>
      <c r="D139" s="62">
        <f>'дод 2'!E49+'дод 2'!E161</f>
        <v>683360</v>
      </c>
      <c r="E139" s="62">
        <f>'дод 2'!F49+'дод 2'!F161</f>
        <v>683360</v>
      </c>
      <c r="F139" s="62">
        <f>'дод 2'!G49+'дод 2'!G161</f>
        <v>0</v>
      </c>
      <c r="G139" s="62">
        <f>'дод 2'!H49+'дод 2'!H161</f>
        <v>278160</v>
      </c>
      <c r="H139" s="62">
        <f>'дод 2'!I49+'дод 2'!I161</f>
        <v>0</v>
      </c>
      <c r="I139" s="62">
        <f>'дод 2'!J49+'дод 2'!J161</f>
        <v>0</v>
      </c>
      <c r="J139" s="62">
        <f>'дод 2'!K49+'дод 2'!K161</f>
        <v>0</v>
      </c>
      <c r="K139" s="62">
        <f>'дод 2'!L49+'дод 2'!L161</f>
        <v>0</v>
      </c>
      <c r="L139" s="62">
        <f>'дод 2'!M49+'дод 2'!M161</f>
        <v>0</v>
      </c>
      <c r="M139" s="62">
        <f>'дод 2'!N49+'дод 2'!N161</f>
        <v>0</v>
      </c>
      <c r="N139" s="62">
        <f>'дод 2'!O49+'дод 2'!O161</f>
        <v>0</v>
      </c>
      <c r="O139" s="62">
        <f>'дод 2'!P49+'дод 2'!P161</f>
        <v>683360</v>
      </c>
    </row>
    <row r="140" spans="1:15" s="82" customFormat="1" ht="22.5" customHeight="1" x14ac:dyDescent="0.25">
      <c r="A140" s="47" t="s">
        <v>8</v>
      </c>
      <c r="B140" s="48"/>
      <c r="C140" s="2" t="s">
        <v>13</v>
      </c>
      <c r="D140" s="61">
        <f t="shared" ref="D140:O140" si="22">D142+D141</f>
        <v>75000</v>
      </c>
      <c r="E140" s="61">
        <f t="shared" si="22"/>
        <v>75000</v>
      </c>
      <c r="F140" s="61">
        <f t="shared" si="22"/>
        <v>0</v>
      </c>
      <c r="G140" s="61">
        <f t="shared" si="22"/>
        <v>0</v>
      </c>
      <c r="H140" s="61">
        <f t="shared" si="22"/>
        <v>0</v>
      </c>
      <c r="I140" s="61">
        <f t="shared" si="22"/>
        <v>6359543.4500000002</v>
      </c>
      <c r="J140" s="61">
        <f t="shared" si="22"/>
        <v>0</v>
      </c>
      <c r="K140" s="61">
        <f t="shared" si="22"/>
        <v>2546500</v>
      </c>
      <c r="L140" s="61">
        <f t="shared" si="22"/>
        <v>0</v>
      </c>
      <c r="M140" s="61">
        <f t="shared" si="22"/>
        <v>540000</v>
      </c>
      <c r="N140" s="61">
        <f t="shared" si="22"/>
        <v>3813043.45</v>
      </c>
      <c r="O140" s="61">
        <f t="shared" si="22"/>
        <v>6434543.4500000002</v>
      </c>
    </row>
    <row r="141" spans="1:15" s="82" customFormat="1" ht="46.5" customHeight="1" x14ac:dyDescent="0.25">
      <c r="A141" s="46">
        <v>8330</v>
      </c>
      <c r="B141" s="46">
        <v>540</v>
      </c>
      <c r="C141" s="3" t="s">
        <v>409</v>
      </c>
      <c r="D141" s="62">
        <f>'дод 2'!E202</f>
        <v>75000</v>
      </c>
      <c r="E141" s="62">
        <f>'дод 2'!F202</f>
        <v>75000</v>
      </c>
      <c r="F141" s="62">
        <f>'дод 2'!G202</f>
        <v>0</v>
      </c>
      <c r="G141" s="62">
        <f>'дод 2'!H202</f>
        <v>0</v>
      </c>
      <c r="H141" s="62">
        <f>'дод 2'!I202</f>
        <v>0</v>
      </c>
      <c r="I141" s="62">
        <f>'дод 2'!J202</f>
        <v>0</v>
      </c>
      <c r="J141" s="62">
        <f>'дод 2'!K202</f>
        <v>0</v>
      </c>
      <c r="K141" s="62">
        <f>'дод 2'!L202</f>
        <v>0</v>
      </c>
      <c r="L141" s="62">
        <f>'дод 2'!M202</f>
        <v>0</v>
      </c>
      <c r="M141" s="62">
        <f>'дод 2'!N202</f>
        <v>0</v>
      </c>
      <c r="N141" s="62">
        <f>'дод 2'!O202</f>
        <v>0</v>
      </c>
      <c r="O141" s="62">
        <f>'дод 2'!P202</f>
        <v>75000</v>
      </c>
    </row>
    <row r="142" spans="1:15" s="82" customFormat="1" ht="25.5" customHeight="1" x14ac:dyDescent="0.25">
      <c r="A142" s="46" t="s">
        <v>14</v>
      </c>
      <c r="B142" s="46" t="s">
        <v>112</v>
      </c>
      <c r="C142" s="3" t="s">
        <v>15</v>
      </c>
      <c r="D142" s="62">
        <f>'дод 2'!E50+'дод 2'!E78+'дод 2'!E162+'дод 2'!E203+'дод 2'!E135</f>
        <v>0</v>
      </c>
      <c r="E142" s="62">
        <f>'дод 2'!F50+'дод 2'!F78+'дод 2'!F162+'дод 2'!F203+'дод 2'!F135</f>
        <v>0</v>
      </c>
      <c r="F142" s="62">
        <f>'дод 2'!G50+'дод 2'!G78+'дод 2'!G162+'дод 2'!G203+'дод 2'!G135</f>
        <v>0</v>
      </c>
      <c r="G142" s="62">
        <f>'дод 2'!H50+'дод 2'!H78+'дод 2'!H162+'дод 2'!H203+'дод 2'!H135</f>
        <v>0</v>
      </c>
      <c r="H142" s="62">
        <f>'дод 2'!I50+'дод 2'!I78+'дод 2'!I162+'дод 2'!I203+'дод 2'!I135</f>
        <v>0</v>
      </c>
      <c r="I142" s="62">
        <f>'дод 2'!J50+'дод 2'!J78+'дод 2'!J162+'дод 2'!J203+'дод 2'!J135</f>
        <v>6359543.4500000002</v>
      </c>
      <c r="J142" s="62">
        <f>'дод 2'!K50+'дод 2'!K78+'дод 2'!K162+'дод 2'!K203+'дод 2'!K135</f>
        <v>0</v>
      </c>
      <c r="K142" s="62">
        <f>'дод 2'!L50+'дод 2'!L78+'дод 2'!L162+'дод 2'!L203+'дод 2'!L135</f>
        <v>2546500</v>
      </c>
      <c r="L142" s="62">
        <f>'дод 2'!M50+'дод 2'!M78+'дод 2'!M162+'дод 2'!M203+'дод 2'!M135</f>
        <v>0</v>
      </c>
      <c r="M142" s="62">
        <f>'дод 2'!N50+'дод 2'!N78+'дод 2'!N162+'дод 2'!N203+'дод 2'!N135</f>
        <v>540000</v>
      </c>
      <c r="N142" s="62">
        <f>'дод 2'!O50+'дод 2'!O78+'дод 2'!O162+'дод 2'!O203+'дод 2'!O135</f>
        <v>3813043.45</v>
      </c>
      <c r="O142" s="62">
        <f>'дод 2'!P50+'дод 2'!P78+'дод 2'!P162+'дод 2'!P203+'дод 2'!P135</f>
        <v>6359543.4500000002</v>
      </c>
    </row>
    <row r="143" spans="1:15" s="82" customFormat="1" ht="26.25" customHeight="1" x14ac:dyDescent="0.25">
      <c r="A143" s="47" t="s">
        <v>161</v>
      </c>
      <c r="B143" s="48"/>
      <c r="C143" s="2" t="s">
        <v>95</v>
      </c>
      <c r="D143" s="61">
        <f t="shared" ref="D143:O143" si="23">D144</f>
        <v>100000</v>
      </c>
      <c r="E143" s="61">
        <f t="shared" si="23"/>
        <v>100000</v>
      </c>
      <c r="F143" s="61">
        <f t="shared" si="23"/>
        <v>0</v>
      </c>
      <c r="G143" s="61">
        <f t="shared" si="23"/>
        <v>0</v>
      </c>
      <c r="H143" s="61">
        <f t="shared" si="23"/>
        <v>0</v>
      </c>
      <c r="I143" s="61">
        <f t="shared" si="23"/>
        <v>0</v>
      </c>
      <c r="J143" s="61">
        <f t="shared" si="23"/>
        <v>0</v>
      </c>
      <c r="K143" s="61">
        <f t="shared" si="23"/>
        <v>0</v>
      </c>
      <c r="L143" s="61">
        <f t="shared" si="23"/>
        <v>0</v>
      </c>
      <c r="M143" s="61">
        <f t="shared" si="23"/>
        <v>0</v>
      </c>
      <c r="N143" s="61">
        <f t="shared" si="23"/>
        <v>0</v>
      </c>
      <c r="O143" s="61">
        <f t="shared" si="23"/>
        <v>100000</v>
      </c>
    </row>
    <row r="144" spans="1:15" s="82" customFormat="1" ht="25.5" customHeight="1" x14ac:dyDescent="0.25">
      <c r="A144" s="46" t="s">
        <v>297</v>
      </c>
      <c r="B144" s="51" t="s">
        <v>96</v>
      </c>
      <c r="C144" s="3" t="s">
        <v>298</v>
      </c>
      <c r="D144" s="62">
        <f>'дод 2'!E51</f>
        <v>100000</v>
      </c>
      <c r="E144" s="62">
        <f>'дод 2'!F51</f>
        <v>100000</v>
      </c>
      <c r="F144" s="62">
        <f>'дод 2'!G51</f>
        <v>0</v>
      </c>
      <c r="G144" s="62">
        <f>'дод 2'!H51</f>
        <v>0</v>
      </c>
      <c r="H144" s="62">
        <f>'дод 2'!I51</f>
        <v>0</v>
      </c>
      <c r="I144" s="62">
        <f>'дод 2'!J51</f>
        <v>0</v>
      </c>
      <c r="J144" s="62">
        <f>'дод 2'!K51</f>
        <v>0</v>
      </c>
      <c r="K144" s="62">
        <f>'дод 2'!L51</f>
        <v>0</v>
      </c>
      <c r="L144" s="62">
        <f>'дод 2'!M51</f>
        <v>0</v>
      </c>
      <c r="M144" s="62">
        <f>'дод 2'!N51</f>
        <v>0</v>
      </c>
      <c r="N144" s="62">
        <f>'дод 2'!O51</f>
        <v>0</v>
      </c>
      <c r="O144" s="62">
        <f>'дод 2'!P51</f>
        <v>100000</v>
      </c>
    </row>
    <row r="145" spans="1:15" s="82" customFormat="1" ht="26.25" customHeight="1" x14ac:dyDescent="0.25">
      <c r="A145" s="47" t="s">
        <v>115</v>
      </c>
      <c r="B145" s="47" t="s">
        <v>110</v>
      </c>
      <c r="C145" s="2" t="s">
        <v>16</v>
      </c>
      <c r="D145" s="61">
        <f>'дод 2'!E204</f>
        <v>712065</v>
      </c>
      <c r="E145" s="61">
        <f>'дод 2'!F204</f>
        <v>712065</v>
      </c>
      <c r="F145" s="61">
        <f>'дод 2'!G204</f>
        <v>0</v>
      </c>
      <c r="G145" s="61">
        <f>'дод 2'!H204</f>
        <v>0</v>
      </c>
      <c r="H145" s="61">
        <f>'дод 2'!I204</f>
        <v>0</v>
      </c>
      <c r="I145" s="61">
        <f>'дод 2'!J204</f>
        <v>0</v>
      </c>
      <c r="J145" s="61">
        <f>'дод 2'!K204</f>
        <v>0</v>
      </c>
      <c r="K145" s="61">
        <f>'дод 2'!L204</f>
        <v>0</v>
      </c>
      <c r="L145" s="61">
        <f>'дод 2'!M204</f>
        <v>0</v>
      </c>
      <c r="M145" s="61">
        <f>'дод 2'!N204</f>
        <v>0</v>
      </c>
      <c r="N145" s="61">
        <f>'дод 2'!O204</f>
        <v>0</v>
      </c>
      <c r="O145" s="61">
        <f>'дод 2'!P204</f>
        <v>712065</v>
      </c>
    </row>
    <row r="146" spans="1:15" s="82" customFormat="1" ht="26.25" customHeight="1" x14ac:dyDescent="0.25">
      <c r="A146" s="47" t="s">
        <v>17</v>
      </c>
      <c r="B146" s="47" t="s">
        <v>113</v>
      </c>
      <c r="C146" s="2" t="s">
        <v>26</v>
      </c>
      <c r="D146" s="61">
        <f>'дод 2'!E205</f>
        <v>5607072</v>
      </c>
      <c r="E146" s="61">
        <f>'дод 2'!F205</f>
        <v>0</v>
      </c>
      <c r="F146" s="61">
        <f>'дод 2'!G205</f>
        <v>0</v>
      </c>
      <c r="G146" s="61">
        <f>'дод 2'!H205</f>
        <v>0</v>
      </c>
      <c r="H146" s="61">
        <f>'дод 2'!I205</f>
        <v>0</v>
      </c>
      <c r="I146" s="61">
        <f>'дод 2'!J205</f>
        <v>0</v>
      </c>
      <c r="J146" s="61">
        <f>'дод 2'!K205</f>
        <v>0</v>
      </c>
      <c r="K146" s="61">
        <f>'дод 2'!L205</f>
        <v>0</v>
      </c>
      <c r="L146" s="61">
        <f>'дод 2'!M205</f>
        <v>0</v>
      </c>
      <c r="M146" s="61">
        <f>'дод 2'!N205</f>
        <v>0</v>
      </c>
      <c r="N146" s="61">
        <f>'дод 2'!O205</f>
        <v>0</v>
      </c>
      <c r="O146" s="61">
        <f>'дод 2'!P205</f>
        <v>5607072</v>
      </c>
    </row>
    <row r="147" spans="1:15" s="82" customFormat="1" ht="27.75" customHeight="1" x14ac:dyDescent="0.25">
      <c r="A147" s="47" t="s">
        <v>18</v>
      </c>
      <c r="B147" s="47"/>
      <c r="C147" s="2" t="s">
        <v>131</v>
      </c>
      <c r="D147" s="61">
        <f>D148+D150+D152</f>
        <v>109689485</v>
      </c>
      <c r="E147" s="61">
        <f t="shared" ref="E147:O147" si="24">E148+E150+E152</f>
        <v>109689485</v>
      </c>
      <c r="F147" s="61">
        <f t="shared" si="24"/>
        <v>0</v>
      </c>
      <c r="G147" s="61">
        <f t="shared" si="24"/>
        <v>0</v>
      </c>
      <c r="H147" s="61">
        <f t="shared" si="24"/>
        <v>0</v>
      </c>
      <c r="I147" s="61">
        <f t="shared" si="24"/>
        <v>7632000</v>
      </c>
      <c r="J147" s="61">
        <f t="shared" si="24"/>
        <v>7632000</v>
      </c>
      <c r="K147" s="61">
        <f t="shared" si="24"/>
        <v>0</v>
      </c>
      <c r="L147" s="61">
        <f t="shared" si="24"/>
        <v>0</v>
      </c>
      <c r="M147" s="61">
        <f t="shared" si="24"/>
        <v>0</v>
      </c>
      <c r="N147" s="61">
        <f t="shared" si="24"/>
        <v>7632000</v>
      </c>
      <c r="O147" s="61">
        <f t="shared" si="24"/>
        <v>117321485</v>
      </c>
    </row>
    <row r="148" spans="1:15" s="82" customFormat="1" ht="21.75" customHeight="1" x14ac:dyDescent="0.25">
      <c r="A148" s="47" t="s">
        <v>295</v>
      </c>
      <c r="B148" s="47"/>
      <c r="C148" s="2" t="s">
        <v>348</v>
      </c>
      <c r="D148" s="61">
        <f t="shared" ref="D148:O148" si="25">D149</f>
        <v>108116600</v>
      </c>
      <c r="E148" s="61">
        <f t="shared" si="25"/>
        <v>108116600</v>
      </c>
      <c r="F148" s="61">
        <f t="shared" si="25"/>
        <v>0</v>
      </c>
      <c r="G148" s="61">
        <f t="shared" si="25"/>
        <v>0</v>
      </c>
      <c r="H148" s="61">
        <f t="shared" si="25"/>
        <v>0</v>
      </c>
      <c r="I148" s="61">
        <f t="shared" si="25"/>
        <v>0</v>
      </c>
      <c r="J148" s="61">
        <f t="shared" si="25"/>
        <v>0</v>
      </c>
      <c r="K148" s="61">
        <f t="shared" si="25"/>
        <v>0</v>
      </c>
      <c r="L148" s="61">
        <f t="shared" si="25"/>
        <v>0</v>
      </c>
      <c r="M148" s="61">
        <f t="shared" si="25"/>
        <v>0</v>
      </c>
      <c r="N148" s="61">
        <f t="shared" si="25"/>
        <v>0</v>
      </c>
      <c r="O148" s="61">
        <f t="shared" si="25"/>
        <v>108116600</v>
      </c>
    </row>
    <row r="149" spans="1:15" s="82" customFormat="1" ht="21.75" customHeight="1" x14ac:dyDescent="0.25">
      <c r="A149" s="46" t="s">
        <v>111</v>
      </c>
      <c r="B149" s="51" t="s">
        <v>59</v>
      </c>
      <c r="C149" s="3" t="s">
        <v>130</v>
      </c>
      <c r="D149" s="62">
        <f>'дод 2'!E206</f>
        <v>108116600</v>
      </c>
      <c r="E149" s="62">
        <f>'дод 2'!F206</f>
        <v>108116600</v>
      </c>
      <c r="F149" s="62">
        <f>'дод 2'!G206</f>
        <v>0</v>
      </c>
      <c r="G149" s="62">
        <f>'дод 2'!H206</f>
        <v>0</v>
      </c>
      <c r="H149" s="62">
        <f>'дод 2'!I206</f>
        <v>0</v>
      </c>
      <c r="I149" s="62">
        <f>'дод 2'!J206</f>
        <v>0</v>
      </c>
      <c r="J149" s="62">
        <f>'дод 2'!K206</f>
        <v>0</v>
      </c>
      <c r="K149" s="62">
        <f>'дод 2'!L206</f>
        <v>0</v>
      </c>
      <c r="L149" s="62">
        <f>'дод 2'!M206</f>
        <v>0</v>
      </c>
      <c r="M149" s="62">
        <f>'дод 2'!N206</f>
        <v>0</v>
      </c>
      <c r="N149" s="62">
        <f>'дод 2'!O206</f>
        <v>0</v>
      </c>
      <c r="O149" s="62">
        <f>'дод 2'!P206</f>
        <v>108116600</v>
      </c>
    </row>
    <row r="150" spans="1:15" s="82" customFormat="1" ht="50.25" customHeight="1" x14ac:dyDescent="0.25">
      <c r="A150" s="47" t="s">
        <v>19</v>
      </c>
      <c r="B150" s="48"/>
      <c r="C150" s="2" t="s">
        <v>408</v>
      </c>
      <c r="D150" s="61">
        <f t="shared" ref="D150:O150" si="26">D151</f>
        <v>1438000</v>
      </c>
      <c r="E150" s="61">
        <f t="shared" si="26"/>
        <v>1438000</v>
      </c>
      <c r="F150" s="61">
        <f t="shared" si="26"/>
        <v>0</v>
      </c>
      <c r="G150" s="61">
        <f t="shared" si="26"/>
        <v>0</v>
      </c>
      <c r="H150" s="61">
        <f t="shared" si="26"/>
        <v>0</v>
      </c>
      <c r="I150" s="61">
        <f t="shared" si="26"/>
        <v>7632000</v>
      </c>
      <c r="J150" s="61">
        <f t="shared" si="26"/>
        <v>7632000</v>
      </c>
      <c r="K150" s="61">
        <f t="shared" si="26"/>
        <v>0</v>
      </c>
      <c r="L150" s="61">
        <f t="shared" si="26"/>
        <v>0</v>
      </c>
      <c r="M150" s="61">
        <f t="shared" si="26"/>
        <v>0</v>
      </c>
      <c r="N150" s="61">
        <f t="shared" si="26"/>
        <v>7632000</v>
      </c>
      <c r="O150" s="61">
        <f t="shared" si="26"/>
        <v>9070000</v>
      </c>
    </row>
    <row r="151" spans="1:15" s="82" customFormat="1" ht="30.75" customHeight="1" x14ac:dyDescent="0.25">
      <c r="A151" s="46" t="s">
        <v>20</v>
      </c>
      <c r="B151" s="51" t="s">
        <v>59</v>
      </c>
      <c r="C151" s="6" t="s">
        <v>417</v>
      </c>
      <c r="D151" s="62">
        <f>'дод 2'!E163+'дод 2'!E120</f>
        <v>1438000</v>
      </c>
      <c r="E151" s="62">
        <f>'дод 2'!F163+'дод 2'!F120</f>
        <v>1438000</v>
      </c>
      <c r="F151" s="62">
        <f>'дод 2'!G163+'дод 2'!G120</f>
        <v>0</v>
      </c>
      <c r="G151" s="62">
        <f>'дод 2'!H163+'дод 2'!H120</f>
        <v>0</v>
      </c>
      <c r="H151" s="62">
        <f>'дод 2'!I163+'дод 2'!I120</f>
        <v>0</v>
      </c>
      <c r="I151" s="62">
        <f>'дод 2'!J163+'дод 2'!J120</f>
        <v>7632000</v>
      </c>
      <c r="J151" s="62">
        <f>'дод 2'!K163+'дод 2'!K120</f>
        <v>7632000</v>
      </c>
      <c r="K151" s="62">
        <f>'дод 2'!L163+'дод 2'!L120</f>
        <v>0</v>
      </c>
      <c r="L151" s="62">
        <f>'дод 2'!M163+'дод 2'!M120</f>
        <v>0</v>
      </c>
      <c r="M151" s="62">
        <f>'дод 2'!N163+'дод 2'!N120</f>
        <v>0</v>
      </c>
      <c r="N151" s="62">
        <f>'дод 2'!O163+'дод 2'!O120</f>
        <v>7632000</v>
      </c>
      <c r="O151" s="62">
        <f>'дод 2'!P163+'дод 2'!P120</f>
        <v>9070000</v>
      </c>
    </row>
    <row r="152" spans="1:15" s="82" customFormat="1" ht="55.5" customHeight="1" x14ac:dyDescent="0.25">
      <c r="A152" s="47" t="s">
        <v>444</v>
      </c>
      <c r="B152" s="48" t="s">
        <v>59</v>
      </c>
      <c r="C152" s="9" t="s">
        <v>441</v>
      </c>
      <c r="D152" s="62">
        <f>'дод 2'!E79+'дод 2'!E52</f>
        <v>134885</v>
      </c>
      <c r="E152" s="62">
        <f>'дод 2'!F79+'дод 2'!F52</f>
        <v>134885</v>
      </c>
      <c r="F152" s="62">
        <f>'дод 2'!G79+'дод 2'!G52</f>
        <v>0</v>
      </c>
      <c r="G152" s="62">
        <f>'дод 2'!H79+'дод 2'!H52</f>
        <v>0</v>
      </c>
      <c r="H152" s="62">
        <f>'дод 2'!I79+'дод 2'!I52</f>
        <v>0</v>
      </c>
      <c r="I152" s="62">
        <f>'дод 2'!J79+'дод 2'!J52</f>
        <v>0</v>
      </c>
      <c r="J152" s="62">
        <f>'дод 2'!K79+'дод 2'!K52</f>
        <v>0</v>
      </c>
      <c r="K152" s="62">
        <f>'дод 2'!L79+'дод 2'!L52</f>
        <v>0</v>
      </c>
      <c r="L152" s="62">
        <f>'дод 2'!M79+'дод 2'!M52</f>
        <v>0</v>
      </c>
      <c r="M152" s="62">
        <f>'дод 2'!N79+'дод 2'!N52</f>
        <v>0</v>
      </c>
      <c r="N152" s="62">
        <f>'дод 2'!O79+'дод 2'!O52</f>
        <v>0</v>
      </c>
      <c r="O152" s="62">
        <f>'дод 2'!P79+'дод 2'!P52</f>
        <v>134885</v>
      </c>
    </row>
    <row r="153" spans="1:15" s="82" customFormat="1" ht="25.5" customHeight="1" x14ac:dyDescent="0.25">
      <c r="A153" s="7"/>
      <c r="B153" s="7"/>
      <c r="C153" s="2" t="s">
        <v>27</v>
      </c>
      <c r="D153" s="61">
        <f t="shared" ref="D153:O153" si="27">D19+D22+D39+D53+D77+D82+D89+D98+D134+D147</f>
        <v>2075845698.5900002</v>
      </c>
      <c r="E153" s="61">
        <f t="shared" si="27"/>
        <v>2007227188.5900002</v>
      </c>
      <c r="F153" s="61">
        <f t="shared" si="27"/>
        <v>908559932</v>
      </c>
      <c r="G153" s="61">
        <f t="shared" si="27"/>
        <v>119078887</v>
      </c>
      <c r="H153" s="61">
        <f t="shared" si="27"/>
        <v>63011438</v>
      </c>
      <c r="I153" s="61">
        <f t="shared" si="27"/>
        <v>607868367.11000001</v>
      </c>
      <c r="J153" s="61">
        <f t="shared" si="27"/>
        <v>447217120.46999997</v>
      </c>
      <c r="K153" s="61">
        <f t="shared" si="27"/>
        <v>144233011.00999999</v>
      </c>
      <c r="L153" s="61">
        <f t="shared" si="27"/>
        <v>9012497</v>
      </c>
      <c r="M153" s="61">
        <f t="shared" si="27"/>
        <v>3810541</v>
      </c>
      <c r="N153" s="61">
        <f t="shared" si="27"/>
        <v>463635356.09999996</v>
      </c>
      <c r="O153" s="61">
        <f t="shared" si="27"/>
        <v>2683714065.6999998</v>
      </c>
    </row>
    <row r="154" spans="1:15" s="82" customFormat="1" ht="25.5" customHeight="1" x14ac:dyDescent="0.25">
      <c r="A154" s="7"/>
      <c r="B154" s="7"/>
      <c r="C154" s="2" t="s">
        <v>308</v>
      </c>
      <c r="D154" s="61">
        <f>D23+D40+D99</f>
        <v>443759326</v>
      </c>
      <c r="E154" s="61">
        <f t="shared" ref="E154:O154" si="28">E23+E40+E99</f>
        <v>443759326</v>
      </c>
      <c r="F154" s="61">
        <f t="shared" si="28"/>
        <v>307191100</v>
      </c>
      <c r="G154" s="61">
        <f t="shared" si="28"/>
        <v>0</v>
      </c>
      <c r="H154" s="61">
        <f t="shared" si="28"/>
        <v>0</v>
      </c>
      <c r="I154" s="61">
        <f t="shared" si="28"/>
        <v>82674037.930000007</v>
      </c>
      <c r="J154" s="61">
        <f t="shared" si="28"/>
        <v>2674037.9299999997</v>
      </c>
      <c r="K154" s="61">
        <f t="shared" si="28"/>
        <v>80000000</v>
      </c>
      <c r="L154" s="61">
        <f t="shared" si="28"/>
        <v>0</v>
      </c>
      <c r="M154" s="61">
        <f t="shared" si="28"/>
        <v>0</v>
      </c>
      <c r="N154" s="61">
        <f t="shared" si="28"/>
        <v>2674037.9299999997</v>
      </c>
      <c r="O154" s="61">
        <f t="shared" si="28"/>
        <v>526433363.93000001</v>
      </c>
    </row>
    <row r="155" spans="1:15" s="82" customFormat="1" ht="25.5" customHeight="1" x14ac:dyDescent="0.25">
      <c r="A155" s="146"/>
      <c r="B155" s="146"/>
      <c r="C155" s="14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15" s="82" customFormat="1" ht="25.5" customHeight="1" x14ac:dyDescent="0.25">
      <c r="A156" s="146"/>
      <c r="B156" s="146"/>
      <c r="C156" s="147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</row>
    <row r="157" spans="1:15" s="82" customFormat="1" ht="25.5" customHeight="1" x14ac:dyDescent="0.25">
      <c r="A157" s="146"/>
      <c r="B157" s="146"/>
      <c r="C157" s="14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5" s="82" customFormat="1" ht="25.5" customHeight="1" x14ac:dyDescent="0.25">
      <c r="A158" s="146"/>
      <c r="B158" s="146"/>
      <c r="C158" s="147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</row>
    <row r="159" spans="1:15" s="54" customFormat="1" x14ac:dyDescent="0.25">
      <c r="A159" s="108"/>
      <c r="B159" s="53"/>
      <c r="C159" s="53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1:15" ht="15.75" customHeight="1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1:24" ht="28.5" customHeight="1" x14ac:dyDescent="0.45">
      <c r="A161" s="138" t="s">
        <v>457</v>
      </c>
      <c r="B161" s="138"/>
      <c r="C161" s="138"/>
      <c r="D161" s="138"/>
      <c r="E161" s="138"/>
      <c r="F161" s="138"/>
      <c r="G161" s="138"/>
      <c r="H161" s="138"/>
      <c r="I161" s="139"/>
      <c r="J161" s="139"/>
      <c r="K161" s="139"/>
      <c r="L161" s="140"/>
      <c r="M161" s="140"/>
      <c r="N161" s="155" t="s">
        <v>458</v>
      </c>
      <c r="O161" s="155"/>
      <c r="P161" s="155"/>
    </row>
    <row r="162" spans="1:24" ht="30" customHeight="1" x14ac:dyDescent="0.45">
      <c r="A162" s="141"/>
      <c r="B162" s="141"/>
      <c r="C162" s="141"/>
      <c r="D162" s="142"/>
      <c r="E162" s="143"/>
      <c r="F162" s="143"/>
      <c r="G162" s="143"/>
      <c r="H162" s="143"/>
      <c r="I162" s="143"/>
      <c r="J162" s="143"/>
      <c r="K162" s="144"/>
      <c r="L162" s="143"/>
      <c r="M162" s="143"/>
      <c r="N162" s="34"/>
      <c r="O162" s="34"/>
      <c r="P162" s="34"/>
    </row>
    <row r="163" spans="1:24" ht="30" customHeight="1" x14ac:dyDescent="0.4">
      <c r="A163" s="145" t="s">
        <v>474</v>
      </c>
      <c r="B163" s="112"/>
      <c r="C163" s="112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24" ht="34.5" customHeight="1" x14ac:dyDescent="0.4">
      <c r="A164" s="145" t="s">
        <v>459</v>
      </c>
      <c r="B164" s="112"/>
      <c r="C164" s="112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1:24" s="128" customFormat="1" ht="35.25" customHeight="1" x14ac:dyDescent="0.5">
      <c r="A165" s="126"/>
      <c r="B165" s="126"/>
      <c r="C165" s="126"/>
      <c r="D165" s="126"/>
      <c r="E165" s="126"/>
      <c r="F165" s="126"/>
      <c r="G165" s="126"/>
      <c r="H165" s="126"/>
      <c r="I165" s="127"/>
      <c r="J165" s="127"/>
      <c r="K165" s="127"/>
      <c r="M165" s="158"/>
      <c r="N165" s="158"/>
      <c r="O165" s="158"/>
      <c r="P165" s="105"/>
      <c r="Q165" s="129"/>
      <c r="R165" s="129"/>
      <c r="S165" s="129"/>
      <c r="T165" s="129"/>
      <c r="U165" s="129"/>
      <c r="V165" s="129"/>
      <c r="W165" s="130"/>
      <c r="X165" s="131"/>
    </row>
    <row r="166" spans="1:24" ht="23.25" customHeight="1" x14ac:dyDescent="0.25"/>
    <row r="168" spans="1:24" ht="22.5" customHeight="1" x14ac:dyDescent="0.25"/>
  </sheetData>
  <mergeCells count="23"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  <mergeCell ref="M165:O165"/>
    <mergeCell ref="N161:P161"/>
    <mergeCell ref="I16:N16"/>
    <mergeCell ref="H17:H18"/>
    <mergeCell ref="I17:I18"/>
    <mergeCell ref="J17:J18"/>
    <mergeCell ref="O16:O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2020-05-28T07:52:03Z</cp:lastPrinted>
  <dcterms:created xsi:type="dcterms:W3CDTF">2014-01-17T10:52:16Z</dcterms:created>
  <dcterms:modified xsi:type="dcterms:W3CDTF">2020-05-28T07:56:15Z</dcterms:modified>
</cp:coreProperties>
</file>