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6'!$16:$17</definedName>
    <definedName name="_xlnm.Print_Area" localSheetId="0">'дод 6'!$A$1:$J$262</definedName>
  </definedNames>
  <calcPr fullCalcOnLoad="1"/>
</workbook>
</file>

<file path=xl/sharedStrings.xml><?xml version="1.0" encoding="utf-8"?>
<sst xmlns="http://schemas.openxmlformats.org/spreadsheetml/2006/main" count="1086" uniqueCount="508">
  <si>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</si>
  <si>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</si>
  <si>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</si>
  <si>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</si>
  <si>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</si>
  <si>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</si>
  <si>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</si>
  <si>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</si>
  <si>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</si>
  <si>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</si>
  <si>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</si>
  <si>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</si>
  <si>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</si>
  <si>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</si>
  <si>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</si>
  <si>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</si>
  <si>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</si>
  <si>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</si>
  <si>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</si>
  <si>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</si>
  <si>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</si>
  <si>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</si>
  <si>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</si>
  <si>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</si>
  <si>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</si>
  <si>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</si>
  <si>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</si>
  <si>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</si>
  <si>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</si>
  <si>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</si>
  <si>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</si>
  <si>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</si>
  <si>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</si>
  <si>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</si>
  <si>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</si>
  <si>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</si>
  <si>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</si>
  <si>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</si>
  <si>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</si>
  <si>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</si>
  <si>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</si>
  <si>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</si>
  <si>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</si>
  <si>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</si>
  <si>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</si>
  <si>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</si>
  <si>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</si>
  <si>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</si>
  <si>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</si>
  <si>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</si>
  <si>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</si>
  <si>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</si>
  <si>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</si>
  <si>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</si>
  <si>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</si>
  <si>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</si>
  <si>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</si>
  <si>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</si>
  <si>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</si>
  <si>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</si>
  <si>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</si>
  <si>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</si>
  <si>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</si>
  <si>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</si>
  <si>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</si>
  <si>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</si>
  <si>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</si>
  <si>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</si>
  <si>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</si>
  <si>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</si>
  <si>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</si>
  <si>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</si>
  <si>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</si>
  <si>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</si>
  <si>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</si>
  <si>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</si>
  <si>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</si>
  <si>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</si>
  <si>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</si>
  <si>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</si>
  <si>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</si>
  <si>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</si>
  <si>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</si>
  <si>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</si>
  <si>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</si>
  <si>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</si>
  <si>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</si>
  <si>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</si>
  <si>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</si>
  <si>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</si>
  <si>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</si>
  <si>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</si>
  <si>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</si>
  <si>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</si>
  <si>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</si>
  <si>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</si>
  <si>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</si>
  <si>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</si>
  <si>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</si>
  <si>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</si>
  <si>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</si>
  <si>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</si>
  <si>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</si>
  <si>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</si>
  <si>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</si>
  <si>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</si>
  <si>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</si>
  <si>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</si>
  <si>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</si>
  <si>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</si>
  <si>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</si>
  <si>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</si>
  <si>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</si>
  <si>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</si>
  <si>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</si>
  <si>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</si>
  <si>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</si>
  <si>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</si>
  <si>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</si>
  <si>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</si>
  <si>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</si>
  <si>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</si>
  <si>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</si>
  <si>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</si>
  <si>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</si>
  <si>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</si>
  <si>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</si>
  <si>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</si>
  <si>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</si>
  <si>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</si>
  <si>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</si>
  <si>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</si>
  <si>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</si>
  <si>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</si>
  <si>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</si>
  <si>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</si>
  <si>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</si>
  <si>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</si>
  <si>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</si>
  <si>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</si>
  <si>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</si>
  <si>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</si>
  <si>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</si>
  <si>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</si>
  <si>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</si>
  <si>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</si>
  <si>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</si>
  <si>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</si>
  <si>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</si>
  <si>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</si>
  <si>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</si>
  <si>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</si>
  <si>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</si>
  <si>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</si>
  <si>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</si>
  <si>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</si>
  <si>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</si>
  <si>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</si>
  <si>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</si>
  <si>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</si>
  <si>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</si>
  <si>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</si>
  <si>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</si>
  <si>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</si>
  <si>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</si>
  <si>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</si>
  <si>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</si>
  <si>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</si>
  <si>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</si>
  <si>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</si>
  <si>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</si>
  <si>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</si>
  <si>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</si>
  <si>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</si>
  <si>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</si>
  <si>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</si>
  <si>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</si>
  <si>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</si>
  <si>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</si>
  <si>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</si>
  <si>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</si>
  <si>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</si>
  <si>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</si>
  <si>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</si>
  <si>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</si>
  <si>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</si>
  <si>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</si>
  <si>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</si>
  <si>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</si>
  <si>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</si>
  <si>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</si>
  <si>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</si>
  <si>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</si>
  <si>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</si>
  <si>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</si>
  <si>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</si>
  <si>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</si>
  <si>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</si>
  <si>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</si>
  <si>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</si>
  <si>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</si>
  <si>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</si>
  <si>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</si>
  <si>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</si>
  <si>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</si>
  <si>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</si>
  <si>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</si>
  <si>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</si>
  <si>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</si>
  <si>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</si>
  <si>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</si>
  <si>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</si>
  <si>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</si>
  <si>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</si>
  <si>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</si>
  <si>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</si>
  <si>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</si>
  <si>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</si>
  <si>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</si>
  <si>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</si>
  <si>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</si>
  <si>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</si>
  <si>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</si>
  <si>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</si>
  <si>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</si>
  <si>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</si>
  <si>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</si>
  <si>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</si>
  <si>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</si>
  <si>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</si>
  <si>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</si>
  <si>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</si>
  <si>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</si>
  <si>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</si>
  <si>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</si>
  <si>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</si>
  <si>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</si>
  <si>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</si>
  <si>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</si>
  <si>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</si>
  <si>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</si>
  <si>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</si>
  <si>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</si>
  <si>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</si>
  <si>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</si>
  <si>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</si>
  <si>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</si>
  <si>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</si>
  <si>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</si>
  <si>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</si>
  <si>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</si>
  <si>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</si>
  <si>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</si>
  <si>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</si>
  <si>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</si>
  <si>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</si>
  <si>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</si>
  <si>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</si>
  <si>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</si>
  <si>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</si>
  <si>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</si>
  <si>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</si>
  <si>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</si>
  <si>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</si>
  <si>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</si>
  <si>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</si>
  <si>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</si>
  <si>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</si>
  <si>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</si>
  <si>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</si>
  <si>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</si>
  <si>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</si>
  <si>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</si>
  <si>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</si>
  <si>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</si>
  <si>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</si>
  <si>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</si>
  <si>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</si>
  <si>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</si>
  <si>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</si>
  <si>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</si>
  <si>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</si>
  <si>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</si>
  <si>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</si>
  <si>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</si>
  <si>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</si>
  <si>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</si>
  <si>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</si>
  <si>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</si>
  <si>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</si>
  <si>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</si>
  <si>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</si>
  <si>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</si>
  <si>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</si>
  <si>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</si>
  <si>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</si>
  <si>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</si>
  <si>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</si>
  <si>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</si>
  <si>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</si>
  <si>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</si>
  <si>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</si>
  <si>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</si>
  <si>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</si>
  <si>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</si>
  <si>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</si>
  <si>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</si>
  <si>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</si>
  <si>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</si>
  <si>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</si>
  <si>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</si>
  <si>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</si>
  <si>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</si>
  <si>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</si>
  <si>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</si>
  <si>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</si>
  <si>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</si>
  <si>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</si>
  <si>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</si>
  <si>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</si>
  <si>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</si>
  <si>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</si>
  <si>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</si>
  <si>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</si>
  <si>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</si>
  <si>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</si>
  <si>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</si>
  <si>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</si>
  <si>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</si>
  <si>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</si>
  <si>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</si>
  <si>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</si>
  <si>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</si>
  <si>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</si>
  <si>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</si>
  <si>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</si>
  <si>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</si>
  <si>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</si>
  <si>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</si>
  <si>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</si>
  <si>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</si>
  <si>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</si>
  <si>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</si>
  <si>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</si>
  <si>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</si>
  <si>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</si>
  <si>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</si>
  <si>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</si>
  <si>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</si>
  <si>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</si>
  <si>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</si>
  <si>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</si>
  <si>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</si>
  <si>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</si>
  <si>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</si>
  <si>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</si>
  <si>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</si>
  <si>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</si>
  <si>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</si>
  <si>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</si>
  <si>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</si>
  <si>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</si>
  <si>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</si>
  <si>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</si>
  <si>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</si>
  <si>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</si>
  <si>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</si>
  <si>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</si>
  <si>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</si>
  <si>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</si>
  <si>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</si>
  <si>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</si>
  <si>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</si>
  <si>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</si>
  <si>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</si>
  <si>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</si>
  <si>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</si>
  <si>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</si>
  <si>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</si>
  <si>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</si>
  <si>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</si>
  <si>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</si>
  <si>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</si>
  <si>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</si>
  <si>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</si>
  <si>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</si>
  <si>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</si>
  <si>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</si>
  <si>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</si>
  <si>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</si>
  <si>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</si>
  <si>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</si>
  <si>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</si>
  <si>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</si>
  <si>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</si>
  <si>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</si>
  <si>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</si>
  <si>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</si>
  <si>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</si>
  <si>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</si>
  <si>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</si>
  <si>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</si>
  <si>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</si>
  <si>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</si>
  <si>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</si>
  <si>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</si>
  <si>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</si>
  <si>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</si>
  <si>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</si>
  <si>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</si>
  <si>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</si>
  <si>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</si>
  <si>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</si>
  <si>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</si>
  <si>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</si>
  <si>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</si>
  <si>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</si>
  <si>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</si>
  <si>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</si>
  <si>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</si>
  <si>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</si>
  <si>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</si>
  <si>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</si>
  <si>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</si>
  <si>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</si>
  <si>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</si>
  <si>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</si>
  <si>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</si>
  <si>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</si>
  <si>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</si>
  <si>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</si>
  <si>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</si>
  <si>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</si>
  <si>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</si>
  <si>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</si>
  <si>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</si>
  <si>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</si>
  <si>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</si>
  <si>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</si>
  <si>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</si>
  <si>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</si>
  <si>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</si>
  <si>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</si>
  <si>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</si>
  <si>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</si>
  <si>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</si>
  <si>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</si>
  <si>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</si>
  <si>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</si>
  <si>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Міська цільова Програма захисту населення і території м. Суми від надзвичайних ситуацій техногенного та природного характеру на 2019-2021 роки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</si>
  <si>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</si>
  <si>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</si>
  <si>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</si>
  <si>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</si>
  <si>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</si>
  <si>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</si>
  <si>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 xml:space="preserve">Програма «Молодь територіальної громади м. Суми на 2019-2021 роки»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</si>
  <si>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</si>
  <si>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</si>
  <si>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</si>
  <si>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</si>
  <si>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</si>
  <si>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</si>
  <si>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</si>
  <si>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</si>
  <si>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</si>
  <si>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</si>
  <si>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</si>
  <si>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</si>
  <si>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</si>
  <si>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</si>
  <si>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</si>
  <si>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</si>
  <si>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</si>
  <si>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</si>
  <si>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</si>
  <si>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</si>
  <si>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</si>
  <si>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</si>
  <si>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</si>
  <si>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</si>
  <si>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</si>
  <si>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</si>
  <si>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</si>
  <si>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</si>
  <si>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</si>
  <si>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</si>
  <si>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</si>
  <si>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Виконавець: Липова С.А.</t>
  </si>
  <si>
    <t>О. М. Лисенко</t>
  </si>
  <si>
    <t>Сумський міський голова</t>
  </si>
  <si>
    <t xml:space="preserve">"Про бюджет Сумської міської об'єднаної      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</si>
  <si>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</si>
  <si>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</si>
  <si>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</si>
  <si>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</si>
  <si>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</si>
  <si>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</si>
  <si>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</si>
  <si>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 xml:space="preserve">від  26  лютого  2020  року   № 6628 - МР         </t>
  </si>
  <si>
    <t>територіальної    громади   на   2020   рік»</t>
  </si>
  <si>
    <t xml:space="preserve">від  24   грудня  2019   року   № 6248 - МР    </t>
  </si>
  <si>
    <t>Сумської                міської                  ради</t>
  </si>
  <si>
    <t xml:space="preserve">«Про    внесення     змін      до      рішення </t>
  </si>
  <si>
    <t>до    рішення    Сумської    міської     ради</t>
  </si>
  <si>
    <t xml:space="preserve">           код бюджету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</si>
  <si>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</si>
  <si>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 xml:space="preserve">                        Додаток № 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</si>
</sst>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sz val="42"/>
      <name val="Times New Roman"/>
      <family val="1"/>
    </font>
    <font>
      <b/>
      <sz val="6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>
      <alignment vertical="center" wrapText="1"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1" fillId="0" borderId="17" xfId="0" applyNumberFormat="1" applyFont="1" applyFill="1" applyBorder="1" applyAlignment="1" applyProtection="1">
      <alignment/>
      <protection/>
    </xf>
    <xf numFmtId="0" fontId="71" fillId="0" borderId="17" xfId="0" applyNumberFormat="1" applyFont="1" applyFill="1" applyBorder="1" applyAlignment="1" applyProtection="1">
      <alignment horizontal="left"/>
      <protection/>
    </xf>
    <xf numFmtId="0" fontId="72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3" fillId="0" borderId="17" xfId="95" applyNumberFormat="1" applyFont="1" applyFill="1" applyBorder="1" applyAlignment="1">
      <alignment horizontal="center" vertical="center"/>
      <protection/>
    </xf>
    <xf numFmtId="4" fontId="25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27" fillId="0" borderId="0" xfId="0" applyNumberFormat="1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21" xfId="0" applyNumberFormat="1" applyFont="1" applyFill="1" applyBorder="1" applyAlignment="1">
      <alignment vertical="center" wrapText="1"/>
    </xf>
    <xf numFmtId="49" fontId="25" fillId="0" borderId="22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vertical="justify"/>
    </xf>
    <xf numFmtId="4" fontId="25" fillId="0" borderId="0" xfId="95" applyNumberFormat="1" applyFont="1" applyFill="1" applyBorder="1" applyAlignment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showZeros="0" tabSelected="1" zoomScale="25" zoomScaleNormal="25" zoomScaleSheetLayoutView="37" workbookViewId="0" topLeftCell="A1">
      <selection activeCell="E7" sqref="E7"/>
    </sheetView>
  </sheetViews>
  <sheetFormatPr defaultColWidth="9.16015625" defaultRowHeight="12.75"/>
  <cols>
    <col min="1" max="1" width="56.5" style="8" customWidth="1"/>
    <col min="2" max="2" width="47.1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68.66015625" style="8" customWidth="1"/>
    <col min="8" max="9" width="67.5" style="18" customWidth="1"/>
    <col min="10" max="10" width="60.5" style="18" customWidth="1"/>
    <col min="11" max="11" width="52.5" style="1" customWidth="1"/>
    <col min="12" max="12" width="64.5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0" ht="69" customHeight="1">
      <c r="A1" s="13"/>
      <c r="B1" s="13"/>
      <c r="C1" s="13"/>
      <c r="G1" s="50" t="s">
        <v>507</v>
      </c>
      <c r="I1" s="50"/>
      <c r="J1" s="50"/>
    </row>
    <row r="2" spans="1:11" ht="66.75" customHeight="1">
      <c r="A2" s="13"/>
      <c r="B2" s="13"/>
      <c r="C2" s="13"/>
      <c r="G2" s="82" t="s">
        <v>504</v>
      </c>
      <c r="H2" s="82"/>
      <c r="I2" s="82"/>
      <c r="J2" s="82"/>
      <c r="K2" s="82"/>
    </row>
    <row r="3" spans="1:11" ht="66.75" customHeight="1">
      <c r="A3" s="13"/>
      <c r="B3" s="13"/>
      <c r="C3" s="13"/>
      <c r="G3" s="82" t="s">
        <v>503</v>
      </c>
      <c r="H3" s="82"/>
      <c r="I3" s="82"/>
      <c r="J3" s="82"/>
      <c r="K3" s="82"/>
    </row>
    <row r="4" spans="1:11" ht="66.75" customHeight="1">
      <c r="A4" s="13"/>
      <c r="B4" s="13"/>
      <c r="C4" s="13"/>
      <c r="G4" s="82" t="s">
        <v>502</v>
      </c>
      <c r="H4" s="82"/>
      <c r="I4" s="82"/>
      <c r="J4" s="82"/>
      <c r="K4" s="82"/>
    </row>
    <row r="5" spans="1:11" ht="66.75" customHeight="1">
      <c r="A5" s="13"/>
      <c r="B5" s="13"/>
      <c r="C5" s="13"/>
      <c r="G5" s="82" t="s">
        <v>501</v>
      </c>
      <c r="H5" s="82"/>
      <c r="I5" s="82"/>
      <c r="J5" s="82"/>
      <c r="K5" s="82"/>
    </row>
    <row r="6" spans="1:11" ht="66.75" customHeight="1">
      <c r="A6" s="13"/>
      <c r="B6" s="13"/>
      <c r="C6" s="13"/>
      <c r="G6" s="82" t="s">
        <v>491</v>
      </c>
      <c r="H6" s="82"/>
      <c r="I6" s="82"/>
      <c r="J6" s="82"/>
      <c r="K6" s="82"/>
    </row>
    <row r="7" spans="1:11" ht="66.75" customHeight="1">
      <c r="A7" s="13"/>
      <c r="B7" s="13"/>
      <c r="C7" s="13"/>
      <c r="G7" s="82" t="s">
        <v>500</v>
      </c>
      <c r="H7" s="82"/>
      <c r="I7" s="82"/>
      <c r="J7" s="82"/>
      <c r="K7" s="82"/>
    </row>
    <row r="8" spans="1:11" ht="66.75" customHeight="1">
      <c r="A8" s="13"/>
      <c r="B8" s="13"/>
      <c r="C8" s="13"/>
      <c r="G8" s="82" t="s">
        <v>499</v>
      </c>
      <c r="H8" s="82"/>
      <c r="I8" s="82"/>
      <c r="J8" s="82"/>
      <c r="K8" s="82"/>
    </row>
    <row r="9" spans="1:10" ht="64.5">
      <c r="A9" s="13"/>
      <c r="B9" s="13"/>
      <c r="C9" s="13"/>
      <c r="H9" s="48"/>
      <c r="I9" s="48"/>
      <c r="J9" s="48"/>
    </row>
    <row r="10" spans="1:10" ht="64.5">
      <c r="A10" s="13"/>
      <c r="B10" s="13"/>
      <c r="C10" s="13"/>
      <c r="H10" s="48"/>
      <c r="I10" s="48"/>
      <c r="J10" s="48"/>
    </row>
    <row r="11" spans="1:10" ht="84.75" customHeight="1">
      <c r="A11" s="96" t="s">
        <v>452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52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67.5" customHeight="1">
      <c r="A13" s="99" t="s">
        <v>453</v>
      </c>
      <c r="B13" s="99"/>
      <c r="C13" s="57"/>
      <c r="D13" s="56"/>
      <c r="E13" s="56"/>
      <c r="F13" s="56"/>
      <c r="G13" s="56"/>
      <c r="H13" s="56"/>
      <c r="I13" s="56"/>
      <c r="J13" s="56"/>
    </row>
    <row r="14" spans="1:10" ht="64.5" customHeight="1">
      <c r="A14" s="92" t="s">
        <v>505</v>
      </c>
      <c r="B14" s="92"/>
      <c r="C14" s="58"/>
      <c r="D14" s="56"/>
      <c r="E14" s="56"/>
      <c r="F14" s="56"/>
      <c r="G14" s="56"/>
      <c r="H14" s="56"/>
      <c r="I14" s="56"/>
      <c r="J14" s="56"/>
    </row>
    <row r="15" spans="1:10" ht="61.5" customHeight="1">
      <c r="A15" s="4"/>
      <c r="B15" s="4"/>
      <c r="C15" s="4"/>
      <c r="D15" s="5"/>
      <c r="E15" s="6"/>
      <c r="F15" s="6"/>
      <c r="G15" s="6"/>
      <c r="H15" s="76"/>
      <c r="I15" s="76"/>
      <c r="J15" s="51" t="s">
        <v>440</v>
      </c>
    </row>
    <row r="16" spans="1:10" ht="103.5" customHeight="1">
      <c r="A16" s="93" t="s">
        <v>342</v>
      </c>
      <c r="B16" s="93" t="s">
        <v>343</v>
      </c>
      <c r="C16" s="93" t="s">
        <v>344</v>
      </c>
      <c r="D16" s="93" t="s">
        <v>349</v>
      </c>
      <c r="E16" s="93" t="s">
        <v>64</v>
      </c>
      <c r="F16" s="98" t="s">
        <v>345</v>
      </c>
      <c r="G16" s="98" t="s">
        <v>346</v>
      </c>
      <c r="H16" s="97" t="s">
        <v>0</v>
      </c>
      <c r="I16" s="97" t="s">
        <v>1</v>
      </c>
      <c r="J16" s="97"/>
    </row>
    <row r="17" spans="1:10" ht="364.5" customHeight="1">
      <c r="A17" s="94"/>
      <c r="B17" s="94"/>
      <c r="C17" s="94"/>
      <c r="D17" s="94"/>
      <c r="E17" s="94"/>
      <c r="F17" s="98"/>
      <c r="G17" s="98"/>
      <c r="H17" s="97"/>
      <c r="I17" s="20" t="s">
        <v>346</v>
      </c>
      <c r="J17" s="20" t="s">
        <v>347</v>
      </c>
    </row>
    <row r="18" spans="1:10" s="23" customFormat="1" ht="102" customHeight="1">
      <c r="A18" s="16"/>
      <c r="B18" s="16"/>
      <c r="C18" s="16"/>
      <c r="D18" s="17" t="s">
        <v>122</v>
      </c>
      <c r="E18" s="29"/>
      <c r="F18" s="30"/>
      <c r="G18" s="36">
        <f>G19+G20+G21+G22+G23+G24+G25+G26+G27+G28+G29+G30+G31+G32+G33+G34+G35+G36+G37+G38+G39+G40+G44+G45+G47+G48+G49+G50+G51+G52+G53+G54</f>
        <v>106092136</v>
      </c>
      <c r="H18" s="36">
        <f>H19+H20+H21+H22+H23+H24+H25+H26+H27+H28+H29+H30+H31+H32+H33+H34+H35+H36+H37+H38+H39+H40+H44+H45+H47+H48+H49+H50+H51+H52+H53+H54</f>
        <v>73374416</v>
      </c>
      <c r="I18" s="36">
        <f>I19+I20+I21+I22+I23+I24+I25+I26+I27+I28+I29+I30+I31+I32+I33+I34+I35+I36+I37+I38+I39+I40+I44+I45+I47+I48+I49+I50+I51+I52+I53+I54</f>
        <v>32717720</v>
      </c>
      <c r="J18" s="36">
        <f>J19+J20+J21+J22+J23+J24+J25+J26+J27+J28+J29+J30+J31+J32+J33+J34+J35+J36+J37+J38+J39+J40+J44+J45+J47+J48+J49+J50+J51+J52+J53+J54</f>
        <v>32274600</v>
      </c>
    </row>
    <row r="19" spans="1:10" ht="156.75" customHeight="1">
      <c r="A19" s="9" t="s">
        <v>123</v>
      </c>
      <c r="B19" s="40" t="s">
        <v>73</v>
      </c>
      <c r="C19" s="40" t="s">
        <v>2</v>
      </c>
      <c r="D19" s="10" t="s">
        <v>74</v>
      </c>
      <c r="E19" s="10" t="s">
        <v>455</v>
      </c>
      <c r="F19" s="31" t="s">
        <v>390</v>
      </c>
      <c r="G19" s="37">
        <f aca="true" t="shared" si="0" ref="G19:G82">H19+I19</f>
        <v>1496700</v>
      </c>
      <c r="H19" s="37">
        <f>2600000-1103300</f>
        <v>1496700</v>
      </c>
      <c r="I19" s="37"/>
      <c r="J19" s="37"/>
    </row>
    <row r="20" spans="1:14" ht="242.25" customHeight="1">
      <c r="A20" s="103" t="s">
        <v>197</v>
      </c>
      <c r="B20" s="84" t="s">
        <v>28</v>
      </c>
      <c r="C20" s="88" t="s">
        <v>13</v>
      </c>
      <c r="D20" s="102" t="s">
        <v>196</v>
      </c>
      <c r="E20" s="10" t="s">
        <v>421</v>
      </c>
      <c r="F20" s="31" t="s">
        <v>471</v>
      </c>
      <c r="G20" s="37">
        <f t="shared" si="0"/>
        <v>210000</v>
      </c>
      <c r="H20" s="37">
        <v>210000</v>
      </c>
      <c r="I20" s="37"/>
      <c r="J20" s="37"/>
      <c r="K20" s="72"/>
      <c r="L20" s="72"/>
      <c r="M20" s="72"/>
      <c r="N20" s="72"/>
    </row>
    <row r="21" spans="1:10" ht="141.75" customHeight="1">
      <c r="A21" s="103"/>
      <c r="B21" s="84"/>
      <c r="C21" s="88"/>
      <c r="D21" s="102"/>
      <c r="E21" s="10" t="s">
        <v>416</v>
      </c>
      <c r="F21" s="31" t="s">
        <v>419</v>
      </c>
      <c r="G21" s="37">
        <f t="shared" si="0"/>
        <v>100000</v>
      </c>
      <c r="H21" s="37">
        <v>100000</v>
      </c>
      <c r="I21" s="37"/>
      <c r="J21" s="37"/>
    </row>
    <row r="22" spans="1:10" s="3" customFormat="1" ht="151.5" customHeight="1">
      <c r="A22" s="11" t="s">
        <v>245</v>
      </c>
      <c r="B22" s="40" t="s">
        <v>43</v>
      </c>
      <c r="C22" s="42">
        <v>1070</v>
      </c>
      <c r="D22" s="10" t="s">
        <v>38</v>
      </c>
      <c r="E22" s="10" t="s">
        <v>467</v>
      </c>
      <c r="F22" s="10" t="s">
        <v>402</v>
      </c>
      <c r="G22" s="37">
        <f t="shared" si="0"/>
        <v>124200</v>
      </c>
      <c r="H22" s="37">
        <v>124200</v>
      </c>
      <c r="I22" s="37"/>
      <c r="J22" s="37"/>
    </row>
    <row r="23" spans="1:10" s="3" customFormat="1" ht="113.25" customHeight="1">
      <c r="A23" s="103" t="s">
        <v>124</v>
      </c>
      <c r="B23" s="84" t="s">
        <v>75</v>
      </c>
      <c r="C23" s="84">
        <v>1070</v>
      </c>
      <c r="D23" s="86" t="s">
        <v>348</v>
      </c>
      <c r="E23" s="10" t="s">
        <v>456</v>
      </c>
      <c r="F23" s="31" t="s">
        <v>403</v>
      </c>
      <c r="G23" s="37">
        <f t="shared" si="0"/>
        <v>86625</v>
      </c>
      <c r="H23" s="37">
        <v>86625</v>
      </c>
      <c r="I23" s="37"/>
      <c r="J23" s="37"/>
    </row>
    <row r="24" spans="1:10" s="3" customFormat="1" ht="161.25" customHeight="1">
      <c r="A24" s="103"/>
      <c r="B24" s="84"/>
      <c r="C24" s="84"/>
      <c r="D24" s="86"/>
      <c r="E24" s="10" t="s">
        <v>467</v>
      </c>
      <c r="F24" s="10" t="s">
        <v>402</v>
      </c>
      <c r="G24" s="37">
        <f t="shared" si="0"/>
        <v>183700</v>
      </c>
      <c r="H24" s="37">
        <v>183700</v>
      </c>
      <c r="I24" s="37"/>
      <c r="J24" s="37"/>
    </row>
    <row r="25" spans="1:10" s="3" customFormat="1" ht="158.25" customHeight="1">
      <c r="A25" s="9" t="s">
        <v>125</v>
      </c>
      <c r="B25" s="40" t="s">
        <v>76</v>
      </c>
      <c r="C25" s="40" t="s">
        <v>7</v>
      </c>
      <c r="D25" s="10" t="s">
        <v>77</v>
      </c>
      <c r="E25" s="10" t="s">
        <v>352</v>
      </c>
      <c r="F25" s="31" t="s">
        <v>377</v>
      </c>
      <c r="G25" s="37">
        <f t="shared" si="0"/>
        <v>129000</v>
      </c>
      <c r="H25" s="37">
        <f>87000+42000</f>
        <v>129000</v>
      </c>
      <c r="I25" s="37"/>
      <c r="J25" s="37"/>
    </row>
    <row r="26" spans="1:10" s="3" customFormat="1" ht="155.25" customHeight="1">
      <c r="A26" s="9" t="s">
        <v>126</v>
      </c>
      <c r="B26" s="40" t="s">
        <v>78</v>
      </c>
      <c r="C26" s="40" t="s">
        <v>7</v>
      </c>
      <c r="D26" s="10" t="s">
        <v>79</v>
      </c>
      <c r="E26" s="10" t="s">
        <v>461</v>
      </c>
      <c r="F26" s="31" t="s">
        <v>403</v>
      </c>
      <c r="G26" s="37">
        <f t="shared" si="0"/>
        <v>850000</v>
      </c>
      <c r="H26" s="37">
        <v>850000</v>
      </c>
      <c r="I26" s="37"/>
      <c r="J26" s="37"/>
    </row>
    <row r="27" spans="1:10" s="14" customFormat="1" ht="240.75" customHeight="1">
      <c r="A27" s="9" t="s">
        <v>127</v>
      </c>
      <c r="B27" s="40" t="s">
        <v>41</v>
      </c>
      <c r="C27" s="40" t="s">
        <v>7</v>
      </c>
      <c r="D27" s="10" t="s">
        <v>45</v>
      </c>
      <c r="E27" s="10" t="s">
        <v>462</v>
      </c>
      <c r="F27" s="31" t="s">
        <v>403</v>
      </c>
      <c r="G27" s="37">
        <f t="shared" si="0"/>
        <v>560000</v>
      </c>
      <c r="H27" s="37">
        <v>560000</v>
      </c>
      <c r="I27" s="37"/>
      <c r="J27" s="37"/>
    </row>
    <row r="28" spans="1:10" s="3" customFormat="1" ht="138.75" customHeight="1">
      <c r="A28" s="9" t="s">
        <v>249</v>
      </c>
      <c r="B28" s="40" t="s">
        <v>251</v>
      </c>
      <c r="C28" s="40" t="s">
        <v>6</v>
      </c>
      <c r="D28" s="19" t="s">
        <v>252</v>
      </c>
      <c r="E28" s="10" t="s">
        <v>352</v>
      </c>
      <c r="F28" s="31" t="s">
        <v>377</v>
      </c>
      <c r="G28" s="37">
        <f t="shared" si="0"/>
        <v>1198395</v>
      </c>
      <c r="H28" s="37">
        <v>1198395</v>
      </c>
      <c r="I28" s="37"/>
      <c r="J28" s="21"/>
    </row>
    <row r="29" spans="1:10" s="3" customFormat="1" ht="179.25" customHeight="1">
      <c r="A29" s="83" t="s">
        <v>250</v>
      </c>
      <c r="B29" s="84" t="s">
        <v>253</v>
      </c>
      <c r="C29" s="84" t="s">
        <v>6</v>
      </c>
      <c r="D29" s="85" t="s">
        <v>254</v>
      </c>
      <c r="E29" s="10" t="s">
        <v>457</v>
      </c>
      <c r="F29" s="31" t="s">
        <v>392</v>
      </c>
      <c r="G29" s="37">
        <f t="shared" si="0"/>
        <v>192410</v>
      </c>
      <c r="H29" s="37">
        <v>192410</v>
      </c>
      <c r="I29" s="37"/>
      <c r="J29" s="21"/>
    </row>
    <row r="30" spans="1:10" s="3" customFormat="1" ht="197.25" customHeight="1">
      <c r="A30" s="83"/>
      <c r="B30" s="84"/>
      <c r="C30" s="84"/>
      <c r="D30" s="85"/>
      <c r="E30" s="10" t="s">
        <v>425</v>
      </c>
      <c r="F30" s="31" t="s">
        <v>492</v>
      </c>
      <c r="G30" s="37">
        <f t="shared" si="0"/>
        <v>25900</v>
      </c>
      <c r="H30" s="37">
        <v>25900</v>
      </c>
      <c r="I30" s="37"/>
      <c r="J30" s="21"/>
    </row>
    <row r="31" spans="1:10" s="3" customFormat="1" ht="143.25" customHeight="1">
      <c r="A31" s="9" t="s">
        <v>293</v>
      </c>
      <c r="B31" s="40" t="s">
        <v>294</v>
      </c>
      <c r="C31" s="40" t="s">
        <v>295</v>
      </c>
      <c r="D31" s="19" t="s">
        <v>296</v>
      </c>
      <c r="E31" s="10" t="s">
        <v>461</v>
      </c>
      <c r="F31" s="31" t="s">
        <v>403</v>
      </c>
      <c r="G31" s="37">
        <f t="shared" si="0"/>
        <v>700000</v>
      </c>
      <c r="H31" s="37">
        <f>850000-150000</f>
        <v>700000</v>
      </c>
      <c r="I31" s="37"/>
      <c r="J31" s="21"/>
    </row>
    <row r="32" spans="1:10" s="3" customFormat="1" ht="159.75" customHeight="1">
      <c r="A32" s="9" t="s">
        <v>285</v>
      </c>
      <c r="B32" s="40" t="s">
        <v>283</v>
      </c>
      <c r="C32" s="40" t="s">
        <v>9</v>
      </c>
      <c r="D32" s="10" t="s">
        <v>284</v>
      </c>
      <c r="E32" s="10" t="s">
        <v>455</v>
      </c>
      <c r="F32" s="31" t="s">
        <v>390</v>
      </c>
      <c r="G32" s="37">
        <f t="shared" si="0"/>
        <v>1226000</v>
      </c>
      <c r="H32" s="37">
        <f>800000+276000+150000</f>
        <v>1226000</v>
      </c>
      <c r="I32" s="37"/>
      <c r="J32" s="37"/>
    </row>
    <row r="33" spans="1:10" s="3" customFormat="1" ht="141.75" customHeight="1">
      <c r="A33" s="9" t="s">
        <v>257</v>
      </c>
      <c r="B33" s="40" t="s">
        <v>255</v>
      </c>
      <c r="C33" s="40" t="s">
        <v>9</v>
      </c>
      <c r="D33" s="19" t="s">
        <v>256</v>
      </c>
      <c r="E33" s="10" t="s">
        <v>455</v>
      </c>
      <c r="F33" s="31" t="s">
        <v>390</v>
      </c>
      <c r="G33" s="37">
        <f t="shared" si="0"/>
        <v>465000</v>
      </c>
      <c r="H33" s="37">
        <v>465000</v>
      </c>
      <c r="I33" s="37"/>
      <c r="J33" s="37"/>
    </row>
    <row r="34" spans="1:10" s="3" customFormat="1" ht="162.75" customHeight="1">
      <c r="A34" s="9" t="s">
        <v>128</v>
      </c>
      <c r="B34" s="40" t="s">
        <v>60</v>
      </c>
      <c r="C34" s="40" t="s">
        <v>10</v>
      </c>
      <c r="D34" s="10" t="s">
        <v>46</v>
      </c>
      <c r="E34" s="10" t="s">
        <v>465</v>
      </c>
      <c r="F34" s="31" t="s">
        <v>406</v>
      </c>
      <c r="G34" s="37">
        <f t="shared" si="0"/>
        <v>1750000</v>
      </c>
      <c r="H34" s="37">
        <f>750000+1000000</f>
        <v>1750000</v>
      </c>
      <c r="I34" s="37"/>
      <c r="J34" s="37"/>
    </row>
    <row r="35" spans="1:10" s="3" customFormat="1" ht="156.75" customHeight="1">
      <c r="A35" s="9" t="s">
        <v>129</v>
      </c>
      <c r="B35" s="40" t="s">
        <v>61</v>
      </c>
      <c r="C35" s="40" t="s">
        <v>10</v>
      </c>
      <c r="D35" s="10" t="s">
        <v>11</v>
      </c>
      <c r="E35" s="10" t="s">
        <v>465</v>
      </c>
      <c r="F35" s="31" t="s">
        <v>406</v>
      </c>
      <c r="G35" s="37">
        <f t="shared" si="0"/>
        <v>2177000</v>
      </c>
      <c r="H35" s="37">
        <f>750000+1300000+127000</f>
        <v>2177000</v>
      </c>
      <c r="I35" s="37"/>
      <c r="J35" s="37"/>
    </row>
    <row r="36" spans="1:10" s="3" customFormat="1" ht="162.75" customHeight="1">
      <c r="A36" s="9" t="s">
        <v>130</v>
      </c>
      <c r="B36" s="40" t="s">
        <v>67</v>
      </c>
      <c r="C36" s="40" t="s">
        <v>10</v>
      </c>
      <c r="D36" s="10" t="s">
        <v>47</v>
      </c>
      <c r="E36" s="10" t="s">
        <v>465</v>
      </c>
      <c r="F36" s="31" t="s">
        <v>406</v>
      </c>
      <c r="G36" s="37">
        <f t="shared" si="0"/>
        <v>13643830</v>
      </c>
      <c r="H36" s="37">
        <f>13106830+37000</f>
        <v>13143830</v>
      </c>
      <c r="I36" s="37">
        <v>500000</v>
      </c>
      <c r="J36" s="37">
        <v>500000</v>
      </c>
    </row>
    <row r="37" spans="1:10" s="3" customFormat="1" ht="144.75" customHeight="1">
      <c r="A37" s="9" t="s">
        <v>131</v>
      </c>
      <c r="B37" s="40" t="s">
        <v>68</v>
      </c>
      <c r="C37" s="40" t="s">
        <v>10</v>
      </c>
      <c r="D37" s="10" t="s">
        <v>48</v>
      </c>
      <c r="E37" s="10" t="s">
        <v>465</v>
      </c>
      <c r="F37" s="31" t="s">
        <v>406</v>
      </c>
      <c r="G37" s="37">
        <f t="shared" si="0"/>
        <v>11256630</v>
      </c>
      <c r="H37" s="37">
        <f>11143630+20000</f>
        <v>11163630</v>
      </c>
      <c r="I37" s="37">
        <v>93000</v>
      </c>
      <c r="J37" s="37">
        <v>93000</v>
      </c>
    </row>
    <row r="38" spans="1:10" s="3" customFormat="1" ht="192.75" customHeight="1">
      <c r="A38" s="9" t="s">
        <v>132</v>
      </c>
      <c r="B38" s="40" t="s">
        <v>71</v>
      </c>
      <c r="C38" s="40" t="s">
        <v>10</v>
      </c>
      <c r="D38" s="10" t="s">
        <v>69</v>
      </c>
      <c r="E38" s="10" t="s">
        <v>465</v>
      </c>
      <c r="F38" s="31" t="s">
        <v>406</v>
      </c>
      <c r="G38" s="37">
        <f t="shared" si="0"/>
        <v>5022240</v>
      </c>
      <c r="H38" s="37">
        <f>3728120+165000+50000</f>
        <v>3943120</v>
      </c>
      <c r="I38" s="37">
        <f>179120+900000</f>
        <v>1079120</v>
      </c>
      <c r="J38" s="37">
        <v>900000</v>
      </c>
    </row>
    <row r="39" spans="1:10" s="3" customFormat="1" ht="150.75" customHeight="1">
      <c r="A39" s="9" t="s">
        <v>133</v>
      </c>
      <c r="B39" s="40" t="s">
        <v>66</v>
      </c>
      <c r="C39" s="40" t="s">
        <v>10</v>
      </c>
      <c r="D39" s="10" t="s">
        <v>70</v>
      </c>
      <c r="E39" s="10" t="s">
        <v>465</v>
      </c>
      <c r="F39" s="31" t="s">
        <v>406</v>
      </c>
      <c r="G39" s="37">
        <f t="shared" si="0"/>
        <v>6808390</v>
      </c>
      <c r="H39" s="37">
        <f>6608390+200000</f>
        <v>6808390</v>
      </c>
      <c r="I39" s="37"/>
      <c r="J39" s="37"/>
    </row>
    <row r="40" spans="1:10" s="3" customFormat="1" ht="146.25" customHeight="1">
      <c r="A40" s="9" t="s">
        <v>134</v>
      </c>
      <c r="B40" s="40" t="s">
        <v>90</v>
      </c>
      <c r="C40" s="40" t="s">
        <v>31</v>
      </c>
      <c r="D40" s="10" t="s">
        <v>30</v>
      </c>
      <c r="E40" s="10" t="s">
        <v>400</v>
      </c>
      <c r="F40" s="31" t="s">
        <v>376</v>
      </c>
      <c r="G40" s="37">
        <f t="shared" si="0"/>
        <v>10000000</v>
      </c>
      <c r="H40" s="37">
        <v>10000000</v>
      </c>
      <c r="I40" s="37"/>
      <c r="J40" s="37"/>
    </row>
    <row r="41" spans="1:10" s="3" customFormat="1" ht="138" customHeight="1" hidden="1">
      <c r="A41" s="9" t="s">
        <v>135</v>
      </c>
      <c r="B41" s="40" t="s">
        <v>91</v>
      </c>
      <c r="C41" s="40" t="s">
        <v>32</v>
      </c>
      <c r="D41" s="10" t="s">
        <v>92</v>
      </c>
      <c r="E41" s="10" t="s">
        <v>400</v>
      </c>
      <c r="F41" s="31" t="s">
        <v>376</v>
      </c>
      <c r="G41" s="37">
        <f t="shared" si="0"/>
        <v>0</v>
      </c>
      <c r="H41" s="37"/>
      <c r="I41" s="37"/>
      <c r="J41" s="37"/>
    </row>
    <row r="42" spans="1:10" s="3" customFormat="1" ht="169.5" customHeight="1" hidden="1">
      <c r="A42" s="9" t="s">
        <v>136</v>
      </c>
      <c r="B42" s="40" t="s">
        <v>93</v>
      </c>
      <c r="C42" s="40" t="s">
        <v>32</v>
      </c>
      <c r="D42" s="10" t="s">
        <v>94</v>
      </c>
      <c r="E42" s="10" t="s">
        <v>400</v>
      </c>
      <c r="F42" s="10" t="s">
        <v>420</v>
      </c>
      <c r="G42" s="37">
        <f t="shared" si="0"/>
        <v>0</v>
      </c>
      <c r="H42" s="37"/>
      <c r="I42" s="37"/>
      <c r="J42" s="37"/>
    </row>
    <row r="43" spans="1:10" s="14" customFormat="1" ht="133.5" customHeight="1" hidden="1">
      <c r="A43" s="9" t="s">
        <v>270</v>
      </c>
      <c r="B43" s="40" t="s">
        <v>271</v>
      </c>
      <c r="C43" s="40" t="s">
        <v>273</v>
      </c>
      <c r="D43" s="10" t="s">
        <v>272</v>
      </c>
      <c r="E43" s="10" t="s">
        <v>400</v>
      </c>
      <c r="F43" s="31" t="s">
        <v>376</v>
      </c>
      <c r="G43" s="37">
        <f t="shared" si="0"/>
        <v>0</v>
      </c>
      <c r="H43" s="37"/>
      <c r="I43" s="37"/>
      <c r="J43" s="37"/>
    </row>
    <row r="44" spans="1:10" s="3" customFormat="1" ht="205.5" customHeight="1">
      <c r="A44" s="9" t="s">
        <v>207</v>
      </c>
      <c r="B44" s="40" t="s">
        <v>208</v>
      </c>
      <c r="C44" s="40" t="s">
        <v>209</v>
      </c>
      <c r="D44" s="10" t="s">
        <v>210</v>
      </c>
      <c r="E44" s="10" t="s">
        <v>426</v>
      </c>
      <c r="F44" s="10" t="s">
        <v>460</v>
      </c>
      <c r="G44" s="37">
        <f t="shared" si="0"/>
        <v>19500000</v>
      </c>
      <c r="H44" s="37">
        <f>10000000+3450000</f>
        <v>13450000</v>
      </c>
      <c r="I44" s="37">
        <f>5000000+1050000</f>
        <v>6050000</v>
      </c>
      <c r="J44" s="37">
        <f>5000000+1050000</f>
        <v>6050000</v>
      </c>
    </row>
    <row r="45" spans="1:10" s="14" customFormat="1" ht="187.5" customHeight="1">
      <c r="A45" s="9" t="s">
        <v>137</v>
      </c>
      <c r="B45" s="40" t="s">
        <v>95</v>
      </c>
      <c r="C45" s="40" t="s">
        <v>5</v>
      </c>
      <c r="D45" s="10" t="s">
        <v>49</v>
      </c>
      <c r="E45" s="10" t="s">
        <v>423</v>
      </c>
      <c r="F45" s="10" t="s">
        <v>476</v>
      </c>
      <c r="G45" s="37">
        <f t="shared" si="0"/>
        <v>215000</v>
      </c>
      <c r="H45" s="37">
        <v>215000</v>
      </c>
      <c r="I45" s="37"/>
      <c r="J45" s="37"/>
    </row>
    <row r="46" spans="1:10" s="14" customFormat="1" ht="124.5" customHeight="1" hidden="1">
      <c r="A46" s="9" t="s">
        <v>211</v>
      </c>
      <c r="B46" s="40" t="s">
        <v>86</v>
      </c>
      <c r="C46" s="40" t="s">
        <v>27</v>
      </c>
      <c r="D46" s="10" t="s">
        <v>56</v>
      </c>
      <c r="E46" s="10" t="s">
        <v>435</v>
      </c>
      <c r="F46" s="31" t="s">
        <v>420</v>
      </c>
      <c r="G46" s="37">
        <f t="shared" si="0"/>
        <v>0</v>
      </c>
      <c r="H46" s="37"/>
      <c r="I46" s="37"/>
      <c r="J46" s="37"/>
    </row>
    <row r="47" spans="1:10" s="14" customFormat="1" ht="151.5" customHeight="1">
      <c r="A47" s="9" t="s">
        <v>138</v>
      </c>
      <c r="B47" s="40" t="s">
        <v>96</v>
      </c>
      <c r="C47" s="40" t="s">
        <v>4</v>
      </c>
      <c r="D47" s="10" t="s">
        <v>50</v>
      </c>
      <c r="E47" s="10" t="s">
        <v>400</v>
      </c>
      <c r="F47" s="31" t="s">
        <v>376</v>
      </c>
      <c r="G47" s="37">
        <f t="shared" si="0"/>
        <v>22572000</v>
      </c>
      <c r="H47" s="37"/>
      <c r="I47" s="37">
        <v>22572000</v>
      </c>
      <c r="J47" s="37">
        <v>22572000</v>
      </c>
    </row>
    <row r="48" spans="1:10" s="14" customFormat="1" ht="187.5" customHeight="1">
      <c r="A48" s="83" t="s">
        <v>200</v>
      </c>
      <c r="B48" s="84" t="s">
        <v>201</v>
      </c>
      <c r="C48" s="84" t="s">
        <v>4</v>
      </c>
      <c r="D48" s="85" t="s">
        <v>202</v>
      </c>
      <c r="E48" s="12" t="s">
        <v>445</v>
      </c>
      <c r="F48" s="10" t="s">
        <v>493</v>
      </c>
      <c r="G48" s="37">
        <f t="shared" si="0"/>
        <v>158069</v>
      </c>
      <c r="H48" s="37">
        <v>158069</v>
      </c>
      <c r="I48" s="37"/>
      <c r="J48" s="37"/>
    </row>
    <row r="49" spans="1:10" s="14" customFormat="1" ht="154.5" customHeight="1">
      <c r="A49" s="83"/>
      <c r="B49" s="84"/>
      <c r="C49" s="84"/>
      <c r="D49" s="85"/>
      <c r="E49" s="10" t="s">
        <v>444</v>
      </c>
      <c r="F49" s="10" t="s">
        <v>477</v>
      </c>
      <c r="G49" s="37">
        <f t="shared" si="0"/>
        <v>82000</v>
      </c>
      <c r="H49" s="37">
        <v>82000</v>
      </c>
      <c r="I49" s="37"/>
      <c r="J49" s="37"/>
    </row>
    <row r="50" spans="1:10" s="3" customFormat="1" ht="135.75" customHeight="1">
      <c r="A50" s="9" t="s">
        <v>212</v>
      </c>
      <c r="B50" s="40" t="s">
        <v>213</v>
      </c>
      <c r="C50" s="40" t="s">
        <v>4</v>
      </c>
      <c r="D50" s="10" t="s">
        <v>214</v>
      </c>
      <c r="E50" s="10" t="s">
        <v>455</v>
      </c>
      <c r="F50" s="31" t="s">
        <v>398</v>
      </c>
      <c r="G50" s="37">
        <f t="shared" si="0"/>
        <v>1867587</v>
      </c>
      <c r="H50" s="37">
        <f>1617587+250000</f>
        <v>1867587</v>
      </c>
      <c r="I50" s="37"/>
      <c r="J50" s="37"/>
    </row>
    <row r="51" spans="1:10" ht="197.25" customHeight="1">
      <c r="A51" s="9" t="s">
        <v>139</v>
      </c>
      <c r="B51" s="40" t="s">
        <v>97</v>
      </c>
      <c r="C51" s="40" t="s">
        <v>98</v>
      </c>
      <c r="D51" s="10" t="s">
        <v>99</v>
      </c>
      <c r="E51" s="10" t="s">
        <v>449</v>
      </c>
      <c r="F51" s="31" t="s">
        <v>450</v>
      </c>
      <c r="G51" s="37">
        <f t="shared" si="0"/>
        <v>2444100</v>
      </c>
      <c r="H51" s="37">
        <v>284500</v>
      </c>
      <c r="I51" s="37">
        <v>2159600</v>
      </c>
      <c r="J51" s="37">
        <v>2159600</v>
      </c>
    </row>
    <row r="52" spans="1:10" ht="123" customHeight="1">
      <c r="A52" s="9" t="s">
        <v>203</v>
      </c>
      <c r="B52" s="40" t="s">
        <v>204</v>
      </c>
      <c r="C52" s="40" t="s">
        <v>205</v>
      </c>
      <c r="D52" s="19" t="s">
        <v>206</v>
      </c>
      <c r="E52" s="10" t="s">
        <v>472</v>
      </c>
      <c r="F52" s="31" t="s">
        <v>407</v>
      </c>
      <c r="G52" s="37">
        <f t="shared" si="0"/>
        <v>683360</v>
      </c>
      <c r="H52" s="37">
        <v>683360</v>
      </c>
      <c r="I52" s="37"/>
      <c r="J52" s="37"/>
    </row>
    <row r="53" spans="1:10" ht="146.25" customHeight="1">
      <c r="A53" s="9" t="s">
        <v>140</v>
      </c>
      <c r="B53" s="40" t="s">
        <v>82</v>
      </c>
      <c r="C53" s="40" t="s">
        <v>12</v>
      </c>
      <c r="D53" s="10" t="s">
        <v>83</v>
      </c>
      <c r="E53" s="12" t="s">
        <v>475</v>
      </c>
      <c r="F53" s="10" t="s">
        <v>391</v>
      </c>
      <c r="G53" s="37">
        <f t="shared" si="0"/>
        <v>264000</v>
      </c>
      <c r="H53" s="37"/>
      <c r="I53" s="37">
        <v>264000</v>
      </c>
      <c r="J53" s="37"/>
    </row>
    <row r="54" spans="1:10" ht="146.25" customHeight="1">
      <c r="A54" s="9" t="s">
        <v>246</v>
      </c>
      <c r="B54" s="40" t="s">
        <v>247</v>
      </c>
      <c r="C54" s="40" t="s">
        <v>29</v>
      </c>
      <c r="D54" s="10" t="s">
        <v>248</v>
      </c>
      <c r="E54" s="10" t="s">
        <v>455</v>
      </c>
      <c r="F54" s="31" t="s">
        <v>390</v>
      </c>
      <c r="G54" s="37">
        <f t="shared" si="0"/>
        <v>100000</v>
      </c>
      <c r="H54" s="37">
        <v>100000</v>
      </c>
      <c r="I54" s="37"/>
      <c r="J54" s="37"/>
    </row>
    <row r="55" spans="1:10" ht="116.25" customHeight="1" hidden="1">
      <c r="A55" s="83" t="s">
        <v>324</v>
      </c>
      <c r="B55" s="84" t="s">
        <v>80</v>
      </c>
      <c r="C55" s="84" t="s">
        <v>28</v>
      </c>
      <c r="D55" s="87" t="s">
        <v>81</v>
      </c>
      <c r="E55" s="10" t="s">
        <v>472</v>
      </c>
      <c r="F55" s="31" t="s">
        <v>407</v>
      </c>
      <c r="G55" s="37">
        <f t="shared" si="0"/>
        <v>0</v>
      </c>
      <c r="H55" s="37"/>
      <c r="I55" s="37"/>
      <c r="J55" s="37"/>
    </row>
    <row r="56" spans="1:10" ht="376.5" customHeight="1" hidden="1">
      <c r="A56" s="83"/>
      <c r="B56" s="84"/>
      <c r="C56" s="84"/>
      <c r="D56" s="87"/>
      <c r="E56" s="10" t="s">
        <v>424</v>
      </c>
      <c r="F56" s="31" t="s">
        <v>473</v>
      </c>
      <c r="G56" s="37">
        <f t="shared" si="0"/>
        <v>0</v>
      </c>
      <c r="H56" s="37"/>
      <c r="I56" s="37"/>
      <c r="J56" s="37"/>
    </row>
    <row r="57" spans="1:10" ht="183" customHeight="1" hidden="1">
      <c r="A57" s="83"/>
      <c r="B57" s="84"/>
      <c r="C57" s="84"/>
      <c r="D57" s="87"/>
      <c r="E57" s="10" t="s">
        <v>425</v>
      </c>
      <c r="F57" s="31" t="s">
        <v>458</v>
      </c>
      <c r="G57" s="37">
        <f t="shared" si="0"/>
        <v>0</v>
      </c>
      <c r="H57" s="37"/>
      <c r="I57" s="37"/>
      <c r="J57" s="37"/>
    </row>
    <row r="58" spans="1:10" ht="112.5" customHeight="1" hidden="1">
      <c r="A58" s="83" t="s">
        <v>297</v>
      </c>
      <c r="B58" s="84" t="s">
        <v>298</v>
      </c>
      <c r="C58" s="84" t="s">
        <v>28</v>
      </c>
      <c r="D58" s="85" t="s">
        <v>299</v>
      </c>
      <c r="E58" s="10" t="s">
        <v>472</v>
      </c>
      <c r="F58" s="31" t="s">
        <v>407</v>
      </c>
      <c r="G58" s="37">
        <f t="shared" si="0"/>
        <v>0</v>
      </c>
      <c r="H58" s="37"/>
      <c r="I58" s="37"/>
      <c r="J58" s="37"/>
    </row>
    <row r="59" spans="1:10" ht="378" customHeight="1" hidden="1">
      <c r="A59" s="83"/>
      <c r="B59" s="84"/>
      <c r="C59" s="84"/>
      <c r="D59" s="85"/>
      <c r="E59" s="10" t="s">
        <v>424</v>
      </c>
      <c r="F59" s="31" t="s">
        <v>473</v>
      </c>
      <c r="G59" s="37">
        <f t="shared" si="0"/>
        <v>0</v>
      </c>
      <c r="H59" s="37"/>
      <c r="I59" s="37"/>
      <c r="J59" s="37"/>
    </row>
    <row r="60" spans="1:10" ht="201" customHeight="1" hidden="1">
      <c r="A60" s="83"/>
      <c r="B60" s="84"/>
      <c r="C60" s="84"/>
      <c r="D60" s="85"/>
      <c r="E60" s="10" t="s">
        <v>425</v>
      </c>
      <c r="F60" s="31" t="s">
        <v>458</v>
      </c>
      <c r="G60" s="37">
        <f t="shared" si="0"/>
        <v>0</v>
      </c>
      <c r="H60" s="37"/>
      <c r="I60" s="37"/>
      <c r="J60" s="37"/>
    </row>
    <row r="61" spans="1:10" s="2" customFormat="1" ht="117" customHeight="1">
      <c r="A61" s="16"/>
      <c r="B61" s="41"/>
      <c r="C61" s="41"/>
      <c r="D61" s="17" t="s">
        <v>141</v>
      </c>
      <c r="E61" s="17"/>
      <c r="F61" s="33"/>
      <c r="G61" s="36">
        <f>G62+G63+G64+G65+G66+G67+G68+G69+G70+G71+G72+G73+G74+G75+G76+G77+G78+G79+G80+G81+G83+G84+G85</f>
        <v>1056408875.55</v>
      </c>
      <c r="H61" s="36">
        <f>H62+H63+H64+H65+H66+H67+H68+H69+H70+H71+H72+H73+H74+H75+H76+H77+H78+H79+H80+H81+H83+H84+H85</f>
        <v>970576155</v>
      </c>
      <c r="I61" s="36">
        <f>I62+I63+I64+I65+I66+I67+I68+I69+I70+I71+I72+I73+I74+I75+I76+I77+I78+I79+I80+I81+I83+I84+I85</f>
        <v>85832720.55</v>
      </c>
      <c r="J61" s="36">
        <f>J62+J63+J64+J65+J66+J67+J68+J69+J70+J71+J72+J73+J74+J75+J76+J77+J78+J79+J80+J81+J83+J84+J85</f>
        <v>32116212.55</v>
      </c>
    </row>
    <row r="62" spans="1:10" s="2" customFormat="1" ht="177">
      <c r="A62" s="9" t="s">
        <v>142</v>
      </c>
      <c r="B62" s="40" t="s">
        <v>73</v>
      </c>
      <c r="C62" s="40" t="s">
        <v>2</v>
      </c>
      <c r="D62" s="10" t="s">
        <v>74</v>
      </c>
      <c r="E62" s="10" t="s">
        <v>455</v>
      </c>
      <c r="F62" s="31" t="s">
        <v>390</v>
      </c>
      <c r="G62" s="37">
        <f t="shared" si="0"/>
        <v>272800</v>
      </c>
      <c r="H62" s="37">
        <f>30000+242800</f>
        <v>272800</v>
      </c>
      <c r="I62" s="37"/>
      <c r="J62" s="37"/>
    </row>
    <row r="63" spans="1:10" ht="132.75">
      <c r="A63" s="83" t="s">
        <v>143</v>
      </c>
      <c r="B63" s="84" t="s">
        <v>39</v>
      </c>
      <c r="C63" s="84" t="s">
        <v>14</v>
      </c>
      <c r="D63" s="86" t="s">
        <v>87</v>
      </c>
      <c r="E63" s="10" t="s">
        <v>467</v>
      </c>
      <c r="F63" s="10" t="s">
        <v>402</v>
      </c>
      <c r="G63" s="37">
        <f t="shared" si="0"/>
        <v>267185243</v>
      </c>
      <c r="H63" s="37">
        <f>243109115+176336+1322957</f>
        <v>244608408</v>
      </c>
      <c r="I63" s="37">
        <f>20525656+500000+88136+760000+703043</f>
        <v>22576835</v>
      </c>
      <c r="J63" s="37">
        <f>4200000+500000+88136+760000+703043</f>
        <v>6251179</v>
      </c>
    </row>
    <row r="64" spans="1:10" s="35" customFormat="1" ht="132.75">
      <c r="A64" s="83"/>
      <c r="B64" s="84"/>
      <c r="C64" s="84"/>
      <c r="D64" s="86"/>
      <c r="E64" s="10" t="s">
        <v>457</v>
      </c>
      <c r="F64" s="10" t="s">
        <v>392</v>
      </c>
      <c r="G64" s="37">
        <f>H64+I64</f>
        <v>16175</v>
      </c>
      <c r="H64" s="37">
        <v>16175</v>
      </c>
      <c r="I64" s="38"/>
      <c r="J64" s="38"/>
    </row>
    <row r="65" spans="1:10" s="35" customFormat="1" ht="192" customHeight="1">
      <c r="A65" s="83"/>
      <c r="B65" s="84"/>
      <c r="C65" s="84"/>
      <c r="D65" s="86"/>
      <c r="E65" s="10" t="s">
        <v>425</v>
      </c>
      <c r="F65" s="31" t="s">
        <v>492</v>
      </c>
      <c r="G65" s="37">
        <f>H65+I65</f>
        <v>1213800</v>
      </c>
      <c r="H65" s="37">
        <v>1213800</v>
      </c>
      <c r="I65" s="38"/>
      <c r="J65" s="38"/>
    </row>
    <row r="66" spans="1:10" s="35" customFormat="1" ht="135" customHeight="1">
      <c r="A66" s="83" t="s">
        <v>144</v>
      </c>
      <c r="B66" s="84" t="s">
        <v>37</v>
      </c>
      <c r="C66" s="84" t="s">
        <v>15</v>
      </c>
      <c r="D66" s="86" t="s">
        <v>480</v>
      </c>
      <c r="E66" s="10" t="s">
        <v>467</v>
      </c>
      <c r="F66" s="10" t="s">
        <v>402</v>
      </c>
      <c r="G66" s="37">
        <f t="shared" si="0"/>
        <v>588920336.64</v>
      </c>
      <c r="H66" s="37">
        <f>529731045-50000+2067000+1396248+800+1533444+15313000-11301200+50000+106000+70000</f>
        <v>538916337</v>
      </c>
      <c r="I66" s="37">
        <f>42711044+739872+3050000+2916586+700000-106000-7502.36</f>
        <v>50003999.64</v>
      </c>
      <c r="J66" s="37">
        <f>13799297+739872+3050000+2916586+700000-106000-7502.36</f>
        <v>21092252.64</v>
      </c>
    </row>
    <row r="67" spans="1:10" s="35" customFormat="1" ht="168" customHeight="1">
      <c r="A67" s="83"/>
      <c r="B67" s="84"/>
      <c r="C67" s="84"/>
      <c r="D67" s="86"/>
      <c r="E67" s="10" t="s">
        <v>457</v>
      </c>
      <c r="F67" s="10" t="s">
        <v>392</v>
      </c>
      <c r="G67" s="37">
        <f t="shared" si="0"/>
        <v>95975</v>
      </c>
      <c r="H67" s="37">
        <v>95975</v>
      </c>
      <c r="I67" s="38"/>
      <c r="J67" s="38"/>
    </row>
    <row r="68" spans="1:10" s="35" customFormat="1" ht="198" customHeight="1">
      <c r="A68" s="83"/>
      <c r="B68" s="84"/>
      <c r="C68" s="84"/>
      <c r="D68" s="86"/>
      <c r="E68" s="10" t="s">
        <v>425</v>
      </c>
      <c r="F68" s="31" t="s">
        <v>492</v>
      </c>
      <c r="G68" s="37">
        <f t="shared" si="0"/>
        <v>2955560</v>
      </c>
      <c r="H68" s="37">
        <v>2955560</v>
      </c>
      <c r="I68" s="38"/>
      <c r="J68" s="38"/>
    </row>
    <row r="69" spans="1:10" s="35" customFormat="1" ht="183.75" customHeight="1">
      <c r="A69" s="83"/>
      <c r="B69" s="84"/>
      <c r="C69" s="84"/>
      <c r="D69" s="86"/>
      <c r="E69" s="10" t="s">
        <v>426</v>
      </c>
      <c r="F69" s="10" t="s">
        <v>460</v>
      </c>
      <c r="G69" s="37">
        <f t="shared" si="0"/>
        <v>582850</v>
      </c>
      <c r="H69" s="37">
        <v>582850</v>
      </c>
      <c r="I69" s="38"/>
      <c r="J69" s="38"/>
    </row>
    <row r="70" spans="1:10" ht="232.5" customHeight="1">
      <c r="A70" s="11" t="s">
        <v>482</v>
      </c>
      <c r="B70" s="42">
        <v>1030</v>
      </c>
      <c r="C70" s="40" t="s">
        <v>36</v>
      </c>
      <c r="D70" s="31" t="s">
        <v>481</v>
      </c>
      <c r="E70" s="10" t="s">
        <v>467</v>
      </c>
      <c r="F70" s="10" t="s">
        <v>402</v>
      </c>
      <c r="G70" s="37">
        <f t="shared" si="0"/>
        <v>9484880</v>
      </c>
      <c r="H70" s="37">
        <f>9152880+50000+110000</f>
        <v>9312880</v>
      </c>
      <c r="I70" s="37">
        <f>150000+22000</f>
        <v>172000</v>
      </c>
      <c r="J70" s="37">
        <f>150000+22000</f>
        <v>172000</v>
      </c>
    </row>
    <row r="71" spans="1:10" ht="168.75" customHeight="1">
      <c r="A71" s="11" t="s">
        <v>145</v>
      </c>
      <c r="B71" s="42" t="s">
        <v>6</v>
      </c>
      <c r="C71" s="40" t="s">
        <v>35</v>
      </c>
      <c r="D71" s="10" t="s">
        <v>483</v>
      </c>
      <c r="E71" s="10" t="s">
        <v>467</v>
      </c>
      <c r="F71" s="10" t="s">
        <v>402</v>
      </c>
      <c r="G71" s="37">
        <f t="shared" si="0"/>
        <v>28323440</v>
      </c>
      <c r="H71" s="37">
        <f>27792840+230600</f>
        <v>28023440</v>
      </c>
      <c r="I71" s="37">
        <v>300000</v>
      </c>
      <c r="J71" s="37">
        <v>300000</v>
      </c>
    </row>
    <row r="72" spans="1:10" ht="137.25" customHeight="1">
      <c r="A72" s="11" t="s">
        <v>358</v>
      </c>
      <c r="B72" s="42" t="s">
        <v>359</v>
      </c>
      <c r="C72" s="40" t="s">
        <v>360</v>
      </c>
      <c r="D72" s="10" t="s">
        <v>484</v>
      </c>
      <c r="E72" s="10" t="s">
        <v>467</v>
      </c>
      <c r="F72" s="10" t="s">
        <v>402</v>
      </c>
      <c r="G72" s="37">
        <f>H72+I72</f>
        <v>124266005</v>
      </c>
      <c r="H72" s="37">
        <f>115969900+217000</f>
        <v>116186900</v>
      </c>
      <c r="I72" s="37">
        <v>8079105</v>
      </c>
      <c r="J72" s="37"/>
    </row>
    <row r="73" spans="1:10" ht="131.25" customHeight="1">
      <c r="A73" s="11" t="s">
        <v>361</v>
      </c>
      <c r="B73" s="42" t="s">
        <v>362</v>
      </c>
      <c r="C73" s="40" t="s">
        <v>16</v>
      </c>
      <c r="D73" s="10" t="s">
        <v>485</v>
      </c>
      <c r="E73" s="10" t="s">
        <v>467</v>
      </c>
      <c r="F73" s="10" t="s">
        <v>402</v>
      </c>
      <c r="G73" s="37">
        <f t="shared" si="0"/>
        <v>2893730</v>
      </c>
      <c r="H73" s="37">
        <v>2893730</v>
      </c>
      <c r="I73" s="37"/>
      <c r="J73" s="37"/>
    </row>
    <row r="74" spans="1:10" s="3" customFormat="1" ht="141" customHeight="1">
      <c r="A74" s="11" t="s">
        <v>279</v>
      </c>
      <c r="B74" s="42" t="s">
        <v>275</v>
      </c>
      <c r="C74" s="40" t="s">
        <v>16</v>
      </c>
      <c r="D74" s="10" t="s">
        <v>277</v>
      </c>
      <c r="E74" s="10" t="s">
        <v>467</v>
      </c>
      <c r="F74" s="10" t="s">
        <v>402</v>
      </c>
      <c r="G74" s="37">
        <f t="shared" si="0"/>
        <v>9645170</v>
      </c>
      <c r="H74" s="37">
        <f>9333170+12000</f>
        <v>9345170</v>
      </c>
      <c r="I74" s="37">
        <f>100000+200000</f>
        <v>300000</v>
      </c>
      <c r="J74" s="37">
        <f>100000+200000</f>
        <v>300000</v>
      </c>
    </row>
    <row r="75" spans="1:10" s="3" customFormat="1" ht="141" customHeight="1">
      <c r="A75" s="11" t="s">
        <v>280</v>
      </c>
      <c r="B75" s="42" t="s">
        <v>276</v>
      </c>
      <c r="C75" s="40" t="s">
        <v>16</v>
      </c>
      <c r="D75" s="10" t="s">
        <v>278</v>
      </c>
      <c r="E75" s="10" t="s">
        <v>467</v>
      </c>
      <c r="F75" s="10" t="s">
        <v>402</v>
      </c>
      <c r="G75" s="37">
        <f t="shared" si="0"/>
        <v>107400</v>
      </c>
      <c r="H75" s="37">
        <v>107400</v>
      </c>
      <c r="I75" s="37"/>
      <c r="J75" s="37"/>
    </row>
    <row r="76" spans="1:10" s="3" customFormat="1" ht="138" customHeight="1">
      <c r="A76" s="11" t="s">
        <v>380</v>
      </c>
      <c r="B76" s="42" t="s">
        <v>381</v>
      </c>
      <c r="C76" s="40" t="s">
        <v>16</v>
      </c>
      <c r="D76" s="10" t="s">
        <v>382</v>
      </c>
      <c r="E76" s="10" t="s">
        <v>467</v>
      </c>
      <c r="F76" s="10" t="s">
        <v>402</v>
      </c>
      <c r="G76" s="37">
        <f t="shared" si="0"/>
        <v>1627940</v>
      </c>
      <c r="H76" s="37">
        <v>1627940</v>
      </c>
      <c r="I76" s="37"/>
      <c r="J76" s="37"/>
    </row>
    <row r="77" spans="1:10" ht="94.5" customHeight="1">
      <c r="A77" s="103" t="s">
        <v>146</v>
      </c>
      <c r="B77" s="88" t="s">
        <v>41</v>
      </c>
      <c r="C77" s="84" t="s">
        <v>7</v>
      </c>
      <c r="D77" s="86" t="s">
        <v>45</v>
      </c>
      <c r="E77" s="10" t="s">
        <v>463</v>
      </c>
      <c r="F77" s="31" t="s">
        <v>404</v>
      </c>
      <c r="G77" s="37">
        <f t="shared" si="0"/>
        <v>3661000</v>
      </c>
      <c r="H77" s="37">
        <v>3661000</v>
      </c>
      <c r="I77" s="37"/>
      <c r="J77" s="37"/>
    </row>
    <row r="78" spans="1:10" ht="160.5" customHeight="1">
      <c r="A78" s="103"/>
      <c r="B78" s="88"/>
      <c r="C78" s="84"/>
      <c r="D78" s="86"/>
      <c r="E78" s="10" t="s">
        <v>457</v>
      </c>
      <c r="F78" s="31" t="s">
        <v>392</v>
      </c>
      <c r="G78" s="37">
        <f t="shared" si="0"/>
        <v>63000</v>
      </c>
      <c r="H78" s="37">
        <v>63000</v>
      </c>
      <c r="I78" s="37"/>
      <c r="J78" s="37"/>
    </row>
    <row r="79" spans="1:10" ht="190.5" customHeight="1">
      <c r="A79" s="103"/>
      <c r="B79" s="88"/>
      <c r="C79" s="84"/>
      <c r="D79" s="86"/>
      <c r="E79" s="10" t="s">
        <v>425</v>
      </c>
      <c r="F79" s="31" t="s">
        <v>492</v>
      </c>
      <c r="G79" s="37">
        <f t="shared" si="0"/>
        <v>3276000</v>
      </c>
      <c r="H79" s="37">
        <v>3276000</v>
      </c>
      <c r="I79" s="37"/>
      <c r="J79" s="37"/>
    </row>
    <row r="80" spans="1:10" ht="190.5" customHeight="1">
      <c r="A80" s="11" t="s">
        <v>373</v>
      </c>
      <c r="B80" s="42" t="s">
        <v>253</v>
      </c>
      <c r="C80" s="40" t="s">
        <v>6</v>
      </c>
      <c r="D80" s="10" t="s">
        <v>254</v>
      </c>
      <c r="E80" s="10" t="s">
        <v>436</v>
      </c>
      <c r="F80" s="31" t="s">
        <v>459</v>
      </c>
      <c r="G80" s="37">
        <f t="shared" si="0"/>
        <v>52490</v>
      </c>
      <c r="H80" s="37">
        <v>52490</v>
      </c>
      <c r="I80" s="37"/>
      <c r="J80" s="37"/>
    </row>
    <row r="81" spans="1:10" s="3" customFormat="1" ht="147" customHeight="1">
      <c r="A81" s="9" t="s">
        <v>147</v>
      </c>
      <c r="B81" s="40" t="s">
        <v>67</v>
      </c>
      <c r="C81" s="40" t="s">
        <v>10</v>
      </c>
      <c r="D81" s="10" t="s">
        <v>47</v>
      </c>
      <c r="E81" s="10" t="s">
        <v>465</v>
      </c>
      <c r="F81" s="31" t="s">
        <v>406</v>
      </c>
      <c r="G81" s="37">
        <f t="shared" si="0"/>
        <v>7535500</v>
      </c>
      <c r="H81" s="37">
        <f>6725500+60000</f>
        <v>6785500</v>
      </c>
      <c r="I81" s="37">
        <f>550000+200000</f>
        <v>750000</v>
      </c>
      <c r="J81" s="37">
        <f>550000+200000</f>
        <v>750000</v>
      </c>
    </row>
    <row r="82" spans="1:10" s="3" customFormat="1" ht="142.5" customHeight="1" hidden="1">
      <c r="A82" s="83" t="s">
        <v>301</v>
      </c>
      <c r="B82" s="84" t="s">
        <v>302</v>
      </c>
      <c r="C82" s="84" t="s">
        <v>4</v>
      </c>
      <c r="D82" s="86" t="s">
        <v>303</v>
      </c>
      <c r="E82" s="10" t="s">
        <v>467</v>
      </c>
      <c r="F82" s="10" t="s">
        <v>402</v>
      </c>
      <c r="G82" s="37">
        <f t="shared" si="0"/>
        <v>0</v>
      </c>
      <c r="H82" s="37"/>
      <c r="I82" s="37"/>
      <c r="J82" s="37"/>
    </row>
    <row r="83" spans="1:10" s="3" customFormat="1" ht="177">
      <c r="A83" s="83"/>
      <c r="B83" s="84"/>
      <c r="C83" s="84"/>
      <c r="D83" s="86"/>
      <c r="E83" s="10" t="s">
        <v>444</v>
      </c>
      <c r="F83" s="10" t="s">
        <v>477</v>
      </c>
      <c r="G83" s="37">
        <f>H83+I83</f>
        <v>257580.90999999997</v>
      </c>
      <c r="H83" s="37"/>
      <c r="I83" s="37">
        <f>7502.36+250078.55</f>
        <v>257580.90999999997</v>
      </c>
      <c r="J83" s="37">
        <f>7502.36+250078.55</f>
        <v>257580.90999999997</v>
      </c>
    </row>
    <row r="84" spans="1:10" s="15" customFormat="1" ht="141" customHeight="1">
      <c r="A84" s="9" t="s">
        <v>148</v>
      </c>
      <c r="B84" s="40" t="s">
        <v>86</v>
      </c>
      <c r="C84" s="40" t="s">
        <v>27</v>
      </c>
      <c r="D84" s="10" t="s">
        <v>56</v>
      </c>
      <c r="E84" s="10" t="s">
        <v>444</v>
      </c>
      <c r="F84" s="10" t="s">
        <v>477</v>
      </c>
      <c r="G84" s="37">
        <f>H84+I84</f>
        <v>3572000</v>
      </c>
      <c r="H84" s="37">
        <v>578800</v>
      </c>
      <c r="I84" s="37">
        <v>2993200</v>
      </c>
      <c r="J84" s="37">
        <v>2993200</v>
      </c>
    </row>
    <row r="85" spans="1:10" ht="138.75" customHeight="1">
      <c r="A85" s="11" t="s">
        <v>149</v>
      </c>
      <c r="B85" s="42" t="s">
        <v>82</v>
      </c>
      <c r="C85" s="40" t="s">
        <v>12</v>
      </c>
      <c r="D85" s="10" t="s">
        <v>83</v>
      </c>
      <c r="E85" s="12" t="s">
        <v>475</v>
      </c>
      <c r="F85" s="10" t="s">
        <v>391</v>
      </c>
      <c r="G85" s="37">
        <f>H85+I85</f>
        <v>400000</v>
      </c>
      <c r="H85" s="37"/>
      <c r="I85" s="37">
        <f>390000+10000</f>
        <v>400000</v>
      </c>
      <c r="J85" s="37"/>
    </row>
    <row r="86" spans="1:10" ht="177" hidden="1">
      <c r="A86" s="9" t="s">
        <v>300</v>
      </c>
      <c r="B86" s="40" t="s">
        <v>298</v>
      </c>
      <c r="C86" s="40" t="s">
        <v>28</v>
      </c>
      <c r="D86" s="19" t="s">
        <v>299</v>
      </c>
      <c r="E86" s="10" t="s">
        <v>425</v>
      </c>
      <c r="F86" s="31" t="s">
        <v>458</v>
      </c>
      <c r="G86" s="37">
        <f>H86+I86</f>
        <v>0</v>
      </c>
      <c r="H86" s="37"/>
      <c r="I86" s="37"/>
      <c r="J86" s="37"/>
    </row>
    <row r="87" spans="1:10" s="2" customFormat="1" ht="97.5" customHeight="1">
      <c r="A87" s="16"/>
      <c r="B87" s="41"/>
      <c r="C87" s="41"/>
      <c r="D87" s="17" t="s">
        <v>150</v>
      </c>
      <c r="E87" s="17"/>
      <c r="F87" s="17"/>
      <c r="G87" s="36">
        <f>G88+G89+G90+G91+G92+G93+G94+G95+G96+G97+G98+G99+G101+G102</f>
        <v>241560085</v>
      </c>
      <c r="H87" s="36">
        <f>H88+H89+H90+H91+H92+H93+H94+H95+H96+H97+H98+H99+H101+H102</f>
        <v>168384011</v>
      </c>
      <c r="I87" s="36">
        <f>I88+I89+I90+I91+I92+I93+I94+I95+I96+I97+I98+I99+I101+I102</f>
        <v>73176074</v>
      </c>
      <c r="J87" s="36">
        <f>J88+J89+J90+J91+J92+J93+J94+J95+J96+J97+J98+J99+J101+J102</f>
        <v>72291074</v>
      </c>
    </row>
    <row r="88" spans="1:10" ht="144.75" customHeight="1">
      <c r="A88" s="9" t="s">
        <v>151</v>
      </c>
      <c r="B88" s="40" t="s">
        <v>73</v>
      </c>
      <c r="C88" s="40" t="s">
        <v>2</v>
      </c>
      <c r="D88" s="10" t="s">
        <v>74</v>
      </c>
      <c r="E88" s="10" t="s">
        <v>455</v>
      </c>
      <c r="F88" s="31" t="s">
        <v>390</v>
      </c>
      <c r="G88" s="37">
        <f>H88+I88</f>
        <v>201800</v>
      </c>
      <c r="H88" s="37">
        <f>5000+196800</f>
        <v>201800</v>
      </c>
      <c r="I88" s="37"/>
      <c r="J88" s="37"/>
    </row>
    <row r="89" spans="1:10" ht="144.75" customHeight="1">
      <c r="A89" s="109" t="s">
        <v>152</v>
      </c>
      <c r="B89" s="108" t="s">
        <v>40</v>
      </c>
      <c r="C89" s="117" t="s">
        <v>19</v>
      </c>
      <c r="D89" s="114" t="s">
        <v>51</v>
      </c>
      <c r="E89" s="12" t="s">
        <v>466</v>
      </c>
      <c r="F89" s="10" t="s">
        <v>401</v>
      </c>
      <c r="G89" s="37">
        <f>H89+I89</f>
        <v>149419196</v>
      </c>
      <c r="H89" s="37">
        <f>118457491+150000+717000-H90</f>
        <v>119182696</v>
      </c>
      <c r="I89" s="37">
        <f>27530000+1100000+1606500</f>
        <v>30236500</v>
      </c>
      <c r="J89" s="37">
        <f>27530000+1100000+1606500</f>
        <v>30236500</v>
      </c>
    </row>
    <row r="90" spans="1:10" s="35" customFormat="1" ht="207.75" customHeight="1">
      <c r="A90" s="109"/>
      <c r="B90" s="108"/>
      <c r="C90" s="117"/>
      <c r="D90" s="114"/>
      <c r="E90" s="10" t="s">
        <v>425</v>
      </c>
      <c r="F90" s="31" t="s">
        <v>492</v>
      </c>
      <c r="G90" s="37">
        <f aca="true" t="shared" si="1" ref="G90:G104">H90+I90</f>
        <v>141795</v>
      </c>
      <c r="H90" s="37">
        <v>141795</v>
      </c>
      <c r="I90" s="38"/>
      <c r="J90" s="38"/>
    </row>
    <row r="91" spans="1:10" ht="132.75" customHeight="1">
      <c r="A91" s="103" t="s">
        <v>437</v>
      </c>
      <c r="B91" s="88">
        <v>2030</v>
      </c>
      <c r="C91" s="83" t="s">
        <v>438</v>
      </c>
      <c r="D91" s="85" t="s">
        <v>439</v>
      </c>
      <c r="E91" s="12" t="s">
        <v>466</v>
      </c>
      <c r="F91" s="10" t="s">
        <v>401</v>
      </c>
      <c r="G91" s="37">
        <f>H91+I91</f>
        <v>30306613</v>
      </c>
      <c r="H91" s="37">
        <f>15325473-H92</f>
        <v>15266013</v>
      </c>
      <c r="I91" s="37">
        <v>15040600</v>
      </c>
      <c r="J91" s="37">
        <v>15040600</v>
      </c>
    </row>
    <row r="92" spans="1:10" ht="189.75" customHeight="1">
      <c r="A92" s="103"/>
      <c r="B92" s="88"/>
      <c r="C92" s="83"/>
      <c r="D92" s="85"/>
      <c r="E92" s="10" t="s">
        <v>425</v>
      </c>
      <c r="F92" s="31" t="s">
        <v>492</v>
      </c>
      <c r="G92" s="37">
        <f>H92+I92</f>
        <v>59460</v>
      </c>
      <c r="H92" s="37">
        <f>9460+50000</f>
        <v>59460</v>
      </c>
      <c r="I92" s="37"/>
      <c r="J92" s="37"/>
    </row>
    <row r="93" spans="1:10" ht="156.75" customHeight="1">
      <c r="A93" s="103" t="s">
        <v>153</v>
      </c>
      <c r="B93" s="88" t="s">
        <v>84</v>
      </c>
      <c r="C93" s="84" t="s">
        <v>20</v>
      </c>
      <c r="D93" s="86" t="s">
        <v>85</v>
      </c>
      <c r="E93" s="12" t="s">
        <v>466</v>
      </c>
      <c r="F93" s="10" t="s">
        <v>401</v>
      </c>
      <c r="G93" s="37">
        <f>H93+I93</f>
        <v>7759188</v>
      </c>
      <c r="H93" s="37">
        <f>6663426-H94</f>
        <v>6629188</v>
      </c>
      <c r="I93" s="37">
        <f>1210600-80600</f>
        <v>1130000</v>
      </c>
      <c r="J93" s="37">
        <f>1210600-80600</f>
        <v>1130000</v>
      </c>
    </row>
    <row r="94" spans="1:10" s="35" customFormat="1" ht="183.75" customHeight="1">
      <c r="A94" s="103"/>
      <c r="B94" s="88"/>
      <c r="C94" s="84"/>
      <c r="D94" s="86"/>
      <c r="E94" s="10" t="s">
        <v>425</v>
      </c>
      <c r="F94" s="31" t="s">
        <v>492</v>
      </c>
      <c r="G94" s="37">
        <f t="shared" si="1"/>
        <v>34238</v>
      </c>
      <c r="H94" s="37">
        <v>34238</v>
      </c>
      <c r="I94" s="38"/>
      <c r="J94" s="38"/>
    </row>
    <row r="95" spans="1:10" s="3" customFormat="1" ht="138.75" customHeight="1">
      <c r="A95" s="11" t="s">
        <v>427</v>
      </c>
      <c r="B95" s="42">
        <v>2111</v>
      </c>
      <c r="C95" s="9" t="s">
        <v>442</v>
      </c>
      <c r="D95" s="10" t="s">
        <v>441</v>
      </c>
      <c r="E95" s="12" t="s">
        <v>466</v>
      </c>
      <c r="F95" s="10" t="s">
        <v>401</v>
      </c>
      <c r="G95" s="37">
        <f t="shared" si="1"/>
        <v>1870468</v>
      </c>
      <c r="H95" s="37">
        <f>1672468+173000+25000</f>
        <v>1870468</v>
      </c>
      <c r="I95" s="37"/>
      <c r="J95" s="37"/>
    </row>
    <row r="96" spans="1:10" s="3" customFormat="1" ht="139.5" customHeight="1">
      <c r="A96" s="11" t="s">
        <v>367</v>
      </c>
      <c r="B96" s="42" t="s">
        <v>368</v>
      </c>
      <c r="C96" s="42" t="s">
        <v>289</v>
      </c>
      <c r="D96" s="10" t="s">
        <v>371</v>
      </c>
      <c r="E96" s="12" t="s">
        <v>466</v>
      </c>
      <c r="F96" s="10" t="s">
        <v>401</v>
      </c>
      <c r="G96" s="37">
        <f t="shared" si="1"/>
        <v>3090140</v>
      </c>
      <c r="H96" s="37">
        <f>2090140+1000000</f>
        <v>3090140</v>
      </c>
      <c r="I96" s="37"/>
      <c r="J96" s="37"/>
    </row>
    <row r="97" spans="1:10" s="3" customFormat="1" ht="154.5" customHeight="1">
      <c r="A97" s="11" t="s">
        <v>369</v>
      </c>
      <c r="B97" s="42" t="s">
        <v>370</v>
      </c>
      <c r="C97" s="42" t="s">
        <v>289</v>
      </c>
      <c r="D97" s="10" t="s">
        <v>372</v>
      </c>
      <c r="E97" s="12" t="s">
        <v>466</v>
      </c>
      <c r="F97" s="10" t="s">
        <v>401</v>
      </c>
      <c r="G97" s="37">
        <f t="shared" si="1"/>
        <v>2894213</v>
      </c>
      <c r="H97" s="37">
        <v>2894213</v>
      </c>
      <c r="I97" s="37"/>
      <c r="J97" s="37"/>
    </row>
    <row r="98" spans="1:10" s="3" customFormat="1" ht="135" customHeight="1">
      <c r="A98" s="106" t="s">
        <v>291</v>
      </c>
      <c r="B98" s="104" t="s">
        <v>288</v>
      </c>
      <c r="C98" s="104" t="s">
        <v>289</v>
      </c>
      <c r="D98" s="100" t="s">
        <v>290</v>
      </c>
      <c r="E98" s="12" t="s">
        <v>466</v>
      </c>
      <c r="F98" s="10" t="s">
        <v>401</v>
      </c>
      <c r="G98" s="37">
        <f t="shared" si="1"/>
        <v>18271000</v>
      </c>
      <c r="H98" s="37">
        <f>18815000-H99</f>
        <v>18271000</v>
      </c>
      <c r="I98" s="37"/>
      <c r="J98" s="37"/>
    </row>
    <row r="99" spans="1:10" s="35" customFormat="1" ht="195" customHeight="1">
      <c r="A99" s="107"/>
      <c r="B99" s="105"/>
      <c r="C99" s="105"/>
      <c r="D99" s="101"/>
      <c r="E99" s="10" t="s">
        <v>425</v>
      </c>
      <c r="F99" s="31" t="s">
        <v>492</v>
      </c>
      <c r="G99" s="37">
        <f t="shared" si="1"/>
        <v>544000</v>
      </c>
      <c r="H99" s="37">
        <v>544000</v>
      </c>
      <c r="I99" s="38"/>
      <c r="J99" s="38"/>
    </row>
    <row r="100" spans="1:10" s="3" customFormat="1" ht="156" customHeight="1" hidden="1">
      <c r="A100" s="9" t="s">
        <v>304</v>
      </c>
      <c r="B100" s="40" t="s">
        <v>302</v>
      </c>
      <c r="C100" s="40" t="s">
        <v>4</v>
      </c>
      <c r="D100" s="10" t="s">
        <v>303</v>
      </c>
      <c r="E100" s="12" t="s">
        <v>466</v>
      </c>
      <c r="F100" s="10" t="s">
        <v>401</v>
      </c>
      <c r="G100" s="37">
        <f t="shared" si="1"/>
        <v>0</v>
      </c>
      <c r="H100" s="37"/>
      <c r="I100" s="37"/>
      <c r="J100" s="37"/>
    </row>
    <row r="101" spans="1:10" ht="153.75" customHeight="1">
      <c r="A101" s="9" t="s">
        <v>154</v>
      </c>
      <c r="B101" s="40" t="s">
        <v>86</v>
      </c>
      <c r="C101" s="40" t="s">
        <v>27</v>
      </c>
      <c r="D101" s="10" t="s">
        <v>56</v>
      </c>
      <c r="E101" s="10" t="s">
        <v>444</v>
      </c>
      <c r="F101" s="10" t="s">
        <v>477</v>
      </c>
      <c r="G101" s="37">
        <f t="shared" si="1"/>
        <v>26082974</v>
      </c>
      <c r="H101" s="37">
        <v>199000</v>
      </c>
      <c r="I101" s="37">
        <f>25774304+1200000-1100000+9670</f>
        <v>25883974</v>
      </c>
      <c r="J101" s="37">
        <f>25774304+1200000-1100000+9670</f>
        <v>25883974</v>
      </c>
    </row>
    <row r="102" spans="1:10" ht="183" customHeight="1">
      <c r="A102" s="9" t="s">
        <v>364</v>
      </c>
      <c r="B102" s="40" t="s">
        <v>365</v>
      </c>
      <c r="C102" s="40" t="s">
        <v>13</v>
      </c>
      <c r="D102" s="10" t="s">
        <v>366</v>
      </c>
      <c r="E102" s="10" t="s">
        <v>444</v>
      </c>
      <c r="F102" s="10" t="s">
        <v>477</v>
      </c>
      <c r="G102" s="37">
        <f t="shared" si="1"/>
        <v>885000</v>
      </c>
      <c r="H102" s="37"/>
      <c r="I102" s="37">
        <v>885000</v>
      </c>
      <c r="J102" s="37"/>
    </row>
    <row r="103" spans="1:10" ht="177" customHeight="1" hidden="1">
      <c r="A103" s="9" t="s">
        <v>336</v>
      </c>
      <c r="B103" s="40" t="s">
        <v>82</v>
      </c>
      <c r="C103" s="40" t="s">
        <v>12</v>
      </c>
      <c r="D103" s="10" t="s">
        <v>83</v>
      </c>
      <c r="E103" s="12" t="s">
        <v>475</v>
      </c>
      <c r="F103" s="10" t="s">
        <v>391</v>
      </c>
      <c r="G103" s="37">
        <f t="shared" si="1"/>
        <v>0</v>
      </c>
      <c r="H103" s="77"/>
      <c r="I103" s="77"/>
      <c r="J103" s="37"/>
    </row>
    <row r="104" spans="1:10" ht="221.25" customHeight="1" hidden="1">
      <c r="A104" s="9" t="s">
        <v>329</v>
      </c>
      <c r="B104" s="40" t="s">
        <v>80</v>
      </c>
      <c r="C104" s="40" t="s">
        <v>330</v>
      </c>
      <c r="D104" s="54" t="s">
        <v>81</v>
      </c>
      <c r="E104" s="12" t="s">
        <v>445</v>
      </c>
      <c r="F104" s="10" t="s">
        <v>468</v>
      </c>
      <c r="G104" s="37">
        <f t="shared" si="1"/>
        <v>0</v>
      </c>
      <c r="H104" s="37"/>
      <c r="I104" s="37"/>
      <c r="J104" s="37"/>
    </row>
    <row r="105" spans="1:10" s="2" customFormat="1" ht="114" customHeight="1">
      <c r="A105" s="16"/>
      <c r="B105" s="41"/>
      <c r="C105" s="41"/>
      <c r="D105" s="17" t="s">
        <v>155</v>
      </c>
      <c r="E105" s="17"/>
      <c r="F105" s="33"/>
      <c r="G105" s="36">
        <f>G106+G107+G108+G109+G110+G111+G112+G113+G114+G115+G116+G117+G118+G119+G120+G121+G122+G124+G125</f>
        <v>110753483</v>
      </c>
      <c r="H105" s="36">
        <f>H106+H107+H108+H109+H110+H111+H112+H113+H114+H115+H116+H117+H118+H119+H120+H121+H122+H124+H125</f>
        <v>110717843</v>
      </c>
      <c r="I105" s="36">
        <f>I106+I107+I108+I109+I110+I111+I112+I113+I114+I115+I116+I117+I118+I119+I120+I121+I122+I124+I125</f>
        <v>35640</v>
      </c>
      <c r="J105" s="36">
        <f>J106+J107+J108+J109+J110+J111+J112+J113+J114+J115+J116+J117+J118+J119+J120+J121+J122+J124+J125</f>
        <v>35640</v>
      </c>
    </row>
    <row r="106" spans="1:10" ht="143.25" customHeight="1">
      <c r="A106" s="9" t="s">
        <v>156</v>
      </c>
      <c r="B106" s="40" t="s">
        <v>73</v>
      </c>
      <c r="C106" s="40" t="s">
        <v>2</v>
      </c>
      <c r="D106" s="10" t="s">
        <v>74</v>
      </c>
      <c r="E106" s="10" t="s">
        <v>455</v>
      </c>
      <c r="F106" s="31" t="s">
        <v>390</v>
      </c>
      <c r="G106" s="37">
        <f aca="true" t="shared" si="2" ref="G106:G125">H106+I106</f>
        <v>284900</v>
      </c>
      <c r="H106" s="37">
        <f>50000+234900</f>
        <v>284900</v>
      </c>
      <c r="I106" s="37"/>
      <c r="J106" s="37"/>
    </row>
    <row r="107" spans="1:10" s="26" customFormat="1" ht="174.75" customHeight="1">
      <c r="A107" s="9" t="s">
        <v>157</v>
      </c>
      <c r="B107" s="40" t="s">
        <v>42</v>
      </c>
      <c r="C107" s="40">
        <v>1030</v>
      </c>
      <c r="D107" s="10" t="s">
        <v>100</v>
      </c>
      <c r="E107" s="10" t="s">
        <v>457</v>
      </c>
      <c r="F107" s="31" t="s">
        <v>392</v>
      </c>
      <c r="G107" s="37">
        <f t="shared" si="2"/>
        <v>582400</v>
      </c>
      <c r="H107" s="37">
        <v>582400</v>
      </c>
      <c r="I107" s="37"/>
      <c r="J107" s="37"/>
    </row>
    <row r="108" spans="1:10" s="3" customFormat="1" ht="159" customHeight="1">
      <c r="A108" s="9" t="s">
        <v>158</v>
      </c>
      <c r="B108" s="40" t="s">
        <v>101</v>
      </c>
      <c r="C108" s="40">
        <v>1070</v>
      </c>
      <c r="D108" s="10" t="s">
        <v>52</v>
      </c>
      <c r="E108" s="10" t="s">
        <v>457</v>
      </c>
      <c r="F108" s="31" t="s">
        <v>392</v>
      </c>
      <c r="G108" s="37">
        <f t="shared" si="2"/>
        <v>1300000</v>
      </c>
      <c r="H108" s="37">
        <v>1300000</v>
      </c>
      <c r="I108" s="37"/>
      <c r="J108" s="37"/>
    </row>
    <row r="109" spans="1:10" s="3" customFormat="1" ht="189.75" customHeight="1">
      <c r="A109" s="9" t="s">
        <v>159</v>
      </c>
      <c r="B109" s="40" t="s">
        <v>43</v>
      </c>
      <c r="C109" s="40" t="s">
        <v>21</v>
      </c>
      <c r="D109" s="10" t="s">
        <v>38</v>
      </c>
      <c r="E109" s="10" t="s">
        <v>457</v>
      </c>
      <c r="F109" s="31" t="s">
        <v>392</v>
      </c>
      <c r="G109" s="37">
        <f t="shared" si="2"/>
        <v>24500000</v>
      </c>
      <c r="H109" s="37">
        <v>24500000</v>
      </c>
      <c r="I109" s="37"/>
      <c r="J109" s="37"/>
    </row>
    <row r="110" spans="1:10" s="3" customFormat="1" ht="197.25" customHeight="1">
      <c r="A110" s="9" t="s">
        <v>160</v>
      </c>
      <c r="B110" s="40" t="s">
        <v>62</v>
      </c>
      <c r="C110" s="40" t="s">
        <v>21</v>
      </c>
      <c r="D110" s="10" t="s">
        <v>72</v>
      </c>
      <c r="E110" s="10" t="s">
        <v>457</v>
      </c>
      <c r="F110" s="31" t="s">
        <v>392</v>
      </c>
      <c r="G110" s="37">
        <f t="shared" si="2"/>
        <v>1000000</v>
      </c>
      <c r="H110" s="37">
        <v>1000000</v>
      </c>
      <c r="I110" s="37"/>
      <c r="J110" s="37"/>
    </row>
    <row r="111" spans="1:10" s="3" customFormat="1" ht="165" customHeight="1">
      <c r="A111" s="9" t="s">
        <v>161</v>
      </c>
      <c r="B111" s="40" t="s">
        <v>75</v>
      </c>
      <c r="C111" s="40" t="s">
        <v>21</v>
      </c>
      <c r="D111" s="10" t="s">
        <v>24</v>
      </c>
      <c r="E111" s="10" t="s">
        <v>457</v>
      </c>
      <c r="F111" s="31" t="s">
        <v>392</v>
      </c>
      <c r="G111" s="37">
        <f t="shared" si="2"/>
        <v>40470500</v>
      </c>
      <c r="H111" s="37">
        <v>40470500</v>
      </c>
      <c r="I111" s="37"/>
      <c r="J111" s="37"/>
    </row>
    <row r="112" spans="1:10" s="3" customFormat="1" ht="214.5" customHeight="1">
      <c r="A112" s="9" t="s">
        <v>162</v>
      </c>
      <c r="B112" s="40" t="s">
        <v>44</v>
      </c>
      <c r="C112" s="40" t="s">
        <v>37</v>
      </c>
      <c r="D112" s="10" t="s">
        <v>54</v>
      </c>
      <c r="E112" s="10" t="s">
        <v>457</v>
      </c>
      <c r="F112" s="31" t="s">
        <v>392</v>
      </c>
      <c r="G112" s="37">
        <f t="shared" si="2"/>
        <v>304180</v>
      </c>
      <c r="H112" s="37">
        <f>304180</f>
        <v>304180</v>
      </c>
      <c r="I112" s="37"/>
      <c r="J112" s="37"/>
    </row>
    <row r="113" spans="1:10" s="3" customFormat="1" ht="285" customHeight="1">
      <c r="A113" s="9" t="s">
        <v>350</v>
      </c>
      <c r="B113" s="40" t="s">
        <v>354</v>
      </c>
      <c r="C113" s="40" t="s">
        <v>39</v>
      </c>
      <c r="D113" s="10" t="s">
        <v>353</v>
      </c>
      <c r="E113" s="10" t="s">
        <v>457</v>
      </c>
      <c r="F113" s="31" t="s">
        <v>392</v>
      </c>
      <c r="G113" s="37">
        <f t="shared" si="2"/>
        <v>1911000</v>
      </c>
      <c r="H113" s="37">
        <v>1911000</v>
      </c>
      <c r="I113" s="37"/>
      <c r="J113" s="37"/>
    </row>
    <row r="114" spans="1:10" ht="211.5" customHeight="1">
      <c r="A114" s="83" t="s">
        <v>163</v>
      </c>
      <c r="B114" s="84" t="s">
        <v>102</v>
      </c>
      <c r="C114" s="84" t="s">
        <v>3</v>
      </c>
      <c r="D114" s="86" t="s">
        <v>282</v>
      </c>
      <c r="E114" s="10" t="s">
        <v>457</v>
      </c>
      <c r="F114" s="31" t="s">
        <v>392</v>
      </c>
      <c r="G114" s="37">
        <f t="shared" si="2"/>
        <v>1876300</v>
      </c>
      <c r="H114" s="37">
        <v>1876300</v>
      </c>
      <c r="I114" s="37"/>
      <c r="J114" s="37"/>
    </row>
    <row r="115" spans="1:10" ht="184.5" customHeight="1">
      <c r="A115" s="83"/>
      <c r="B115" s="84"/>
      <c r="C115" s="84"/>
      <c r="D115" s="86"/>
      <c r="E115" s="10" t="s">
        <v>425</v>
      </c>
      <c r="F115" s="31" t="s">
        <v>492</v>
      </c>
      <c r="G115" s="37">
        <f t="shared" si="2"/>
        <v>198700</v>
      </c>
      <c r="H115" s="37">
        <v>198700</v>
      </c>
      <c r="I115" s="37"/>
      <c r="J115" s="37"/>
    </row>
    <row r="116" spans="1:10" s="3" customFormat="1" ht="187.5" customHeight="1">
      <c r="A116" s="83" t="s">
        <v>262</v>
      </c>
      <c r="B116" s="84" t="s">
        <v>287</v>
      </c>
      <c r="C116" s="84" t="s">
        <v>23</v>
      </c>
      <c r="D116" s="86" t="s">
        <v>22</v>
      </c>
      <c r="E116" s="10" t="s">
        <v>457</v>
      </c>
      <c r="F116" s="31" t="s">
        <v>392</v>
      </c>
      <c r="G116" s="37">
        <f t="shared" si="2"/>
        <v>978000</v>
      </c>
      <c r="H116" s="37">
        <v>978000</v>
      </c>
      <c r="I116" s="37"/>
      <c r="J116" s="37"/>
    </row>
    <row r="117" spans="1:10" s="3" customFormat="1" ht="178.5" customHeight="1">
      <c r="A117" s="83"/>
      <c r="B117" s="84"/>
      <c r="C117" s="84"/>
      <c r="D117" s="86"/>
      <c r="E117" s="10" t="s">
        <v>425</v>
      </c>
      <c r="F117" s="31" t="s">
        <v>492</v>
      </c>
      <c r="G117" s="37">
        <f t="shared" si="2"/>
        <v>1200000</v>
      </c>
      <c r="H117" s="37">
        <v>1200000</v>
      </c>
      <c r="I117" s="37"/>
      <c r="J117" s="37"/>
    </row>
    <row r="118" spans="1:10" s="3" customFormat="1" ht="199.5" customHeight="1">
      <c r="A118" s="9" t="s">
        <v>263</v>
      </c>
      <c r="B118" s="40" t="s">
        <v>265</v>
      </c>
      <c r="C118" s="40" t="s">
        <v>23</v>
      </c>
      <c r="D118" s="10" t="s">
        <v>264</v>
      </c>
      <c r="E118" s="10" t="s">
        <v>457</v>
      </c>
      <c r="F118" s="31" t="s">
        <v>392</v>
      </c>
      <c r="G118" s="37">
        <f t="shared" si="2"/>
        <v>1892237</v>
      </c>
      <c r="H118" s="37">
        <f>1478776+413461</f>
        <v>1892237</v>
      </c>
      <c r="I118" s="37"/>
      <c r="J118" s="37"/>
    </row>
    <row r="119" spans="1:10" s="14" customFormat="1" ht="196.5" customHeight="1">
      <c r="A119" s="9" t="s">
        <v>164</v>
      </c>
      <c r="B119" s="40" t="s">
        <v>63</v>
      </c>
      <c r="C119" s="40" t="s">
        <v>6</v>
      </c>
      <c r="D119" s="10" t="s">
        <v>103</v>
      </c>
      <c r="E119" s="10" t="s">
        <v>457</v>
      </c>
      <c r="F119" s="31" t="s">
        <v>392</v>
      </c>
      <c r="G119" s="37">
        <f t="shared" si="2"/>
        <v>86500</v>
      </c>
      <c r="H119" s="37">
        <v>86500</v>
      </c>
      <c r="I119" s="37"/>
      <c r="J119" s="37"/>
    </row>
    <row r="120" spans="1:10" s="14" customFormat="1" ht="121.5" customHeight="1">
      <c r="A120" s="9" t="s">
        <v>266</v>
      </c>
      <c r="B120" s="40" t="s">
        <v>267</v>
      </c>
      <c r="C120" s="40" t="s">
        <v>33</v>
      </c>
      <c r="D120" s="10" t="s">
        <v>53</v>
      </c>
      <c r="E120" s="10" t="s">
        <v>351</v>
      </c>
      <c r="F120" s="10" t="s">
        <v>378</v>
      </c>
      <c r="G120" s="37">
        <f t="shared" si="2"/>
        <v>200000</v>
      </c>
      <c r="H120" s="37">
        <v>200000</v>
      </c>
      <c r="I120" s="37"/>
      <c r="J120" s="37"/>
    </row>
    <row r="121" spans="1:10" s="27" customFormat="1" ht="181.5" customHeight="1">
      <c r="A121" s="83" t="s">
        <v>268</v>
      </c>
      <c r="B121" s="88" t="s">
        <v>253</v>
      </c>
      <c r="C121" s="88" t="s">
        <v>6</v>
      </c>
      <c r="D121" s="86" t="s">
        <v>254</v>
      </c>
      <c r="E121" s="10" t="s">
        <v>457</v>
      </c>
      <c r="F121" s="31" t="s">
        <v>392</v>
      </c>
      <c r="G121" s="37">
        <f t="shared" si="2"/>
        <v>9354166</v>
      </c>
      <c r="H121" s="37">
        <f>5638260-11+112500+439024+43903+350000+2246300+418550+70000</f>
        <v>9318526</v>
      </c>
      <c r="I121" s="37">
        <v>35640</v>
      </c>
      <c r="J121" s="37">
        <v>35640</v>
      </c>
    </row>
    <row r="122" spans="1:10" s="27" customFormat="1" ht="204.75" customHeight="1">
      <c r="A122" s="83"/>
      <c r="B122" s="88"/>
      <c r="C122" s="88"/>
      <c r="D122" s="86"/>
      <c r="E122" s="10" t="s">
        <v>425</v>
      </c>
      <c r="F122" s="31" t="s">
        <v>492</v>
      </c>
      <c r="G122" s="37">
        <f t="shared" si="2"/>
        <v>23544600</v>
      </c>
      <c r="H122" s="37">
        <f>23894600-350000</f>
        <v>23544600</v>
      </c>
      <c r="I122" s="37"/>
      <c r="J122" s="37"/>
    </row>
    <row r="123" spans="1:10" s="14" customFormat="1" ht="162" customHeight="1" hidden="1">
      <c r="A123" s="9" t="s">
        <v>389</v>
      </c>
      <c r="B123" s="40" t="s">
        <v>302</v>
      </c>
      <c r="C123" s="40" t="s">
        <v>4</v>
      </c>
      <c r="D123" s="10" t="s">
        <v>303</v>
      </c>
      <c r="E123" s="12" t="s">
        <v>415</v>
      </c>
      <c r="F123" s="31" t="s">
        <v>393</v>
      </c>
      <c r="G123" s="37">
        <f t="shared" si="2"/>
        <v>0</v>
      </c>
      <c r="H123" s="37"/>
      <c r="I123" s="37"/>
      <c r="J123" s="37"/>
    </row>
    <row r="124" spans="1:10" s="3" customFormat="1" ht="165" customHeight="1">
      <c r="A124" s="83" t="s">
        <v>165</v>
      </c>
      <c r="B124" s="84" t="s">
        <v>80</v>
      </c>
      <c r="C124" s="84" t="s">
        <v>28</v>
      </c>
      <c r="D124" s="86" t="s">
        <v>81</v>
      </c>
      <c r="E124" s="10" t="s">
        <v>457</v>
      </c>
      <c r="F124" s="31" t="s">
        <v>392</v>
      </c>
      <c r="G124" s="37">
        <f t="shared" si="2"/>
        <v>70000</v>
      </c>
      <c r="H124" s="37">
        <v>70000</v>
      </c>
      <c r="I124" s="37"/>
      <c r="J124" s="37"/>
    </row>
    <row r="125" spans="1:10" s="3" customFormat="1" ht="201.75" customHeight="1">
      <c r="A125" s="83"/>
      <c r="B125" s="84"/>
      <c r="C125" s="84"/>
      <c r="D125" s="86"/>
      <c r="E125" s="10" t="s">
        <v>425</v>
      </c>
      <c r="F125" s="31" t="s">
        <v>492</v>
      </c>
      <c r="G125" s="37">
        <f t="shared" si="2"/>
        <v>1000000</v>
      </c>
      <c r="H125" s="37">
        <v>1000000</v>
      </c>
      <c r="I125" s="37"/>
      <c r="J125" s="37"/>
    </row>
    <row r="126" spans="1:10" s="2" customFormat="1" ht="93" customHeight="1">
      <c r="A126" s="16"/>
      <c r="B126" s="41"/>
      <c r="C126" s="41"/>
      <c r="D126" s="17" t="s">
        <v>454</v>
      </c>
      <c r="E126" s="17"/>
      <c r="F126" s="33"/>
      <c r="G126" s="36">
        <f>G127+G128</f>
        <v>110500</v>
      </c>
      <c r="H126" s="36">
        <f>H127+H128</f>
        <v>90500</v>
      </c>
      <c r="I126" s="36">
        <f>I127+I128</f>
        <v>20000</v>
      </c>
      <c r="J126" s="36">
        <f>J127+J128</f>
        <v>20000</v>
      </c>
    </row>
    <row r="127" spans="1:10" s="2" customFormat="1" ht="247.5" customHeight="1">
      <c r="A127" s="9" t="s">
        <v>383</v>
      </c>
      <c r="B127" s="40" t="s">
        <v>384</v>
      </c>
      <c r="C127" s="40" t="s">
        <v>7</v>
      </c>
      <c r="D127" s="10" t="s">
        <v>385</v>
      </c>
      <c r="E127" s="10" t="s">
        <v>436</v>
      </c>
      <c r="F127" s="31" t="s">
        <v>459</v>
      </c>
      <c r="G127" s="37">
        <f>H127+I127</f>
        <v>20000</v>
      </c>
      <c r="H127" s="37"/>
      <c r="I127" s="37">
        <v>20000</v>
      </c>
      <c r="J127" s="37">
        <v>20000</v>
      </c>
    </row>
    <row r="128" spans="1:10" s="3" customFormat="1" ht="192" customHeight="1">
      <c r="A128" s="9" t="s">
        <v>166</v>
      </c>
      <c r="B128" s="40" t="s">
        <v>57</v>
      </c>
      <c r="C128" s="40" t="s">
        <v>7</v>
      </c>
      <c r="D128" s="10" t="s">
        <v>55</v>
      </c>
      <c r="E128" s="10" t="s">
        <v>436</v>
      </c>
      <c r="F128" s="31" t="s">
        <v>459</v>
      </c>
      <c r="G128" s="37">
        <f>H128+I128</f>
        <v>90500</v>
      </c>
      <c r="H128" s="37">
        <v>90500</v>
      </c>
      <c r="I128" s="37"/>
      <c r="J128" s="37"/>
    </row>
    <row r="129" spans="1:10" s="2" customFormat="1" ht="99.75" customHeight="1">
      <c r="A129" s="16"/>
      <c r="B129" s="41"/>
      <c r="C129" s="41"/>
      <c r="D129" s="17" t="s">
        <v>410</v>
      </c>
      <c r="E129" s="17"/>
      <c r="F129" s="33"/>
      <c r="G129" s="36">
        <f>G130+G131+G132+G133+G134+G136+G137</f>
        <v>4446488</v>
      </c>
      <c r="H129" s="36">
        <f>H130+H131+H132+H133+H134+H136+H137</f>
        <v>3188693</v>
      </c>
      <c r="I129" s="36">
        <f>I130+I131+I132+I133+I134+I136+I137</f>
        <v>1257795</v>
      </c>
      <c r="J129" s="36">
        <f>J130+J131+J132+J133+J134+J136+J137</f>
        <v>1254795</v>
      </c>
    </row>
    <row r="130" spans="1:10" ht="168.75" customHeight="1">
      <c r="A130" s="9" t="s">
        <v>167</v>
      </c>
      <c r="B130" s="40" t="s">
        <v>73</v>
      </c>
      <c r="C130" s="40" t="s">
        <v>2</v>
      </c>
      <c r="D130" s="10" t="s">
        <v>74</v>
      </c>
      <c r="E130" s="10" t="s">
        <v>455</v>
      </c>
      <c r="F130" s="31" t="s">
        <v>390</v>
      </c>
      <c r="G130" s="37">
        <f aca="true" t="shared" si="3" ref="G130:G136">H130+I130</f>
        <v>164000</v>
      </c>
      <c r="H130" s="37">
        <f>30000+134000</f>
        <v>164000</v>
      </c>
      <c r="I130" s="37"/>
      <c r="J130" s="37"/>
    </row>
    <row r="131" spans="1:10" ht="127.5" customHeight="1">
      <c r="A131" s="9" t="s">
        <v>168</v>
      </c>
      <c r="B131" s="40" t="s">
        <v>89</v>
      </c>
      <c r="C131" s="40" t="s">
        <v>35</v>
      </c>
      <c r="D131" s="10" t="s">
        <v>487</v>
      </c>
      <c r="E131" s="10" t="s">
        <v>474</v>
      </c>
      <c r="F131" s="10" t="s">
        <v>405</v>
      </c>
      <c r="G131" s="37">
        <f t="shared" si="3"/>
        <v>805475</v>
      </c>
      <c r="H131" s="37">
        <f>188475+75000</f>
        <v>263475</v>
      </c>
      <c r="I131" s="37">
        <f>500000+7000+5000+30000</f>
        <v>542000</v>
      </c>
      <c r="J131" s="37">
        <f>500000+7000+5000+30000</f>
        <v>542000</v>
      </c>
    </row>
    <row r="132" spans="1:10" ht="150.75" customHeight="1">
      <c r="A132" s="9" t="s">
        <v>169</v>
      </c>
      <c r="B132" s="40" t="s">
        <v>58</v>
      </c>
      <c r="C132" s="40" t="s">
        <v>34</v>
      </c>
      <c r="D132" s="10" t="s">
        <v>88</v>
      </c>
      <c r="E132" s="10" t="s">
        <v>474</v>
      </c>
      <c r="F132" s="10" t="s">
        <v>405</v>
      </c>
      <c r="G132" s="37">
        <f t="shared" si="3"/>
        <v>787313</v>
      </c>
      <c r="H132" s="37">
        <f>344000+142918-16400</f>
        <v>470518</v>
      </c>
      <c r="I132" s="37">
        <f>100000+216795</f>
        <v>316795</v>
      </c>
      <c r="J132" s="37">
        <f>100000+216795</f>
        <v>316795</v>
      </c>
    </row>
    <row r="133" spans="1:10" s="3" customFormat="1" ht="153" customHeight="1">
      <c r="A133" s="9" t="s">
        <v>325</v>
      </c>
      <c r="B133" s="40" t="s">
        <v>283</v>
      </c>
      <c r="C133" s="40" t="s">
        <v>9</v>
      </c>
      <c r="D133" s="10" t="s">
        <v>284</v>
      </c>
      <c r="E133" s="10" t="s">
        <v>474</v>
      </c>
      <c r="F133" s="10" t="s">
        <v>405</v>
      </c>
      <c r="G133" s="37">
        <f t="shared" si="3"/>
        <v>10000</v>
      </c>
      <c r="H133" s="37">
        <v>10000</v>
      </c>
      <c r="I133" s="37"/>
      <c r="J133" s="37"/>
    </row>
    <row r="134" spans="1:10" s="3" customFormat="1" ht="162.75" customHeight="1">
      <c r="A134" s="9" t="s">
        <v>258</v>
      </c>
      <c r="B134" s="40" t="s">
        <v>255</v>
      </c>
      <c r="C134" s="40" t="s">
        <v>9</v>
      </c>
      <c r="D134" s="10" t="s">
        <v>256</v>
      </c>
      <c r="E134" s="10" t="s">
        <v>474</v>
      </c>
      <c r="F134" s="10" t="s">
        <v>405</v>
      </c>
      <c r="G134" s="37">
        <f t="shared" si="3"/>
        <v>2280700</v>
      </c>
      <c r="H134" s="37">
        <f>2265700+15000</f>
        <v>2280700</v>
      </c>
      <c r="I134" s="37"/>
      <c r="J134" s="37"/>
    </row>
    <row r="135" spans="1:10" s="3" customFormat="1" ht="177" customHeight="1" hidden="1">
      <c r="A135" s="9" t="s">
        <v>331</v>
      </c>
      <c r="B135" s="40" t="s">
        <v>302</v>
      </c>
      <c r="C135" s="40" t="s">
        <v>4</v>
      </c>
      <c r="D135" s="10" t="s">
        <v>303</v>
      </c>
      <c r="E135" s="10" t="s">
        <v>474</v>
      </c>
      <c r="F135" s="10" t="s">
        <v>405</v>
      </c>
      <c r="G135" s="37">
        <f t="shared" si="3"/>
        <v>0</v>
      </c>
      <c r="H135" s="37"/>
      <c r="I135" s="37"/>
      <c r="J135" s="37"/>
    </row>
    <row r="136" spans="1:10" ht="153.75" customHeight="1">
      <c r="A136" s="9" t="s">
        <v>170</v>
      </c>
      <c r="B136" s="40" t="s">
        <v>86</v>
      </c>
      <c r="C136" s="40" t="s">
        <v>27</v>
      </c>
      <c r="D136" s="10" t="s">
        <v>56</v>
      </c>
      <c r="E136" s="10" t="s">
        <v>444</v>
      </c>
      <c r="F136" s="10" t="s">
        <v>477</v>
      </c>
      <c r="G136" s="37">
        <f t="shared" si="3"/>
        <v>396000</v>
      </c>
      <c r="H136" s="37"/>
      <c r="I136" s="37">
        <v>396000</v>
      </c>
      <c r="J136" s="37">
        <v>396000</v>
      </c>
    </row>
    <row r="137" spans="1:10" ht="158.25" customHeight="1">
      <c r="A137" s="9" t="s">
        <v>429</v>
      </c>
      <c r="B137" s="40">
        <v>8340</v>
      </c>
      <c r="C137" s="40" t="s">
        <v>12</v>
      </c>
      <c r="D137" s="10" t="s">
        <v>83</v>
      </c>
      <c r="E137" s="12" t="s">
        <v>475</v>
      </c>
      <c r="F137" s="10" t="s">
        <v>391</v>
      </c>
      <c r="G137" s="37">
        <f>H137+I137</f>
        <v>3000</v>
      </c>
      <c r="H137" s="37"/>
      <c r="I137" s="37">
        <v>3000</v>
      </c>
      <c r="J137" s="37"/>
    </row>
    <row r="138" spans="1:10" s="2" customFormat="1" ht="88.5" customHeight="1">
      <c r="A138" s="16"/>
      <c r="B138" s="41"/>
      <c r="C138" s="41"/>
      <c r="D138" s="17" t="s">
        <v>171</v>
      </c>
      <c r="E138" s="17"/>
      <c r="F138" s="33"/>
      <c r="G138" s="36">
        <f>G139+G140+G142+G143+G144+G145+G147+G148+G149+G150+G151+G152+G153+G154+G155+G156+G157+G158+G160+G161+G165+G166+G167+G169+G170+G171</f>
        <v>390255165.09999996</v>
      </c>
      <c r="H138" s="36">
        <f>H139+H140+H142+H143+H144+H145+H147+H148+H149+H150+H151+H152+H153+H154+H155+H156+H157+H158+H160+H161+H165+H166+H167+H169+H170+H171</f>
        <v>249114229.95999998</v>
      </c>
      <c r="I138" s="36">
        <f>I139+I140+I142+I143+I144+I145+I147+I148+I149+I150+I151+I152+I153+I154+I155+I156+I157+I158+I160+I161+I165+I166+I167+I169+I170+I171</f>
        <v>141140935.14</v>
      </c>
      <c r="J138" s="36">
        <f>J139+J140+J142+J143+J144+J145+J147+J148+J149+J150+J151+J152+J153+J154+J155+J156+J157+J158+J160+J161+J165+J166+J167+J169+J170+J171</f>
        <v>135171801.42</v>
      </c>
    </row>
    <row r="139" spans="1:10" ht="138.75" customHeight="1">
      <c r="A139" s="9" t="s">
        <v>172</v>
      </c>
      <c r="B139" s="40" t="s">
        <v>73</v>
      </c>
      <c r="C139" s="40" t="s">
        <v>2</v>
      </c>
      <c r="D139" s="10" t="s">
        <v>74</v>
      </c>
      <c r="E139" s="10" t="s">
        <v>455</v>
      </c>
      <c r="F139" s="31" t="s">
        <v>390</v>
      </c>
      <c r="G139" s="37">
        <f aca="true" t="shared" si="4" ref="G139:G171">H139+I139</f>
        <v>284800</v>
      </c>
      <c r="H139" s="37">
        <f>40000+244800</f>
        <v>284800</v>
      </c>
      <c r="I139" s="37"/>
      <c r="J139" s="37"/>
    </row>
    <row r="140" spans="1:10" ht="186" customHeight="1">
      <c r="A140" s="83" t="s">
        <v>269</v>
      </c>
      <c r="B140" s="84" t="s">
        <v>267</v>
      </c>
      <c r="C140" s="84" t="s">
        <v>33</v>
      </c>
      <c r="D140" s="86" t="s">
        <v>53</v>
      </c>
      <c r="E140" s="10" t="s">
        <v>506</v>
      </c>
      <c r="F140" s="10" t="s">
        <v>356</v>
      </c>
      <c r="G140" s="37">
        <f t="shared" si="4"/>
        <v>400000</v>
      </c>
      <c r="H140" s="37">
        <v>400000</v>
      </c>
      <c r="I140" s="37"/>
      <c r="J140" s="37"/>
    </row>
    <row r="141" spans="1:10" ht="111" customHeight="1" hidden="1">
      <c r="A141" s="83"/>
      <c r="B141" s="84"/>
      <c r="C141" s="84"/>
      <c r="D141" s="86"/>
      <c r="E141" s="10" t="s">
        <v>351</v>
      </c>
      <c r="F141" s="10" t="s">
        <v>378</v>
      </c>
      <c r="G141" s="37">
        <f t="shared" si="4"/>
        <v>0</v>
      </c>
      <c r="H141" s="37"/>
      <c r="I141" s="37"/>
      <c r="J141" s="37"/>
    </row>
    <row r="142" spans="1:10" s="3" customFormat="1" ht="204" customHeight="1">
      <c r="A142" s="9" t="s">
        <v>173</v>
      </c>
      <c r="B142" s="40" t="s">
        <v>113</v>
      </c>
      <c r="C142" s="40" t="s">
        <v>25</v>
      </c>
      <c r="D142" s="10" t="s">
        <v>114</v>
      </c>
      <c r="E142" s="10" t="s">
        <v>506</v>
      </c>
      <c r="F142" s="10" t="s">
        <v>356</v>
      </c>
      <c r="G142" s="37">
        <f t="shared" si="4"/>
        <v>10459562.93</v>
      </c>
      <c r="H142" s="37"/>
      <c r="I142" s="37">
        <f>20030000-4500000-5000000-1188215.76+827545-766.31+291000</f>
        <v>10459562.93</v>
      </c>
      <c r="J142" s="37">
        <f>20000000-4500000-5000000-1188215.76+827545-766.31+291000</f>
        <v>10429562.93</v>
      </c>
    </row>
    <row r="143" spans="1:10" s="3" customFormat="1" ht="200.25" customHeight="1">
      <c r="A143" s="106" t="s">
        <v>174</v>
      </c>
      <c r="B143" s="104" t="s">
        <v>117</v>
      </c>
      <c r="C143" s="112" t="s">
        <v>8</v>
      </c>
      <c r="D143" s="115" t="s">
        <v>118</v>
      </c>
      <c r="E143" s="10" t="s">
        <v>506</v>
      </c>
      <c r="F143" s="10" t="s">
        <v>356</v>
      </c>
      <c r="G143" s="37">
        <f t="shared" si="4"/>
        <v>30946000</v>
      </c>
      <c r="H143" s="37">
        <f>30925000</f>
        <v>30925000</v>
      </c>
      <c r="I143" s="37">
        <f>20000+1000</f>
        <v>21000</v>
      </c>
      <c r="J143" s="37">
        <f>20000+1000</f>
        <v>21000</v>
      </c>
    </row>
    <row r="144" spans="1:10" s="3" customFormat="1" ht="140.25" customHeight="1">
      <c r="A144" s="107"/>
      <c r="B144" s="105"/>
      <c r="C144" s="113"/>
      <c r="D144" s="116"/>
      <c r="E144" s="12" t="s">
        <v>475</v>
      </c>
      <c r="F144" s="10" t="s">
        <v>391</v>
      </c>
      <c r="G144" s="37">
        <f t="shared" si="4"/>
        <v>1700000</v>
      </c>
      <c r="H144" s="37"/>
      <c r="I144" s="37">
        <v>1700000</v>
      </c>
      <c r="J144" s="37">
        <v>1700000</v>
      </c>
    </row>
    <row r="145" spans="1:10" s="3" customFormat="1" ht="189.75" customHeight="1">
      <c r="A145" s="11" t="s">
        <v>215</v>
      </c>
      <c r="B145" s="42" t="s">
        <v>216</v>
      </c>
      <c r="C145" s="40" t="s">
        <v>8</v>
      </c>
      <c r="D145" s="10" t="s">
        <v>217</v>
      </c>
      <c r="E145" s="12" t="s">
        <v>469</v>
      </c>
      <c r="F145" s="10" t="s">
        <v>470</v>
      </c>
      <c r="G145" s="37">
        <f t="shared" si="4"/>
        <v>13608448.83</v>
      </c>
      <c r="H145" s="37">
        <v>200000</v>
      </c>
      <c r="I145" s="37">
        <f>15050000+9-1500000-405560.17+100000+164000</f>
        <v>13408448.83</v>
      </c>
      <c r="J145" s="37">
        <f>15000000+9-1500000-405560.17+100000+164000</f>
        <v>13358448.83</v>
      </c>
    </row>
    <row r="146" spans="1:10" s="3" customFormat="1" ht="159" customHeight="1" hidden="1">
      <c r="A146" s="11" t="s">
        <v>305</v>
      </c>
      <c r="B146" s="42" t="s">
        <v>306</v>
      </c>
      <c r="C146" s="40" t="s">
        <v>8</v>
      </c>
      <c r="D146" s="10" t="s">
        <v>307</v>
      </c>
      <c r="E146" s="10" t="s">
        <v>506</v>
      </c>
      <c r="F146" s="10" t="s">
        <v>356</v>
      </c>
      <c r="G146" s="37">
        <f t="shared" si="4"/>
        <v>0</v>
      </c>
      <c r="H146" s="37"/>
      <c r="I146" s="37"/>
      <c r="J146" s="37"/>
    </row>
    <row r="147" spans="1:10" s="3" customFormat="1" ht="189" customHeight="1">
      <c r="A147" s="9" t="s">
        <v>175</v>
      </c>
      <c r="B147" s="40" t="s">
        <v>115</v>
      </c>
      <c r="C147" s="40" t="s">
        <v>8</v>
      </c>
      <c r="D147" s="10" t="s">
        <v>116</v>
      </c>
      <c r="E147" s="10" t="s">
        <v>506</v>
      </c>
      <c r="F147" s="10" t="s">
        <v>356</v>
      </c>
      <c r="G147" s="37">
        <f t="shared" si="4"/>
        <v>100000</v>
      </c>
      <c r="H147" s="37">
        <v>100000</v>
      </c>
      <c r="I147" s="37"/>
      <c r="J147" s="37"/>
    </row>
    <row r="148" spans="1:10" s="14" customFormat="1" ht="186" customHeight="1">
      <c r="A148" s="11" t="s">
        <v>176</v>
      </c>
      <c r="B148" s="42" t="s">
        <v>59</v>
      </c>
      <c r="C148" s="40" t="s">
        <v>8</v>
      </c>
      <c r="D148" s="19" t="s">
        <v>119</v>
      </c>
      <c r="E148" s="10" t="s">
        <v>506</v>
      </c>
      <c r="F148" s="10" t="s">
        <v>356</v>
      </c>
      <c r="G148" s="37">
        <f t="shared" si="4"/>
        <v>2595232</v>
      </c>
      <c r="H148" s="37">
        <v>2595232</v>
      </c>
      <c r="I148" s="37"/>
      <c r="J148" s="37"/>
    </row>
    <row r="149" spans="1:10" ht="181.5" customHeight="1">
      <c r="A149" s="103" t="s">
        <v>177</v>
      </c>
      <c r="B149" s="88" t="s">
        <v>106</v>
      </c>
      <c r="C149" s="84" t="s">
        <v>8</v>
      </c>
      <c r="D149" s="85" t="s">
        <v>107</v>
      </c>
      <c r="E149" s="10" t="s">
        <v>506</v>
      </c>
      <c r="F149" s="10" t="s">
        <v>356</v>
      </c>
      <c r="G149" s="37">
        <f t="shared" si="4"/>
        <v>234334851.72</v>
      </c>
      <c r="H149" s="37">
        <f>191803836-2000000-100000-2000000+575000+2907700+786500-2000000+199000+788511.57</f>
        <v>190960547.57</v>
      </c>
      <c r="I149" s="37">
        <f>33800000-5000000+150000+100000-4000000+10112784.63-4629526.59+12715677.07-575000+110000+75000+569000+163369.04-199000-18000</f>
        <v>43374304.15</v>
      </c>
      <c r="J149" s="37">
        <f>33800000-5000000+150000+100000-4000000+10112784.63-4629526.59+12715677.07-575000+110000+75000+569000+163369.04-199000-18000</f>
        <v>43374304.15</v>
      </c>
    </row>
    <row r="150" spans="1:10" ht="144.75" customHeight="1">
      <c r="A150" s="103"/>
      <c r="B150" s="88"/>
      <c r="C150" s="84"/>
      <c r="D150" s="85"/>
      <c r="E150" s="12" t="s">
        <v>475</v>
      </c>
      <c r="F150" s="10" t="s">
        <v>391</v>
      </c>
      <c r="G150" s="37">
        <f t="shared" si="4"/>
        <v>5550000</v>
      </c>
      <c r="H150" s="37"/>
      <c r="I150" s="37">
        <v>5550000</v>
      </c>
      <c r="J150" s="37">
        <v>5550000</v>
      </c>
    </row>
    <row r="151" spans="1:10" ht="187.5" customHeight="1">
      <c r="A151" s="103" t="s">
        <v>198</v>
      </c>
      <c r="B151" s="88" t="s">
        <v>199</v>
      </c>
      <c r="C151" s="84" t="s">
        <v>219</v>
      </c>
      <c r="D151" s="85" t="s">
        <v>218</v>
      </c>
      <c r="E151" s="10" t="s">
        <v>506</v>
      </c>
      <c r="F151" s="10" t="s">
        <v>356</v>
      </c>
      <c r="G151" s="37">
        <f t="shared" si="4"/>
        <v>2209746</v>
      </c>
      <c r="H151" s="37">
        <f>2009746-100000</f>
        <v>1909746</v>
      </c>
      <c r="I151" s="37">
        <f>10793738-10493738</f>
        <v>300000</v>
      </c>
      <c r="J151" s="37">
        <f>10793738-10493738</f>
        <v>300000</v>
      </c>
    </row>
    <row r="152" spans="1:10" ht="203.25" customHeight="1">
      <c r="A152" s="103"/>
      <c r="B152" s="88"/>
      <c r="C152" s="84"/>
      <c r="D152" s="85"/>
      <c r="E152" s="12" t="s">
        <v>445</v>
      </c>
      <c r="F152" s="10" t="s">
        <v>494</v>
      </c>
      <c r="G152" s="37">
        <f t="shared" si="4"/>
        <v>28951184.68</v>
      </c>
      <c r="H152" s="37">
        <f>14700000+27300000-1991050-19001249-1006880.61-569000-70000-70000</f>
        <v>19291820.39</v>
      </c>
      <c r="I152" s="37">
        <f>11000000-51900.97-1288734.74</f>
        <v>9659364.29</v>
      </c>
      <c r="J152" s="37">
        <f>11000000-51900.97-1288734.74</f>
        <v>9659364.29</v>
      </c>
    </row>
    <row r="153" spans="1:10" ht="325.5" customHeight="1">
      <c r="A153" s="103"/>
      <c r="B153" s="88"/>
      <c r="C153" s="84"/>
      <c r="D153" s="85"/>
      <c r="E153" s="10" t="s">
        <v>374</v>
      </c>
      <c r="F153" s="10" t="s">
        <v>375</v>
      </c>
      <c r="G153" s="37">
        <f t="shared" si="4"/>
        <v>579084</v>
      </c>
      <c r="H153" s="37">
        <v>579084</v>
      </c>
      <c r="I153" s="37"/>
      <c r="J153" s="37"/>
    </row>
    <row r="154" spans="1:10" ht="211.5" customHeight="1">
      <c r="A154" s="83" t="s">
        <v>220</v>
      </c>
      <c r="B154" s="84" t="s">
        <v>221</v>
      </c>
      <c r="C154" s="84" t="s">
        <v>65</v>
      </c>
      <c r="D154" s="86" t="s">
        <v>222</v>
      </c>
      <c r="E154" s="10" t="s">
        <v>506</v>
      </c>
      <c r="F154" s="10" t="s">
        <v>356</v>
      </c>
      <c r="G154" s="37">
        <f t="shared" si="4"/>
        <v>6208215.76</v>
      </c>
      <c r="H154" s="37"/>
      <c r="I154" s="37">
        <f>6710000-60000-3000000+2338215.76-2000+2000-360000+350000+230000</f>
        <v>6208215.76</v>
      </c>
      <c r="J154" s="37">
        <f>6710000-60000-3000000+2338215.76-2000+2000-360000+350000+230000</f>
        <v>6208215.76</v>
      </c>
    </row>
    <row r="155" spans="1:10" ht="148.5" customHeight="1">
      <c r="A155" s="83"/>
      <c r="B155" s="84"/>
      <c r="C155" s="84"/>
      <c r="D155" s="86"/>
      <c r="E155" s="12" t="s">
        <v>475</v>
      </c>
      <c r="F155" s="10" t="s">
        <v>391</v>
      </c>
      <c r="G155" s="37">
        <f t="shared" si="4"/>
        <v>3727882</v>
      </c>
      <c r="H155" s="37"/>
      <c r="I155" s="37">
        <f>5830000+40000+8953612-1000000-8050000-1000-350000-1200000-494730</f>
        <v>3727882</v>
      </c>
      <c r="J155" s="37">
        <f>5830000+40000+8953612-1000000-8050000-1000-350000-1200000-494730</f>
        <v>3727882</v>
      </c>
    </row>
    <row r="156" spans="1:10" ht="180" customHeight="1">
      <c r="A156" s="110" t="s">
        <v>223</v>
      </c>
      <c r="B156" s="112" t="s">
        <v>224</v>
      </c>
      <c r="C156" s="112" t="s">
        <v>65</v>
      </c>
      <c r="D156" s="115" t="s">
        <v>379</v>
      </c>
      <c r="E156" s="10" t="s">
        <v>506</v>
      </c>
      <c r="F156" s="10" t="s">
        <v>356</v>
      </c>
      <c r="G156" s="37">
        <f t="shared" si="4"/>
        <v>11010998.77</v>
      </c>
      <c r="H156" s="37"/>
      <c r="I156" s="37">
        <f>11650000-700000+550000-4000000+4818144.43+432854.34-1950000+210000</f>
        <v>11010998.77</v>
      </c>
      <c r="J156" s="37">
        <f>11650000-700000+550000-4000000+4818144.43+432854.34-1950000+210000</f>
        <v>11010998.77</v>
      </c>
    </row>
    <row r="157" spans="1:10" ht="144.75" customHeight="1">
      <c r="A157" s="111"/>
      <c r="B157" s="113"/>
      <c r="C157" s="113"/>
      <c r="D157" s="116"/>
      <c r="E157" s="12" t="s">
        <v>475</v>
      </c>
      <c r="F157" s="10" t="s">
        <v>391</v>
      </c>
      <c r="G157" s="37">
        <f t="shared" si="4"/>
        <v>3180000</v>
      </c>
      <c r="H157" s="37"/>
      <c r="I157" s="37">
        <f>3180000</f>
        <v>3180000</v>
      </c>
      <c r="J157" s="37">
        <f>3180000</f>
        <v>3180000</v>
      </c>
    </row>
    <row r="158" spans="1:10" ht="184.5" customHeight="1">
      <c r="A158" s="9" t="s">
        <v>178</v>
      </c>
      <c r="B158" s="40" t="s">
        <v>108</v>
      </c>
      <c r="C158" s="40" t="s">
        <v>65</v>
      </c>
      <c r="D158" s="10" t="s">
        <v>109</v>
      </c>
      <c r="E158" s="10" t="s">
        <v>506</v>
      </c>
      <c r="F158" s="10" t="s">
        <v>356</v>
      </c>
      <c r="G158" s="37">
        <f t="shared" si="4"/>
        <v>3000000</v>
      </c>
      <c r="H158" s="37"/>
      <c r="I158" s="37">
        <v>3000000</v>
      </c>
      <c r="J158" s="37">
        <v>3000000</v>
      </c>
    </row>
    <row r="159" spans="1:10" s="3" customFormat="1" ht="177" customHeight="1" hidden="1">
      <c r="A159" s="9" t="s">
        <v>318</v>
      </c>
      <c r="B159" s="40" t="s">
        <v>319</v>
      </c>
      <c r="C159" s="40" t="s">
        <v>4</v>
      </c>
      <c r="D159" s="10" t="s">
        <v>320</v>
      </c>
      <c r="E159" s="12" t="s">
        <v>475</v>
      </c>
      <c r="F159" s="10" t="s">
        <v>391</v>
      </c>
      <c r="G159" s="37">
        <f t="shared" si="4"/>
        <v>0</v>
      </c>
      <c r="H159" s="37"/>
      <c r="I159" s="37"/>
      <c r="J159" s="37"/>
    </row>
    <row r="160" spans="1:10" s="3" customFormat="1" ht="182.25" customHeight="1">
      <c r="A160" s="9" t="s">
        <v>428</v>
      </c>
      <c r="B160" s="40">
        <v>7362</v>
      </c>
      <c r="C160" s="9" t="s">
        <v>4</v>
      </c>
      <c r="D160" s="19" t="s">
        <v>486</v>
      </c>
      <c r="E160" s="10" t="s">
        <v>506</v>
      </c>
      <c r="F160" s="10" t="s">
        <v>356</v>
      </c>
      <c r="G160" s="37">
        <f t="shared" si="4"/>
        <v>75600</v>
      </c>
      <c r="H160" s="37"/>
      <c r="I160" s="37">
        <v>75600</v>
      </c>
      <c r="J160" s="37">
        <v>75600</v>
      </c>
    </row>
    <row r="161" spans="1:10" s="3" customFormat="1" ht="221.25">
      <c r="A161" s="83" t="s">
        <v>308</v>
      </c>
      <c r="B161" s="84" t="s">
        <v>302</v>
      </c>
      <c r="C161" s="83" t="s">
        <v>4</v>
      </c>
      <c r="D161" s="86" t="s">
        <v>303</v>
      </c>
      <c r="E161" s="10" t="s">
        <v>506</v>
      </c>
      <c r="F161" s="10" t="s">
        <v>356</v>
      </c>
      <c r="G161" s="37">
        <f t="shared" si="4"/>
        <v>956186.6900000001</v>
      </c>
      <c r="H161" s="37"/>
      <c r="I161" s="37">
        <f>18766.31+937420.38</f>
        <v>956186.6900000001</v>
      </c>
      <c r="J161" s="37">
        <f>18766.31+937420.38</f>
        <v>956186.6900000001</v>
      </c>
    </row>
    <row r="162" spans="1:10" s="3" customFormat="1" ht="177" hidden="1">
      <c r="A162" s="83"/>
      <c r="B162" s="84"/>
      <c r="C162" s="83"/>
      <c r="D162" s="86"/>
      <c r="E162" s="12" t="s">
        <v>475</v>
      </c>
      <c r="F162" s="10" t="s">
        <v>391</v>
      </c>
      <c r="G162" s="37">
        <f t="shared" si="4"/>
        <v>0</v>
      </c>
      <c r="H162" s="37"/>
      <c r="I162" s="37"/>
      <c r="J162" s="37"/>
    </row>
    <row r="163" spans="1:10" s="3" customFormat="1" ht="221.25" hidden="1">
      <c r="A163" s="9" t="s">
        <v>417</v>
      </c>
      <c r="B163" s="40">
        <v>7461</v>
      </c>
      <c r="C163" s="9" t="s">
        <v>273</v>
      </c>
      <c r="D163" s="53" t="s">
        <v>418</v>
      </c>
      <c r="E163" s="10" t="s">
        <v>506</v>
      </c>
      <c r="F163" s="10" t="s">
        <v>356</v>
      </c>
      <c r="G163" s="37">
        <f t="shared" si="4"/>
        <v>0</v>
      </c>
      <c r="H163" s="37"/>
      <c r="I163" s="37"/>
      <c r="J163" s="37"/>
    </row>
    <row r="164" spans="1:10" s="3" customFormat="1" ht="221.25" hidden="1">
      <c r="A164" s="9" t="s">
        <v>411</v>
      </c>
      <c r="B164" s="40">
        <v>7462</v>
      </c>
      <c r="C164" s="9" t="s">
        <v>273</v>
      </c>
      <c r="D164" s="10" t="s">
        <v>328</v>
      </c>
      <c r="E164" s="10" t="s">
        <v>506</v>
      </c>
      <c r="F164" s="10" t="s">
        <v>356</v>
      </c>
      <c r="G164" s="37">
        <f t="shared" si="4"/>
        <v>0</v>
      </c>
      <c r="H164" s="37"/>
      <c r="I164" s="37"/>
      <c r="J164" s="37"/>
    </row>
    <row r="165" spans="1:10" s="14" customFormat="1" ht="165" customHeight="1">
      <c r="A165" s="9" t="s">
        <v>179</v>
      </c>
      <c r="B165" s="40" t="s">
        <v>86</v>
      </c>
      <c r="C165" s="40" t="s">
        <v>27</v>
      </c>
      <c r="D165" s="10" t="s">
        <v>56</v>
      </c>
      <c r="E165" s="10" t="s">
        <v>506</v>
      </c>
      <c r="F165" s="10" t="s">
        <v>356</v>
      </c>
      <c r="G165" s="37">
        <f t="shared" si="4"/>
        <v>1500000</v>
      </c>
      <c r="H165" s="37">
        <v>1500000</v>
      </c>
      <c r="I165" s="37"/>
      <c r="J165" s="37"/>
    </row>
    <row r="166" spans="1:10" s="14" customFormat="1" ht="165" customHeight="1">
      <c r="A166" s="9" t="s">
        <v>395</v>
      </c>
      <c r="B166" s="40">
        <v>7670</v>
      </c>
      <c r="C166" s="40" t="s">
        <v>4</v>
      </c>
      <c r="D166" s="10" t="s">
        <v>50</v>
      </c>
      <c r="E166" s="12" t="s">
        <v>475</v>
      </c>
      <c r="F166" s="10" t="s">
        <v>391</v>
      </c>
      <c r="G166" s="37">
        <f t="shared" si="4"/>
        <v>17042330</v>
      </c>
      <c r="H166" s="37"/>
      <c r="I166" s="37">
        <v>17042330</v>
      </c>
      <c r="J166" s="37">
        <v>17042330</v>
      </c>
    </row>
    <row r="167" spans="1:10" s="3" customFormat="1" ht="405" customHeight="1">
      <c r="A167" s="9" t="s">
        <v>259</v>
      </c>
      <c r="B167" s="40" t="s">
        <v>260</v>
      </c>
      <c r="C167" s="40" t="s">
        <v>4</v>
      </c>
      <c r="D167" s="10" t="s">
        <v>281</v>
      </c>
      <c r="E167" s="10" t="s">
        <v>506</v>
      </c>
      <c r="F167" s="10" t="s">
        <v>356</v>
      </c>
      <c r="G167" s="37">
        <f t="shared" si="4"/>
        <v>290090.27</v>
      </c>
      <c r="H167" s="37"/>
      <c r="I167" s="37">
        <f>174200+115890.27</f>
        <v>290090.27</v>
      </c>
      <c r="J167" s="37"/>
    </row>
    <row r="168" spans="1:10" ht="163.5" customHeight="1" hidden="1">
      <c r="A168" s="9" t="s">
        <v>180</v>
      </c>
      <c r="B168" s="40" t="s">
        <v>120</v>
      </c>
      <c r="C168" s="40" t="s">
        <v>18</v>
      </c>
      <c r="D168" s="10" t="s">
        <v>17</v>
      </c>
      <c r="E168" s="12" t="s">
        <v>475</v>
      </c>
      <c r="F168" s="10" t="s">
        <v>391</v>
      </c>
      <c r="G168" s="37">
        <f t="shared" si="4"/>
        <v>0</v>
      </c>
      <c r="H168" s="37"/>
      <c r="I168" s="37"/>
      <c r="J168" s="37"/>
    </row>
    <row r="169" spans="1:10" ht="141" customHeight="1">
      <c r="A169" s="9" t="s">
        <v>182</v>
      </c>
      <c r="B169" s="40" t="s">
        <v>82</v>
      </c>
      <c r="C169" s="40" t="s">
        <v>12</v>
      </c>
      <c r="D169" s="10" t="s">
        <v>83</v>
      </c>
      <c r="E169" s="12" t="s">
        <v>475</v>
      </c>
      <c r="F169" s="10" t="s">
        <v>391</v>
      </c>
      <c r="G169" s="37">
        <f t="shared" si="4"/>
        <v>5599043.45</v>
      </c>
      <c r="H169" s="37"/>
      <c r="I169" s="37">
        <f>3816500+1782543.45</f>
        <v>5599043.45</v>
      </c>
      <c r="J169" s="37"/>
    </row>
    <row r="170" spans="1:10" s="3" customFormat="1" ht="192" customHeight="1">
      <c r="A170" s="9" t="s">
        <v>183</v>
      </c>
      <c r="B170" s="40" t="s">
        <v>110</v>
      </c>
      <c r="C170" s="40" t="s">
        <v>4</v>
      </c>
      <c r="D170" s="22" t="s">
        <v>121</v>
      </c>
      <c r="E170" s="10" t="s">
        <v>506</v>
      </c>
      <c r="F170" s="10" t="s">
        <v>356</v>
      </c>
      <c r="G170" s="37">
        <f t="shared" si="4"/>
        <v>-2054092</v>
      </c>
      <c r="H170" s="37"/>
      <c r="I170" s="37">
        <v>-2054092</v>
      </c>
      <c r="J170" s="37">
        <v>-2054092</v>
      </c>
    </row>
    <row r="171" spans="1:10" s="14" customFormat="1" ht="189" customHeight="1">
      <c r="A171" s="11" t="s">
        <v>181</v>
      </c>
      <c r="B171" s="42" t="s">
        <v>80</v>
      </c>
      <c r="C171" s="40" t="s">
        <v>28</v>
      </c>
      <c r="D171" s="10" t="s">
        <v>81</v>
      </c>
      <c r="E171" s="10" t="s">
        <v>506</v>
      </c>
      <c r="F171" s="10" t="s">
        <v>356</v>
      </c>
      <c r="G171" s="37">
        <f t="shared" si="4"/>
        <v>8000000</v>
      </c>
      <c r="H171" s="37">
        <v>368000</v>
      </c>
      <c r="I171" s="37">
        <v>7632000</v>
      </c>
      <c r="J171" s="37">
        <v>7632000</v>
      </c>
    </row>
    <row r="172" spans="1:10" s="2" customFormat="1" ht="156.75" customHeight="1">
      <c r="A172" s="16"/>
      <c r="B172" s="41"/>
      <c r="C172" s="41"/>
      <c r="D172" s="17" t="s">
        <v>187</v>
      </c>
      <c r="E172" s="17"/>
      <c r="F172" s="33"/>
      <c r="G172" s="36">
        <f>G173+G174+G175+G176+G177+G178+G179+G180+G181+G182+G183+G184+G185+G186+G187+G188+G189+G190+G191+G192+G193+G194+G195</f>
        <v>210087481.06</v>
      </c>
      <c r="H172" s="36">
        <f>H173+H174+H175+H176+H177+H178+H179+H180+H181+H182+H183+H184+H185+H186+H187+H188+H189+H190+H191+H192+H193+H194+H195</f>
        <v>3228011</v>
      </c>
      <c r="I172" s="36">
        <f>I173+I174+I175+I176+I177+I178+I179+I180+I181+I182+I183+I184+I185+I186+I187+I188+I189+I190+I191+I192+I193+I194+I195</f>
        <v>206859470.06</v>
      </c>
      <c r="J172" s="36">
        <f>J173+J174+J175+J176+J177+J178+J179+J180+J181+J182+J183+J184+J185+J186+J187+J188+J189+J190+J191+J192+J193+J194+J195</f>
        <v>196540252</v>
      </c>
    </row>
    <row r="173" spans="1:10" ht="156" customHeight="1">
      <c r="A173" s="11" t="s">
        <v>188</v>
      </c>
      <c r="B173" s="42" t="s">
        <v>73</v>
      </c>
      <c r="C173" s="40" t="s">
        <v>2</v>
      </c>
      <c r="D173" s="10" t="s">
        <v>74</v>
      </c>
      <c r="E173" s="10" t="s">
        <v>455</v>
      </c>
      <c r="F173" s="31" t="s">
        <v>390</v>
      </c>
      <c r="G173" s="37">
        <f aca="true" t="shared" si="5" ref="G173:G180">H173+I173</f>
        <v>10000</v>
      </c>
      <c r="H173" s="37"/>
      <c r="I173" s="37">
        <v>10000</v>
      </c>
      <c r="J173" s="37"/>
    </row>
    <row r="174" spans="1:10" ht="204" customHeight="1">
      <c r="A174" s="9" t="s">
        <v>189</v>
      </c>
      <c r="B174" s="40" t="s">
        <v>106</v>
      </c>
      <c r="C174" s="40" t="s">
        <v>8</v>
      </c>
      <c r="D174" s="10" t="s">
        <v>107</v>
      </c>
      <c r="E174" s="10" t="s">
        <v>506</v>
      </c>
      <c r="F174" s="10" t="s">
        <v>356</v>
      </c>
      <c r="G174" s="37">
        <f t="shared" si="5"/>
        <v>51250000</v>
      </c>
      <c r="H174" s="37"/>
      <c r="I174" s="37">
        <f>55000000-3750000</f>
        <v>51250000</v>
      </c>
      <c r="J174" s="37">
        <f>55000000-3750000</f>
        <v>51250000</v>
      </c>
    </row>
    <row r="175" spans="1:10" s="3" customFormat="1" ht="221.25" customHeight="1" hidden="1">
      <c r="A175" s="9" t="s">
        <v>321</v>
      </c>
      <c r="B175" s="40" t="s">
        <v>322</v>
      </c>
      <c r="C175" s="40" t="s">
        <v>25</v>
      </c>
      <c r="D175" s="10" t="s">
        <v>323</v>
      </c>
      <c r="E175" s="12" t="s">
        <v>445</v>
      </c>
      <c r="F175" s="10" t="s">
        <v>468</v>
      </c>
      <c r="G175" s="37">
        <f t="shared" si="5"/>
        <v>0</v>
      </c>
      <c r="H175" s="37"/>
      <c r="I175" s="37"/>
      <c r="J175" s="37"/>
    </row>
    <row r="176" spans="1:10" s="3" customFormat="1" ht="265.5" customHeight="1" hidden="1">
      <c r="A176" s="9" t="s">
        <v>332</v>
      </c>
      <c r="B176" s="40" t="s">
        <v>333</v>
      </c>
      <c r="C176" s="40" t="s">
        <v>25</v>
      </c>
      <c r="D176" s="43" t="s">
        <v>334</v>
      </c>
      <c r="E176" s="10" t="s">
        <v>436</v>
      </c>
      <c r="F176" s="31" t="s">
        <v>459</v>
      </c>
      <c r="G176" s="37">
        <f t="shared" si="5"/>
        <v>0</v>
      </c>
      <c r="H176" s="37"/>
      <c r="I176" s="37"/>
      <c r="J176" s="37"/>
    </row>
    <row r="177" spans="1:10" s="3" customFormat="1" ht="207" customHeight="1">
      <c r="A177" s="9" t="s">
        <v>190</v>
      </c>
      <c r="B177" s="40" t="s">
        <v>111</v>
      </c>
      <c r="C177" s="40" t="s">
        <v>25</v>
      </c>
      <c r="D177" s="10" t="s">
        <v>112</v>
      </c>
      <c r="E177" s="12" t="s">
        <v>225</v>
      </c>
      <c r="F177" s="12" t="s">
        <v>355</v>
      </c>
      <c r="G177" s="37">
        <f t="shared" si="5"/>
        <v>162609.06</v>
      </c>
      <c r="H177" s="37">
        <v>84906</v>
      </c>
      <c r="I177" s="37">
        <f>46724+30979.06</f>
        <v>77703.06</v>
      </c>
      <c r="J177" s="37"/>
    </row>
    <row r="178" spans="1:10" s="3" customFormat="1" ht="175.5" customHeight="1" hidden="1">
      <c r="A178" s="9" t="s">
        <v>394</v>
      </c>
      <c r="B178" s="40">
        <v>6090</v>
      </c>
      <c r="C178" s="9" t="s">
        <v>219</v>
      </c>
      <c r="D178" s="10" t="s">
        <v>397</v>
      </c>
      <c r="E178" s="12" t="s">
        <v>445</v>
      </c>
      <c r="F178" s="10" t="s">
        <v>468</v>
      </c>
      <c r="G178" s="37">
        <f t="shared" si="5"/>
        <v>0</v>
      </c>
      <c r="H178" s="37"/>
      <c r="I178" s="37"/>
      <c r="J178" s="37"/>
    </row>
    <row r="179" spans="1:10" ht="221.25">
      <c r="A179" s="9" t="s">
        <v>226</v>
      </c>
      <c r="B179" s="40" t="s">
        <v>221</v>
      </c>
      <c r="C179" s="40" t="s">
        <v>65</v>
      </c>
      <c r="D179" s="10" t="s">
        <v>222</v>
      </c>
      <c r="E179" s="12" t="s">
        <v>445</v>
      </c>
      <c r="F179" s="10" t="s">
        <v>493</v>
      </c>
      <c r="G179" s="37">
        <f t="shared" si="5"/>
        <v>4590000</v>
      </c>
      <c r="H179" s="37"/>
      <c r="I179" s="37">
        <f>3000000+1590000</f>
        <v>4590000</v>
      </c>
      <c r="J179" s="37">
        <f>3000000+1590000</f>
        <v>4590000</v>
      </c>
    </row>
    <row r="180" spans="1:10" s="3" customFormat="1" ht="221.25">
      <c r="A180" s="83" t="s">
        <v>227</v>
      </c>
      <c r="B180" s="84" t="s">
        <v>228</v>
      </c>
      <c r="C180" s="84" t="s">
        <v>65</v>
      </c>
      <c r="D180" s="86" t="s">
        <v>229</v>
      </c>
      <c r="E180" s="12" t="s">
        <v>445</v>
      </c>
      <c r="F180" s="10" t="s">
        <v>494</v>
      </c>
      <c r="G180" s="37">
        <f t="shared" si="5"/>
        <v>9000000</v>
      </c>
      <c r="H180" s="37"/>
      <c r="I180" s="37">
        <v>9000000</v>
      </c>
      <c r="J180" s="37">
        <v>9000000</v>
      </c>
    </row>
    <row r="181" spans="1:10" s="3" customFormat="1" ht="192" customHeight="1" hidden="1">
      <c r="A181" s="83"/>
      <c r="B181" s="84"/>
      <c r="C181" s="84"/>
      <c r="D181" s="86"/>
      <c r="E181" s="12" t="s">
        <v>445</v>
      </c>
      <c r="F181" s="10" t="s">
        <v>468</v>
      </c>
      <c r="G181" s="37">
        <f aca="true" t="shared" si="6" ref="G181:G209">H181+I181</f>
        <v>0</v>
      </c>
      <c r="H181" s="37"/>
      <c r="I181" s="37"/>
      <c r="J181" s="37"/>
    </row>
    <row r="182" spans="1:10" s="3" customFormat="1" ht="221.25">
      <c r="A182" s="9" t="s">
        <v>230</v>
      </c>
      <c r="B182" s="40" t="s">
        <v>231</v>
      </c>
      <c r="C182" s="40" t="s">
        <v>65</v>
      </c>
      <c r="D182" s="10" t="s">
        <v>232</v>
      </c>
      <c r="E182" s="12" t="s">
        <v>445</v>
      </c>
      <c r="F182" s="10" t="s">
        <v>493</v>
      </c>
      <c r="G182" s="37">
        <f t="shared" si="6"/>
        <v>4454849</v>
      </c>
      <c r="H182" s="37"/>
      <c r="I182" s="37">
        <f>7000000-3286719+741568</f>
        <v>4454849</v>
      </c>
      <c r="J182" s="37">
        <f>7000000-3286719+741568</f>
        <v>4454849</v>
      </c>
    </row>
    <row r="183" spans="1:10" s="3" customFormat="1" ht="221.25">
      <c r="A183" s="9" t="s">
        <v>233</v>
      </c>
      <c r="B183" s="40" t="s">
        <v>234</v>
      </c>
      <c r="C183" s="40" t="s">
        <v>65</v>
      </c>
      <c r="D183" s="10" t="s">
        <v>235</v>
      </c>
      <c r="E183" s="12" t="s">
        <v>445</v>
      </c>
      <c r="F183" s="10" t="s">
        <v>493</v>
      </c>
      <c r="G183" s="37">
        <f t="shared" si="6"/>
        <v>100000</v>
      </c>
      <c r="H183" s="37"/>
      <c r="I183" s="37">
        <v>100000</v>
      </c>
      <c r="J183" s="37">
        <v>100000</v>
      </c>
    </row>
    <row r="184" spans="1:10" ht="183.75" customHeight="1">
      <c r="A184" s="9" t="s">
        <v>236</v>
      </c>
      <c r="B184" s="40" t="s">
        <v>224</v>
      </c>
      <c r="C184" s="40" t="s">
        <v>65</v>
      </c>
      <c r="D184" s="10" t="s">
        <v>379</v>
      </c>
      <c r="E184" s="12" t="s">
        <v>445</v>
      </c>
      <c r="F184" s="10" t="s">
        <v>494</v>
      </c>
      <c r="G184" s="37">
        <f t="shared" si="6"/>
        <v>52697855</v>
      </c>
      <c r="H184" s="37"/>
      <c r="I184" s="37">
        <f>41300000-1000000+300000+1000000+1000000-1800000+860151+8034260+1003444+2000000</f>
        <v>52697855</v>
      </c>
      <c r="J184" s="37">
        <f>41300000-1000000+300000+1000000+1000000-1800000+860151+8034260+1003444+2000000</f>
        <v>52697855</v>
      </c>
    </row>
    <row r="185" spans="1:10" ht="177" customHeight="1" hidden="1">
      <c r="A185" s="9" t="s">
        <v>292</v>
      </c>
      <c r="B185" s="40" t="s">
        <v>108</v>
      </c>
      <c r="C185" s="40" t="s">
        <v>65</v>
      </c>
      <c r="D185" s="10" t="s">
        <v>109</v>
      </c>
      <c r="E185" s="12" t="s">
        <v>445</v>
      </c>
      <c r="F185" s="10" t="s">
        <v>468</v>
      </c>
      <c r="G185" s="37">
        <f t="shared" si="6"/>
        <v>0</v>
      </c>
      <c r="H185" s="37"/>
      <c r="I185" s="37"/>
      <c r="J185" s="37"/>
    </row>
    <row r="186" spans="1:10" s="3" customFormat="1" ht="204" customHeight="1" hidden="1">
      <c r="A186" s="9" t="s">
        <v>335</v>
      </c>
      <c r="B186" s="40" t="s">
        <v>319</v>
      </c>
      <c r="C186" s="40" t="s">
        <v>4</v>
      </c>
      <c r="D186" s="10" t="s">
        <v>320</v>
      </c>
      <c r="E186" s="12" t="s">
        <v>445</v>
      </c>
      <c r="F186" s="10" t="s">
        <v>468</v>
      </c>
      <c r="G186" s="37">
        <f t="shared" si="6"/>
        <v>0</v>
      </c>
      <c r="H186" s="37"/>
      <c r="I186" s="37"/>
      <c r="J186" s="37"/>
    </row>
    <row r="187" spans="1:10" s="3" customFormat="1" ht="192.75" customHeight="1">
      <c r="A187" s="9" t="s">
        <v>317</v>
      </c>
      <c r="B187" s="40" t="s">
        <v>302</v>
      </c>
      <c r="C187" s="40" t="s">
        <v>4</v>
      </c>
      <c r="D187" s="10" t="s">
        <v>303</v>
      </c>
      <c r="E187" s="12" t="s">
        <v>445</v>
      </c>
      <c r="F187" s="10" t="s">
        <v>494</v>
      </c>
      <c r="G187" s="37">
        <f t="shared" si="6"/>
        <v>95000</v>
      </c>
      <c r="H187" s="37"/>
      <c r="I187" s="37">
        <v>95000</v>
      </c>
      <c r="J187" s="37">
        <v>95000</v>
      </c>
    </row>
    <row r="188" spans="1:10" s="3" customFormat="1" ht="177" hidden="1">
      <c r="A188" s="9" t="s">
        <v>408</v>
      </c>
      <c r="B188" s="40">
        <v>7370</v>
      </c>
      <c r="C188" s="9" t="s">
        <v>4</v>
      </c>
      <c r="D188" s="10" t="s">
        <v>339</v>
      </c>
      <c r="E188" s="12" t="s">
        <v>409</v>
      </c>
      <c r="F188" s="10" t="s">
        <v>468</v>
      </c>
      <c r="G188" s="37">
        <f t="shared" si="6"/>
        <v>0</v>
      </c>
      <c r="H188" s="37"/>
      <c r="I188" s="37"/>
      <c r="J188" s="37"/>
    </row>
    <row r="189" spans="1:10" s="3" customFormat="1" ht="221.25" hidden="1">
      <c r="A189" s="9" t="s">
        <v>310</v>
      </c>
      <c r="B189" s="40" t="s">
        <v>311</v>
      </c>
      <c r="C189" s="40" t="s">
        <v>273</v>
      </c>
      <c r="D189" s="10" t="s">
        <v>312</v>
      </c>
      <c r="E189" s="10" t="s">
        <v>506</v>
      </c>
      <c r="F189" s="10" t="s">
        <v>356</v>
      </c>
      <c r="G189" s="37">
        <f t="shared" si="6"/>
        <v>0</v>
      </c>
      <c r="H189" s="37"/>
      <c r="I189" s="37"/>
      <c r="J189" s="37"/>
    </row>
    <row r="190" spans="1:10" s="3" customFormat="1" ht="177" hidden="1">
      <c r="A190" s="9" t="s">
        <v>326</v>
      </c>
      <c r="B190" s="40" t="s">
        <v>327</v>
      </c>
      <c r="C190" s="40" t="s">
        <v>273</v>
      </c>
      <c r="D190" s="44" t="s">
        <v>328</v>
      </c>
      <c r="E190" s="12" t="s">
        <v>409</v>
      </c>
      <c r="F190" s="10" t="s">
        <v>468</v>
      </c>
      <c r="G190" s="37">
        <f t="shared" si="6"/>
        <v>0</v>
      </c>
      <c r="H190" s="37"/>
      <c r="I190" s="37"/>
      <c r="J190" s="37"/>
    </row>
    <row r="191" spans="1:10" ht="151.5" customHeight="1">
      <c r="A191" s="9" t="s">
        <v>191</v>
      </c>
      <c r="B191" s="40" t="s">
        <v>86</v>
      </c>
      <c r="C191" s="40" t="s">
        <v>27</v>
      </c>
      <c r="D191" s="10" t="s">
        <v>56</v>
      </c>
      <c r="E191" s="10" t="s">
        <v>444</v>
      </c>
      <c r="F191" s="10" t="s">
        <v>477</v>
      </c>
      <c r="G191" s="37">
        <f t="shared" si="6"/>
        <v>85817011</v>
      </c>
      <c r="H191" s="37">
        <v>1728011</v>
      </c>
      <c r="I191" s="37">
        <v>84089000</v>
      </c>
      <c r="J191" s="37">
        <v>74352548</v>
      </c>
    </row>
    <row r="192" spans="1:10" s="3" customFormat="1" ht="177" customHeight="1" hidden="1">
      <c r="A192" s="9" t="s">
        <v>340</v>
      </c>
      <c r="B192" s="40" t="s">
        <v>213</v>
      </c>
      <c r="C192" s="40" t="s">
        <v>4</v>
      </c>
      <c r="D192" s="10" t="s">
        <v>214</v>
      </c>
      <c r="E192" s="12" t="s">
        <v>445</v>
      </c>
      <c r="F192" s="10" t="s">
        <v>468</v>
      </c>
      <c r="G192" s="37">
        <f t="shared" si="6"/>
        <v>0</v>
      </c>
      <c r="H192" s="37"/>
      <c r="I192" s="37"/>
      <c r="J192" s="37"/>
    </row>
    <row r="193" spans="1:10" s="3" customFormat="1" ht="367.5" customHeight="1" hidden="1">
      <c r="A193" s="9" t="s">
        <v>386</v>
      </c>
      <c r="B193" s="40" t="s">
        <v>260</v>
      </c>
      <c r="C193" s="40" t="s">
        <v>4</v>
      </c>
      <c r="D193" s="10" t="s">
        <v>281</v>
      </c>
      <c r="E193" s="12"/>
      <c r="F193" s="10"/>
      <c r="G193" s="37"/>
      <c r="H193" s="37"/>
      <c r="I193" s="37"/>
      <c r="J193" s="37"/>
    </row>
    <row r="194" spans="1:10" s="3" customFormat="1" ht="144" customHeight="1">
      <c r="A194" s="9" t="s">
        <v>315</v>
      </c>
      <c r="B194" s="40" t="s">
        <v>313</v>
      </c>
      <c r="C194" s="40" t="s">
        <v>3</v>
      </c>
      <c r="D194" s="10" t="s">
        <v>387</v>
      </c>
      <c r="E194" s="12" t="s">
        <v>225</v>
      </c>
      <c r="F194" s="12" t="s">
        <v>355</v>
      </c>
      <c r="G194" s="37">
        <f t="shared" si="6"/>
        <v>2710157</v>
      </c>
      <c r="H194" s="37">
        <v>1415094</v>
      </c>
      <c r="I194" s="37">
        <f>778741+516322</f>
        <v>1295063</v>
      </c>
      <c r="J194" s="37"/>
    </row>
    <row r="195" spans="1:10" s="3" customFormat="1" ht="199.5" customHeight="1">
      <c r="A195" s="9" t="s">
        <v>316</v>
      </c>
      <c r="B195" s="40" t="s">
        <v>314</v>
      </c>
      <c r="C195" s="40" t="s">
        <v>3</v>
      </c>
      <c r="D195" s="10" t="s">
        <v>388</v>
      </c>
      <c r="E195" s="12" t="s">
        <v>225</v>
      </c>
      <c r="F195" s="12" t="s">
        <v>355</v>
      </c>
      <c r="G195" s="37">
        <f t="shared" si="6"/>
        <v>-800000</v>
      </c>
      <c r="H195" s="37"/>
      <c r="I195" s="37">
        <v>-800000</v>
      </c>
      <c r="J195" s="37"/>
    </row>
    <row r="196" spans="1:10" s="2" customFormat="1" ht="108" customHeight="1">
      <c r="A196" s="16"/>
      <c r="B196" s="41"/>
      <c r="C196" s="41"/>
      <c r="D196" s="17" t="s">
        <v>192</v>
      </c>
      <c r="E196" s="34"/>
      <c r="F196" s="34"/>
      <c r="G196" s="36">
        <f>G197+G198+G200+G201</f>
        <v>2638878.54</v>
      </c>
      <c r="H196" s="36">
        <f>H197+H198+H200+H201</f>
        <v>275000</v>
      </c>
      <c r="I196" s="36">
        <f>I197+I198+I200+I201</f>
        <v>2363878.54</v>
      </c>
      <c r="J196" s="36">
        <f>J197+J198+J200+J201</f>
        <v>0</v>
      </c>
    </row>
    <row r="197" spans="1:10" ht="144" customHeight="1">
      <c r="A197" s="9" t="s">
        <v>193</v>
      </c>
      <c r="B197" s="40" t="s">
        <v>73</v>
      </c>
      <c r="C197" s="40" t="s">
        <v>2</v>
      </c>
      <c r="D197" s="10" t="s">
        <v>74</v>
      </c>
      <c r="E197" s="10" t="s">
        <v>455</v>
      </c>
      <c r="F197" s="31" t="s">
        <v>390</v>
      </c>
      <c r="G197" s="37">
        <f>H197+I197</f>
        <v>100000</v>
      </c>
      <c r="H197" s="37">
        <f>50000+50000</f>
        <v>100000</v>
      </c>
      <c r="I197" s="37"/>
      <c r="J197" s="37"/>
    </row>
    <row r="198" spans="1:10" ht="177" customHeight="1">
      <c r="A198" s="9" t="s">
        <v>274</v>
      </c>
      <c r="B198" s="40" t="s">
        <v>199</v>
      </c>
      <c r="C198" s="40" t="s">
        <v>219</v>
      </c>
      <c r="D198" s="10" t="s">
        <v>218</v>
      </c>
      <c r="E198" s="10" t="s">
        <v>506</v>
      </c>
      <c r="F198" s="10" t="s">
        <v>356</v>
      </c>
      <c r="G198" s="37">
        <f>H198+I198</f>
        <v>175000</v>
      </c>
      <c r="H198" s="37">
        <v>175000</v>
      </c>
      <c r="I198" s="37"/>
      <c r="J198" s="37"/>
    </row>
    <row r="199" spans="1:10" ht="139.5" customHeight="1" hidden="1">
      <c r="A199" s="9" t="s">
        <v>337</v>
      </c>
      <c r="B199" s="40" t="s">
        <v>338</v>
      </c>
      <c r="C199" s="40" t="s">
        <v>4</v>
      </c>
      <c r="D199" s="10" t="s">
        <v>339</v>
      </c>
      <c r="E199" s="10" t="s">
        <v>363</v>
      </c>
      <c r="F199" s="10" t="s">
        <v>396</v>
      </c>
      <c r="G199" s="37">
        <f>H199+I199</f>
        <v>0</v>
      </c>
      <c r="H199" s="37"/>
      <c r="I199" s="37"/>
      <c r="J199" s="37"/>
    </row>
    <row r="200" spans="1:10" s="3" customFormat="1" ht="221.25">
      <c r="A200" s="83" t="s">
        <v>261</v>
      </c>
      <c r="B200" s="84" t="s">
        <v>260</v>
      </c>
      <c r="C200" s="84" t="s">
        <v>4</v>
      </c>
      <c r="D200" s="86" t="s">
        <v>281</v>
      </c>
      <c r="E200" s="10" t="s">
        <v>506</v>
      </c>
      <c r="F200" s="10" t="s">
        <v>356</v>
      </c>
      <c r="G200" s="37">
        <f>H200+I200</f>
        <v>100000</v>
      </c>
      <c r="H200" s="37"/>
      <c r="I200" s="37">
        <v>100000</v>
      </c>
      <c r="J200" s="37"/>
    </row>
    <row r="201" spans="1:10" s="3" customFormat="1" ht="218.25" customHeight="1">
      <c r="A201" s="83"/>
      <c r="B201" s="84"/>
      <c r="C201" s="84"/>
      <c r="D201" s="86"/>
      <c r="E201" s="10" t="s">
        <v>363</v>
      </c>
      <c r="F201" s="10" t="s">
        <v>396</v>
      </c>
      <c r="G201" s="37">
        <f>H201+I201</f>
        <v>2263878.54</v>
      </c>
      <c r="H201" s="37"/>
      <c r="I201" s="37">
        <f>889000+300000+1074878.54</f>
        <v>2263878.54</v>
      </c>
      <c r="J201" s="37"/>
    </row>
    <row r="202" spans="1:10" s="2" customFormat="1" ht="97.5" customHeight="1">
      <c r="A202" s="16"/>
      <c r="B202" s="41"/>
      <c r="C202" s="41"/>
      <c r="D202" s="17" t="s">
        <v>184</v>
      </c>
      <c r="E202" s="17"/>
      <c r="F202" s="33"/>
      <c r="G202" s="36">
        <f>G203+G205+G206+G207+G208</f>
        <v>2485000</v>
      </c>
      <c r="H202" s="36">
        <f>H203+H205+H206+H207+H208</f>
        <v>2410000</v>
      </c>
      <c r="I202" s="36">
        <f>I203+I205+I206+I207+I208</f>
        <v>75000</v>
      </c>
      <c r="J202" s="36">
        <f>J203+J205+J206+J207+J208</f>
        <v>75000</v>
      </c>
    </row>
    <row r="203" spans="1:10" ht="240" customHeight="1">
      <c r="A203" s="9" t="s">
        <v>185</v>
      </c>
      <c r="B203" s="40" t="s">
        <v>104</v>
      </c>
      <c r="C203" s="40" t="s">
        <v>26</v>
      </c>
      <c r="D203" s="10" t="s">
        <v>105</v>
      </c>
      <c r="E203" s="12" t="s">
        <v>478</v>
      </c>
      <c r="F203" s="32" t="s">
        <v>495</v>
      </c>
      <c r="G203" s="37">
        <f aca="true" t="shared" si="7" ref="G203:G208">H203+I203</f>
        <v>700000</v>
      </c>
      <c r="H203" s="37">
        <v>700000</v>
      </c>
      <c r="I203" s="37"/>
      <c r="J203" s="37"/>
    </row>
    <row r="204" spans="1:10" ht="208.5" customHeight="1" hidden="1">
      <c r="A204" s="9" t="s">
        <v>341</v>
      </c>
      <c r="B204" s="40" t="s">
        <v>338</v>
      </c>
      <c r="C204" s="40" t="s">
        <v>4</v>
      </c>
      <c r="D204" s="10" t="s">
        <v>339</v>
      </c>
      <c r="E204" s="12" t="s">
        <v>445</v>
      </c>
      <c r="F204" s="10" t="s">
        <v>393</v>
      </c>
      <c r="G204" s="37">
        <f t="shared" si="7"/>
        <v>0</v>
      </c>
      <c r="H204" s="37"/>
      <c r="I204" s="37"/>
      <c r="J204" s="37"/>
    </row>
    <row r="205" spans="1:10" ht="192" customHeight="1">
      <c r="A205" s="9" t="s">
        <v>186</v>
      </c>
      <c r="B205" s="40" t="s">
        <v>95</v>
      </c>
      <c r="C205" s="40" t="s">
        <v>5</v>
      </c>
      <c r="D205" s="10" t="s">
        <v>49</v>
      </c>
      <c r="E205" s="10" t="s">
        <v>423</v>
      </c>
      <c r="F205" s="10" t="s">
        <v>476</v>
      </c>
      <c r="G205" s="37">
        <f t="shared" si="7"/>
        <v>1020000</v>
      </c>
      <c r="H205" s="37">
        <v>1020000</v>
      </c>
      <c r="I205" s="37"/>
      <c r="J205" s="37"/>
    </row>
    <row r="206" spans="1:10" ht="256.5" customHeight="1">
      <c r="A206" s="9" t="s">
        <v>238</v>
      </c>
      <c r="B206" s="40" t="s">
        <v>237</v>
      </c>
      <c r="C206" s="40" t="s">
        <v>4</v>
      </c>
      <c r="D206" s="10" t="s">
        <v>239</v>
      </c>
      <c r="E206" s="12" t="s">
        <v>478</v>
      </c>
      <c r="F206" s="32" t="s">
        <v>496</v>
      </c>
      <c r="G206" s="37">
        <f t="shared" si="7"/>
        <v>30000</v>
      </c>
      <c r="H206" s="37"/>
      <c r="I206" s="37">
        <v>30000</v>
      </c>
      <c r="J206" s="37">
        <v>30000</v>
      </c>
    </row>
    <row r="207" spans="1:10" ht="246" customHeight="1">
      <c r="A207" s="9" t="s">
        <v>241</v>
      </c>
      <c r="B207" s="40" t="s">
        <v>242</v>
      </c>
      <c r="C207" s="40" t="s">
        <v>4</v>
      </c>
      <c r="D207" s="10" t="s">
        <v>243</v>
      </c>
      <c r="E207" s="12" t="s">
        <v>478</v>
      </c>
      <c r="F207" s="32" t="s">
        <v>496</v>
      </c>
      <c r="G207" s="37">
        <f t="shared" si="7"/>
        <v>45000</v>
      </c>
      <c r="H207" s="37"/>
      <c r="I207" s="37">
        <v>45000</v>
      </c>
      <c r="J207" s="37">
        <v>45000</v>
      </c>
    </row>
    <row r="208" spans="1:10" s="3" customFormat="1" ht="247.5" customHeight="1">
      <c r="A208" s="9" t="s">
        <v>240</v>
      </c>
      <c r="B208" s="40" t="s">
        <v>213</v>
      </c>
      <c r="C208" s="40">
        <v>490</v>
      </c>
      <c r="D208" s="10" t="s">
        <v>214</v>
      </c>
      <c r="E208" s="12" t="s">
        <v>478</v>
      </c>
      <c r="F208" s="32" t="s">
        <v>497</v>
      </c>
      <c r="G208" s="37">
        <f t="shared" si="7"/>
        <v>690000</v>
      </c>
      <c r="H208" s="37">
        <v>690000</v>
      </c>
      <c r="I208" s="37"/>
      <c r="J208" s="37"/>
    </row>
    <row r="209" spans="1:10" ht="187.5" customHeight="1" hidden="1">
      <c r="A209" s="9" t="s">
        <v>309</v>
      </c>
      <c r="B209" s="40" t="s">
        <v>298</v>
      </c>
      <c r="C209" s="40" t="s">
        <v>28</v>
      </c>
      <c r="D209" s="19" t="s">
        <v>299</v>
      </c>
      <c r="E209" s="10" t="s">
        <v>423</v>
      </c>
      <c r="F209" s="10" t="s">
        <v>476</v>
      </c>
      <c r="G209" s="37">
        <f t="shared" si="6"/>
        <v>0</v>
      </c>
      <c r="H209" s="37"/>
      <c r="I209" s="37"/>
      <c r="J209" s="37"/>
    </row>
    <row r="210" spans="1:10" s="2" customFormat="1" ht="117.75" customHeight="1">
      <c r="A210" s="16"/>
      <c r="B210" s="41"/>
      <c r="C210" s="41"/>
      <c r="D210" s="17" t="s">
        <v>194</v>
      </c>
      <c r="E210" s="34"/>
      <c r="F210" s="34"/>
      <c r="G210" s="36">
        <f>G212+G213+G214+G215+G216+G217+G218</f>
        <v>1438765</v>
      </c>
      <c r="H210" s="36">
        <f>H212+H213+H214+H215+H216+H217+H218</f>
        <v>1345265</v>
      </c>
      <c r="I210" s="36">
        <f>I212+I213+I214+I215+I216+I217+I218</f>
        <v>93500</v>
      </c>
      <c r="J210" s="36">
        <f>J212+J213+J214+J215+J216+J217+J218</f>
        <v>0</v>
      </c>
    </row>
    <row r="211" spans="1:10" s="2" customFormat="1" ht="195" customHeight="1" hidden="1">
      <c r="A211" s="9" t="s">
        <v>399</v>
      </c>
      <c r="B211" s="40">
        <v>7370</v>
      </c>
      <c r="C211" s="9" t="s">
        <v>4</v>
      </c>
      <c r="D211" s="10" t="s">
        <v>339</v>
      </c>
      <c r="E211" s="12" t="s">
        <v>445</v>
      </c>
      <c r="F211" s="10" t="s">
        <v>393</v>
      </c>
      <c r="G211" s="37">
        <f aca="true" t="shared" si="8" ref="G211:G220">H211+I211</f>
        <v>0</v>
      </c>
      <c r="H211" s="37"/>
      <c r="I211" s="36"/>
      <c r="J211" s="36"/>
    </row>
    <row r="212" spans="1:10" s="2" customFormat="1" ht="138.75" customHeight="1">
      <c r="A212" s="9" t="s">
        <v>244</v>
      </c>
      <c r="B212" s="40" t="s">
        <v>86</v>
      </c>
      <c r="C212" s="40" t="s">
        <v>27</v>
      </c>
      <c r="D212" s="10" t="s">
        <v>56</v>
      </c>
      <c r="E212" s="10" t="s">
        <v>444</v>
      </c>
      <c r="F212" s="10" t="s">
        <v>477</v>
      </c>
      <c r="G212" s="37">
        <f t="shared" si="8"/>
        <v>345000</v>
      </c>
      <c r="H212" s="37">
        <v>345000</v>
      </c>
      <c r="I212" s="37"/>
      <c r="J212" s="37"/>
    </row>
    <row r="213" spans="1:10" s="2" customFormat="1" ht="188.25" customHeight="1">
      <c r="A213" s="9" t="s">
        <v>357</v>
      </c>
      <c r="B213" s="40" t="s">
        <v>213</v>
      </c>
      <c r="C213" s="9" t="s">
        <v>4</v>
      </c>
      <c r="D213" s="10" t="s">
        <v>214</v>
      </c>
      <c r="E213" s="12" t="s">
        <v>445</v>
      </c>
      <c r="F213" s="10" t="s">
        <v>494</v>
      </c>
      <c r="G213" s="37">
        <f t="shared" si="8"/>
        <v>213200</v>
      </c>
      <c r="H213" s="37">
        <v>213200</v>
      </c>
      <c r="I213" s="37"/>
      <c r="J213" s="37"/>
    </row>
    <row r="214" spans="1:10" s="2" customFormat="1" ht="198" customHeight="1">
      <c r="A214" s="9" t="s">
        <v>430</v>
      </c>
      <c r="B214" s="40">
        <v>8330</v>
      </c>
      <c r="C214" s="9" t="s">
        <v>12</v>
      </c>
      <c r="D214" s="10" t="s">
        <v>443</v>
      </c>
      <c r="E214" s="12" t="s">
        <v>445</v>
      </c>
      <c r="F214" s="10" t="s">
        <v>493</v>
      </c>
      <c r="G214" s="37">
        <f t="shared" si="8"/>
        <v>75000</v>
      </c>
      <c r="H214" s="37">
        <v>75000</v>
      </c>
      <c r="I214" s="37"/>
      <c r="J214" s="37"/>
    </row>
    <row r="215" spans="1:10" ht="177">
      <c r="A215" s="9" t="s">
        <v>195</v>
      </c>
      <c r="B215" s="40" t="s">
        <v>82</v>
      </c>
      <c r="C215" s="9" t="s">
        <v>12</v>
      </c>
      <c r="D215" s="10" t="s">
        <v>83</v>
      </c>
      <c r="E215" s="12" t="s">
        <v>475</v>
      </c>
      <c r="F215" s="10" t="s">
        <v>391</v>
      </c>
      <c r="G215" s="37">
        <f t="shared" si="8"/>
        <v>93500</v>
      </c>
      <c r="H215" s="37"/>
      <c r="I215" s="37">
        <f>45000+48500</f>
        <v>93500</v>
      </c>
      <c r="J215" s="37"/>
    </row>
    <row r="216" spans="1:10" ht="194.25" customHeight="1">
      <c r="A216" s="9" t="s">
        <v>446</v>
      </c>
      <c r="B216" s="40">
        <v>8600</v>
      </c>
      <c r="C216" s="9" t="s">
        <v>447</v>
      </c>
      <c r="D216" s="10" t="s">
        <v>448</v>
      </c>
      <c r="E216" s="12" t="s">
        <v>445</v>
      </c>
      <c r="F216" s="10" t="s">
        <v>494</v>
      </c>
      <c r="G216" s="37">
        <f t="shared" si="8"/>
        <v>712065</v>
      </c>
      <c r="H216" s="37">
        <v>712065</v>
      </c>
      <c r="I216" s="37"/>
      <c r="J216" s="37"/>
    </row>
    <row r="217" spans="1:10" ht="189.75" customHeight="1">
      <c r="A217" s="9" t="s">
        <v>431</v>
      </c>
      <c r="B217" s="40">
        <v>8881</v>
      </c>
      <c r="C217" s="9" t="s">
        <v>4</v>
      </c>
      <c r="D217" s="10" t="s">
        <v>433</v>
      </c>
      <c r="E217" s="12" t="s">
        <v>445</v>
      </c>
      <c r="F217" s="10" t="s">
        <v>494</v>
      </c>
      <c r="G217" s="37">
        <f t="shared" si="8"/>
        <v>808088</v>
      </c>
      <c r="H217" s="37"/>
      <c r="I217" s="37">
        <v>808088</v>
      </c>
      <c r="J217" s="37">
        <v>808088</v>
      </c>
    </row>
    <row r="218" spans="1:10" ht="201.75" customHeight="1">
      <c r="A218" s="9" t="s">
        <v>432</v>
      </c>
      <c r="B218" s="40">
        <v>8882</v>
      </c>
      <c r="C218" s="9" t="s">
        <v>4</v>
      </c>
      <c r="D218" s="10" t="s">
        <v>434</v>
      </c>
      <c r="E218" s="12" t="s">
        <v>445</v>
      </c>
      <c r="F218" s="10" t="s">
        <v>494</v>
      </c>
      <c r="G218" s="37">
        <f t="shared" si="8"/>
        <v>-808088</v>
      </c>
      <c r="H218" s="37"/>
      <c r="I218" s="37">
        <v>-808088</v>
      </c>
      <c r="J218" s="37">
        <v>-808088</v>
      </c>
    </row>
    <row r="219" spans="1:10" ht="357.75" customHeight="1" hidden="1">
      <c r="A219" s="9" t="s">
        <v>412</v>
      </c>
      <c r="B219" s="49" t="s">
        <v>414</v>
      </c>
      <c r="C219" s="49" t="s">
        <v>28</v>
      </c>
      <c r="D219" s="55" t="s">
        <v>413</v>
      </c>
      <c r="E219" s="12" t="s">
        <v>445</v>
      </c>
      <c r="F219" s="10" t="s">
        <v>468</v>
      </c>
      <c r="G219" s="37">
        <f t="shared" si="8"/>
        <v>0</v>
      </c>
      <c r="H219" s="37"/>
      <c r="I219" s="37"/>
      <c r="J219" s="37"/>
    </row>
    <row r="220" spans="1:10" ht="192" customHeight="1" hidden="1">
      <c r="A220" s="9" t="s">
        <v>286</v>
      </c>
      <c r="B220" s="40" t="s">
        <v>80</v>
      </c>
      <c r="C220" s="40" t="s">
        <v>28</v>
      </c>
      <c r="D220" s="10" t="s">
        <v>81</v>
      </c>
      <c r="E220" s="12" t="s">
        <v>445</v>
      </c>
      <c r="F220" s="10" t="s">
        <v>468</v>
      </c>
      <c r="G220" s="37">
        <f t="shared" si="8"/>
        <v>0</v>
      </c>
      <c r="H220" s="37"/>
      <c r="I220" s="37"/>
      <c r="J220" s="37"/>
    </row>
    <row r="221" spans="1:10" s="25" customFormat="1" ht="54" customHeight="1">
      <c r="A221" s="24"/>
      <c r="B221" s="89" t="s">
        <v>464</v>
      </c>
      <c r="C221" s="90"/>
      <c r="D221" s="90"/>
      <c r="E221" s="91"/>
      <c r="F221" s="28"/>
      <c r="G221" s="39">
        <f>G18+G61+G87+G105+G126+G129+G138+G172+G196+G202+G210</f>
        <v>2126276857.2499998</v>
      </c>
      <c r="H221" s="39">
        <f>H18+H61+H87+H105+H126+H129+H138+H172+H196+H202+H210</f>
        <v>1582704123.96</v>
      </c>
      <c r="I221" s="39">
        <f>I18+I61+I87+I105+I126+I129+I138+I172+I196+I202+I210</f>
        <v>543572733.29</v>
      </c>
      <c r="J221" s="39">
        <f>J18+J61+J87+J105+J126+J129+J138+J172+J196+J202+J210</f>
        <v>469779374.97</v>
      </c>
    </row>
    <row r="222" spans="1:10" ht="132.75" customHeight="1">
      <c r="A222" s="67"/>
      <c r="B222" s="61"/>
      <c r="C222" s="61"/>
      <c r="D222" s="10"/>
      <c r="E222" s="10" t="s">
        <v>455</v>
      </c>
      <c r="F222" s="31" t="s">
        <v>390</v>
      </c>
      <c r="G222" s="59">
        <f>G19+G32+G33+G50+G54+G62+G88+G106+G130+G139+G173+G197</f>
        <v>6473587</v>
      </c>
      <c r="H222" s="59">
        <f>H19+H32+H33+H50+H54+H62+H88+H106+H130+H139+H173+H197</f>
        <v>6463587</v>
      </c>
      <c r="I222" s="59">
        <f>I19+I32+I33+I50+I54+I62+I88+I106+I130+I139+I173+I197</f>
        <v>10000</v>
      </c>
      <c r="J222" s="59">
        <f>J19+J32+J33+J50+J54+J62+J88+J106+J130+J139+J173+J197</f>
        <v>0</v>
      </c>
    </row>
    <row r="223" spans="1:10" ht="153.75" customHeight="1">
      <c r="A223" s="67"/>
      <c r="B223" s="61"/>
      <c r="C223" s="61"/>
      <c r="D223" s="60"/>
      <c r="E223" s="10" t="s">
        <v>467</v>
      </c>
      <c r="F223" s="10" t="s">
        <v>402</v>
      </c>
      <c r="G223" s="59">
        <f>G22+G24+G63+G66+G70+G71+G72+G73+G74+G75+G76+G82</f>
        <v>1032762044.64</v>
      </c>
      <c r="H223" s="59">
        <f>H22+H24+H63+H66+H70+H71+H72+H73+H74+H75+H76+H82</f>
        <v>951330105</v>
      </c>
      <c r="I223" s="59">
        <f>I22+I24+I63+I66+I70+I71+I72+I73+I74+I75+I76+I82</f>
        <v>81431939.64</v>
      </c>
      <c r="J223" s="59">
        <f>J22+J24+J63+J66+J70+J71+J72+J73+J74+J75+J76+J82</f>
        <v>28115431.64</v>
      </c>
    </row>
    <row r="224" spans="1:10" ht="145.5" customHeight="1">
      <c r="A224" s="67"/>
      <c r="B224" s="61"/>
      <c r="C224" s="61"/>
      <c r="D224" s="60"/>
      <c r="E224" s="12" t="s">
        <v>466</v>
      </c>
      <c r="F224" s="10" t="s">
        <v>401</v>
      </c>
      <c r="G224" s="59">
        <f>G89+G91+G93+G95+G96+G97+G98+G100</f>
        <v>213610818</v>
      </c>
      <c r="H224" s="59">
        <f>H89+H91+H93+H95+H96+H97+H98+H100</f>
        <v>167203718</v>
      </c>
      <c r="I224" s="59">
        <f>I89+I91+I93+I95+I96+I97+I98+I100</f>
        <v>46407100</v>
      </c>
      <c r="J224" s="59">
        <f>J89+J91+J93+J95+J96+J97+J98+J100</f>
        <v>46407100</v>
      </c>
    </row>
    <row r="225" spans="1:10" ht="189.75" customHeight="1">
      <c r="A225" s="67"/>
      <c r="B225" s="61"/>
      <c r="C225" s="61"/>
      <c r="D225" s="60"/>
      <c r="E225" s="10" t="s">
        <v>506</v>
      </c>
      <c r="F225" s="10" t="s">
        <v>356</v>
      </c>
      <c r="G225" s="59">
        <f>G140+G142+G143+G147+G148+G149+G151+G154+G156+G158+G160+G161+G165+G167+G170+G171+G174+G198+G200</f>
        <v>361557392.1399999</v>
      </c>
      <c r="H225" s="59">
        <f>H140+H142+H143+H147+H148+H149+H151+H154+H156+H158+H160+H161+H165+H167+H170+H171+H174+H198+H200</f>
        <v>228933525.57</v>
      </c>
      <c r="I225" s="59">
        <f>I140+I142+I143+I147+I148+I149+I151+I154+I156+I158+I160+I161+I165+I167+I170+I171+I174+I198+I200</f>
        <v>132623866.57</v>
      </c>
      <c r="J225" s="59">
        <f>J140+J142+J143+J147+J148+J149+J151+J154+J156+J158+J160+J161+J165+J167+J170+J171+J174+J198+J200</f>
        <v>132203776.3</v>
      </c>
    </row>
    <row r="226" spans="1:10" ht="250.5" customHeight="1">
      <c r="A226" s="67"/>
      <c r="B226" s="61"/>
      <c r="C226" s="61"/>
      <c r="D226" s="60"/>
      <c r="E226" s="12" t="s">
        <v>478</v>
      </c>
      <c r="F226" s="32" t="s">
        <v>422</v>
      </c>
      <c r="G226" s="59">
        <f>G203+G206+G207+G208</f>
        <v>1465000</v>
      </c>
      <c r="H226" s="59">
        <f>H203+H206+H207+H208</f>
        <v>1390000</v>
      </c>
      <c r="I226" s="59">
        <f>I203+I206+I207+I208</f>
        <v>75000</v>
      </c>
      <c r="J226" s="59">
        <f>J203+J206+J207+J208</f>
        <v>75000</v>
      </c>
    </row>
    <row r="227" spans="1:10" ht="121.5" customHeight="1">
      <c r="A227" s="67"/>
      <c r="B227" s="61"/>
      <c r="C227" s="61"/>
      <c r="D227" s="60"/>
      <c r="E227" s="10" t="s">
        <v>472</v>
      </c>
      <c r="F227" s="31" t="s">
        <v>407</v>
      </c>
      <c r="G227" s="59">
        <f>G52+G55+G58</f>
        <v>683360</v>
      </c>
      <c r="H227" s="59">
        <f>H52+H55+H58</f>
        <v>683360</v>
      </c>
      <c r="I227" s="59">
        <f>I52+I55+I58</f>
        <v>0</v>
      </c>
      <c r="J227" s="59">
        <f>J52+J55+J58</f>
        <v>0</v>
      </c>
    </row>
    <row r="228" spans="1:10" ht="139.5" customHeight="1">
      <c r="A228" s="67"/>
      <c r="B228" s="61"/>
      <c r="C228" s="61"/>
      <c r="D228" s="60"/>
      <c r="E228" s="10" t="s">
        <v>400</v>
      </c>
      <c r="F228" s="31" t="s">
        <v>376</v>
      </c>
      <c r="G228" s="59">
        <f>G40+G41+G42+G43+G47</f>
        <v>32572000</v>
      </c>
      <c r="H228" s="59">
        <f>H40+H41+H42+H43+H47</f>
        <v>10000000</v>
      </c>
      <c r="I228" s="59">
        <f>I40+I41+I42+I43+I47</f>
        <v>22572000</v>
      </c>
      <c r="J228" s="59">
        <f>J40+J41+J42+J43+J47</f>
        <v>22572000</v>
      </c>
    </row>
    <row r="229" spans="1:10" ht="183" customHeight="1">
      <c r="A229" s="67"/>
      <c r="B229" s="61"/>
      <c r="C229" s="61"/>
      <c r="D229" s="60"/>
      <c r="E229" s="10" t="s">
        <v>426</v>
      </c>
      <c r="F229" s="10" t="s">
        <v>498</v>
      </c>
      <c r="G229" s="59">
        <f>G44+G69</f>
        <v>20082850</v>
      </c>
      <c r="H229" s="59">
        <f>H44+H69</f>
        <v>14032850</v>
      </c>
      <c r="I229" s="59">
        <f>I44+I69</f>
        <v>6050000</v>
      </c>
      <c r="J229" s="59">
        <f>J44+J69</f>
        <v>6050000</v>
      </c>
    </row>
    <row r="230" spans="1:10" ht="132.75">
      <c r="A230" s="67"/>
      <c r="B230" s="61"/>
      <c r="C230" s="61"/>
      <c r="D230" s="60"/>
      <c r="E230" s="10" t="s">
        <v>457</v>
      </c>
      <c r="F230" s="31" t="s">
        <v>392</v>
      </c>
      <c r="G230" s="59">
        <f>G29+G64+G67+G78+G107+G108+G109+G110+G111+G112+G113+G114+G116+G118+G119+G121+G124</f>
        <v>84692843</v>
      </c>
      <c r="H230" s="59">
        <f>H29+H64+H67+H78+H107+H108+H109+H110+H111+H112+H113+H114+H116+H118+H119+H121+H124</f>
        <v>84657203</v>
      </c>
      <c r="I230" s="59">
        <f>I29+I64+I67+I78+I107+I108+I109+I110+I111+I112+I113+I114+I116+I118+I119+I121+I124</f>
        <v>35640</v>
      </c>
      <c r="J230" s="59">
        <f>J29+J64+J67+J78+J107+J108+J109+J110+J111+J112+J113+J114+J116+J118+J119+J121+J124</f>
        <v>35640</v>
      </c>
    </row>
    <row r="231" spans="1:10" ht="132.75">
      <c r="A231" s="67"/>
      <c r="B231" s="61"/>
      <c r="C231" s="61"/>
      <c r="D231" s="60"/>
      <c r="E231" s="10" t="s">
        <v>416</v>
      </c>
      <c r="F231" s="31" t="s">
        <v>419</v>
      </c>
      <c r="G231" s="62">
        <f>G21</f>
        <v>100000</v>
      </c>
      <c r="H231" s="62">
        <f>H21</f>
        <v>100000</v>
      </c>
      <c r="I231" s="62">
        <f>I21</f>
        <v>0</v>
      </c>
      <c r="J231" s="62">
        <f>J21</f>
        <v>0</v>
      </c>
    </row>
    <row r="232" spans="1:10" ht="165" customHeight="1">
      <c r="A232" s="67"/>
      <c r="B232" s="61"/>
      <c r="C232" s="61"/>
      <c r="D232" s="60"/>
      <c r="E232" s="10" t="s">
        <v>474</v>
      </c>
      <c r="F232" s="10" t="s">
        <v>405</v>
      </c>
      <c r="G232" s="62">
        <f>G131+G132+G133+G134+G135</f>
        <v>3883488</v>
      </c>
      <c r="H232" s="62">
        <f>H131+H132+H133+H134+H135</f>
        <v>3024693</v>
      </c>
      <c r="I232" s="62">
        <f>I131+I132+I133+I134+I135</f>
        <v>858795</v>
      </c>
      <c r="J232" s="62">
        <f>J131+J132+J133+J134+J135</f>
        <v>858795</v>
      </c>
    </row>
    <row r="233" spans="1:10" ht="132.75">
      <c r="A233" s="67"/>
      <c r="B233" s="61"/>
      <c r="C233" s="61"/>
      <c r="D233" s="60"/>
      <c r="E233" s="10" t="s">
        <v>352</v>
      </c>
      <c r="F233" s="31" t="s">
        <v>377</v>
      </c>
      <c r="G233" s="59">
        <f>G25+G28</f>
        <v>1327395</v>
      </c>
      <c r="H233" s="59">
        <f>H25+H28</f>
        <v>1327395</v>
      </c>
      <c r="I233" s="59">
        <f>I25+I28</f>
        <v>0</v>
      </c>
      <c r="J233" s="59">
        <f>J25+J28</f>
        <v>0</v>
      </c>
    </row>
    <row r="234" spans="1:10" s="70" customFormat="1" ht="192" customHeight="1">
      <c r="A234" s="67"/>
      <c r="B234" s="68"/>
      <c r="C234" s="68"/>
      <c r="D234" s="69"/>
      <c r="E234" s="10" t="s">
        <v>436</v>
      </c>
      <c r="F234" s="31" t="s">
        <v>459</v>
      </c>
      <c r="G234" s="59">
        <f>G80+G127+G128+G176</f>
        <v>162990</v>
      </c>
      <c r="H234" s="59">
        <f>H80+H127+H128+H176</f>
        <v>142990</v>
      </c>
      <c r="I234" s="59">
        <f>I80+I127+I128+I176</f>
        <v>20000</v>
      </c>
      <c r="J234" s="59">
        <f>J80+J127+J128+J176</f>
        <v>20000</v>
      </c>
    </row>
    <row r="235" spans="1:10" ht="177">
      <c r="A235" s="67"/>
      <c r="B235" s="61"/>
      <c r="C235" s="61"/>
      <c r="D235" s="60"/>
      <c r="E235" s="10" t="s">
        <v>449</v>
      </c>
      <c r="F235" s="31" t="s">
        <v>450</v>
      </c>
      <c r="G235" s="59">
        <f>G51</f>
        <v>2444100</v>
      </c>
      <c r="H235" s="59">
        <f>H51</f>
        <v>284500</v>
      </c>
      <c r="I235" s="59">
        <f>I51</f>
        <v>2159600</v>
      </c>
      <c r="J235" s="59">
        <f>J51</f>
        <v>2159600</v>
      </c>
    </row>
    <row r="236" spans="1:10" ht="88.5" customHeight="1">
      <c r="A236" s="67"/>
      <c r="B236" s="61"/>
      <c r="C236" s="61"/>
      <c r="D236" s="60"/>
      <c r="E236" s="10" t="s">
        <v>479</v>
      </c>
      <c r="F236" s="31" t="s">
        <v>403</v>
      </c>
      <c r="G236" s="59">
        <f>G23+G26+G27+G31+G77</f>
        <v>5857625</v>
      </c>
      <c r="H236" s="59">
        <f>H23+H26+H27+H31+H77</f>
        <v>5857625</v>
      </c>
      <c r="I236" s="59">
        <f>I23+I26+I27+I31+I77</f>
        <v>0</v>
      </c>
      <c r="J236" s="59">
        <f>J23+J26+J27+J31+J77</f>
        <v>0</v>
      </c>
    </row>
    <row r="237" spans="1:10" ht="237" customHeight="1">
      <c r="A237" s="67"/>
      <c r="B237" s="61"/>
      <c r="C237" s="61"/>
      <c r="D237" s="60"/>
      <c r="E237" s="10" t="s">
        <v>421</v>
      </c>
      <c r="F237" s="31" t="s">
        <v>471</v>
      </c>
      <c r="G237" s="59">
        <f>G20</f>
        <v>210000</v>
      </c>
      <c r="H237" s="59">
        <f>H20</f>
        <v>210000</v>
      </c>
      <c r="I237" s="59">
        <f>I20</f>
        <v>0</v>
      </c>
      <c r="J237" s="59">
        <f>J20</f>
        <v>0</v>
      </c>
    </row>
    <row r="238" spans="1:10" ht="201.75" customHeight="1">
      <c r="A238" s="67"/>
      <c r="B238" s="61"/>
      <c r="C238" s="61"/>
      <c r="D238" s="60"/>
      <c r="E238" s="12" t="s">
        <v>445</v>
      </c>
      <c r="F238" s="10" t="s">
        <v>494</v>
      </c>
      <c r="G238" s="59">
        <f>G48+G104+G123+G152+G175+G178+G179+G180+G181+G182+G183+G184+G185+G186+G187+G188+G190+G192+G204+G211+G213+G214+G216+G217+G218+G219+G220</f>
        <v>101047222.68</v>
      </c>
      <c r="H238" s="59">
        <f>H48+H104+H123+H152+H175+H178+H179+H180+H181+H182+H183+H184+H185+H186+H187+H188+H190+H192+H204+H211+H213+H214+H216+H217+H218+H219+H220</f>
        <v>20450154.39</v>
      </c>
      <c r="I238" s="59">
        <f>I48+I104+I123+I152+I175+I178+I179+I180+I181+I182+I183+I184+I185+I186+I187+I188+I190+I192+I204+I211+I213+I214+I216+I217+I218+I219+I220</f>
        <v>80597068.28999999</v>
      </c>
      <c r="J238" s="59">
        <f>J48+J104+J123+J152+J175+J178+J179+J180+J181+J182+J183+J184+J185+J186+J187+J188+J190+J192+J204+J211+J213+J214+J216+J217+J218+J219+J220</f>
        <v>80597068.28999999</v>
      </c>
    </row>
    <row r="239" spans="1:10" ht="88.5">
      <c r="A239" s="67"/>
      <c r="B239" s="61"/>
      <c r="C239" s="61"/>
      <c r="D239" s="60"/>
      <c r="E239" s="10" t="s">
        <v>351</v>
      </c>
      <c r="F239" s="10" t="s">
        <v>378</v>
      </c>
      <c r="G239" s="59">
        <f>G120+G141</f>
        <v>200000</v>
      </c>
      <c r="H239" s="59">
        <f>H120+H141</f>
        <v>200000</v>
      </c>
      <c r="I239" s="59">
        <f>I120+I141</f>
        <v>0</v>
      </c>
      <c r="J239" s="59">
        <f>J120+J141</f>
        <v>0</v>
      </c>
    </row>
    <row r="240" spans="1:10" ht="94.5" customHeight="1">
      <c r="A240" s="67"/>
      <c r="B240" s="61"/>
      <c r="C240" s="61"/>
      <c r="D240" s="60"/>
      <c r="E240" s="12" t="s">
        <v>225</v>
      </c>
      <c r="F240" s="12" t="s">
        <v>355</v>
      </c>
      <c r="G240" s="59">
        <f>G177+G194+G195</f>
        <v>2072766.06</v>
      </c>
      <c r="H240" s="59">
        <f>H177+H194+H195</f>
        <v>1500000</v>
      </c>
      <c r="I240" s="59">
        <f>I177+I194+I195</f>
        <v>572766.06</v>
      </c>
      <c r="J240" s="59">
        <f>J177+J194+J195</f>
        <v>0</v>
      </c>
    </row>
    <row r="241" spans="1:10" ht="309.75" customHeight="1">
      <c r="A241" s="67"/>
      <c r="B241" s="61"/>
      <c r="C241" s="61"/>
      <c r="D241" s="60"/>
      <c r="E241" s="10" t="s">
        <v>374</v>
      </c>
      <c r="F241" s="10" t="s">
        <v>375</v>
      </c>
      <c r="G241" s="59">
        <f>G153</f>
        <v>579084</v>
      </c>
      <c r="H241" s="59">
        <f>H153</f>
        <v>579084</v>
      </c>
      <c r="I241" s="59">
        <f>I153</f>
        <v>0</v>
      </c>
      <c r="J241" s="59">
        <f>J153</f>
        <v>0</v>
      </c>
    </row>
    <row r="242" spans="1:10" ht="153" customHeight="1">
      <c r="A242" s="67"/>
      <c r="B242" s="61"/>
      <c r="C242" s="61"/>
      <c r="D242" s="60"/>
      <c r="E242" s="12" t="s">
        <v>475</v>
      </c>
      <c r="F242" s="10" t="s">
        <v>391</v>
      </c>
      <c r="G242" s="59">
        <f>G53+G85+G103+G137+G144+G150+G155+G157+G159+G162+G166+G168+G169+G215</f>
        <v>37559755.45</v>
      </c>
      <c r="H242" s="59">
        <f>H53+H85+H103+H137+H144+H150+H155+H157+H159+H162+H166+H168+H169+H215</f>
        <v>0</v>
      </c>
      <c r="I242" s="59">
        <f>I53+I85+I103+I137+I144+I150+I155+I157+I159+I162+I166+I168+I169+I215</f>
        <v>37559755.45</v>
      </c>
      <c r="J242" s="59">
        <f>J53+J85+J103+J137+J144+J150+J155+J157+J159+J162+J166+J168+J169+J215</f>
        <v>31200212</v>
      </c>
    </row>
    <row r="243" spans="1:10" ht="177">
      <c r="A243" s="67"/>
      <c r="B243" s="61"/>
      <c r="C243" s="61"/>
      <c r="D243" s="60"/>
      <c r="E243" s="10" t="s">
        <v>425</v>
      </c>
      <c r="F243" s="31" t="s">
        <v>492</v>
      </c>
      <c r="G243" s="59">
        <f>G30+G65+G68+G79+G86+G90+G92+G94+G99+G115+G117+G122+G125</f>
        <v>34194053</v>
      </c>
      <c r="H243" s="59">
        <f>H30+H65+H68+H79+H86+H90+H92+H94+H99+H115+H117+H122+H125</f>
        <v>34194053</v>
      </c>
      <c r="I243" s="59">
        <f>I30+I65+I68+I79+I86+I90+I92+I94+I99+I115+I117+I122+I125</f>
        <v>0</v>
      </c>
      <c r="J243" s="59">
        <f>J30+J65+J68+J79+J86+J90+J92+J94+J99+J115+J117+J122+J125</f>
        <v>0</v>
      </c>
    </row>
    <row r="244" spans="1:10" ht="141.75" customHeight="1">
      <c r="A244" s="67"/>
      <c r="B244" s="61"/>
      <c r="C244" s="61"/>
      <c r="D244" s="60"/>
      <c r="E244" s="10" t="s">
        <v>444</v>
      </c>
      <c r="F244" s="10" t="s">
        <v>477</v>
      </c>
      <c r="G244" s="59">
        <f>G46+G49+G83+G84+G101+G102+G136+G191+G212</f>
        <v>117437565.91</v>
      </c>
      <c r="H244" s="59">
        <f>H46+H49+H83+H84+H101+H102+H136+H191+H212</f>
        <v>2932811</v>
      </c>
      <c r="I244" s="59">
        <f>I46+I49+I83+I84+I101+I102+I136+I191+I212</f>
        <v>114504754.91</v>
      </c>
      <c r="J244" s="59">
        <f>J46+J49+J83+J84+J101+J102+J136+J191+J212</f>
        <v>103883302.91</v>
      </c>
    </row>
    <row r="245" spans="1:10" ht="147.75" customHeight="1">
      <c r="A245" s="67"/>
      <c r="B245" s="61"/>
      <c r="C245" s="61"/>
      <c r="D245" s="60"/>
      <c r="E245" s="10" t="s">
        <v>363</v>
      </c>
      <c r="F245" s="10" t="s">
        <v>396</v>
      </c>
      <c r="G245" s="59">
        <f>G199+G201</f>
        <v>2263878.54</v>
      </c>
      <c r="H245" s="59">
        <f>H199+H201</f>
        <v>0</v>
      </c>
      <c r="I245" s="59">
        <f>I199+I201</f>
        <v>2263878.54</v>
      </c>
      <c r="J245" s="59">
        <f>J199+J201</f>
        <v>0</v>
      </c>
    </row>
    <row r="246" spans="1:10" ht="153.75" customHeight="1">
      <c r="A246" s="67"/>
      <c r="B246" s="61"/>
      <c r="C246" s="61"/>
      <c r="D246" s="60"/>
      <c r="E246" s="10" t="s">
        <v>465</v>
      </c>
      <c r="F246" s="31" t="s">
        <v>406</v>
      </c>
      <c r="G246" s="59">
        <f>G34+G35+G36+G37+G38+G39+G81</f>
        <v>48193590</v>
      </c>
      <c r="H246" s="59">
        <f>H34+H35+H36+H37+H38+H39+H81</f>
        <v>45771470</v>
      </c>
      <c r="I246" s="59">
        <f>I34+I35+I36+I37+I38+I39+I81</f>
        <v>2422120</v>
      </c>
      <c r="J246" s="59">
        <f>J34+J35+J36+J37+J38+J39+J81</f>
        <v>2243000</v>
      </c>
    </row>
    <row r="247" spans="1:10" ht="198" customHeight="1">
      <c r="A247" s="67"/>
      <c r="B247" s="61"/>
      <c r="C247" s="61"/>
      <c r="D247" s="60"/>
      <c r="E247" s="12" t="s">
        <v>451</v>
      </c>
      <c r="F247" s="10" t="s">
        <v>470</v>
      </c>
      <c r="G247" s="59">
        <f>G145</f>
        <v>13608448.83</v>
      </c>
      <c r="H247" s="59">
        <f>H145</f>
        <v>200000</v>
      </c>
      <c r="I247" s="59">
        <f>I145</f>
        <v>13408448.83</v>
      </c>
      <c r="J247" s="59">
        <f>J145</f>
        <v>13358448.83</v>
      </c>
    </row>
    <row r="248" spans="1:10" ht="172.5" customHeight="1">
      <c r="A248" s="67"/>
      <c r="B248" s="61"/>
      <c r="C248" s="61"/>
      <c r="D248" s="60"/>
      <c r="E248" s="10" t="s">
        <v>423</v>
      </c>
      <c r="F248" s="10" t="s">
        <v>476</v>
      </c>
      <c r="G248" s="59">
        <f>G45+G205+G209</f>
        <v>1235000</v>
      </c>
      <c r="H248" s="59">
        <f>H45+H205+H209</f>
        <v>1235000</v>
      </c>
      <c r="I248" s="59">
        <f>I45+I205+I209</f>
        <v>0</v>
      </c>
      <c r="J248" s="59">
        <f>J45+J205+J209</f>
        <v>0</v>
      </c>
    </row>
    <row r="249" ht="38.25" customHeight="1" hidden="1"/>
    <row r="250" ht="38.25" customHeight="1" hidden="1"/>
    <row r="251" ht="38.25" customHeight="1" hidden="1"/>
    <row r="252" spans="1:10" s="65" customFormat="1" ht="43.5" customHeight="1" hidden="1">
      <c r="A252" s="63"/>
      <c r="B252" s="63"/>
      <c r="C252" s="63"/>
      <c r="D252" s="64"/>
      <c r="E252" s="63"/>
      <c r="F252" s="63"/>
      <c r="G252" s="66" t="e">
        <f>G221-#REF!</f>
        <v>#REF!</v>
      </c>
      <c r="H252" s="66" t="e">
        <f>H221-#REF!</f>
        <v>#REF!</v>
      </c>
      <c r="I252" s="66" t="e">
        <f>I221-#REF!</f>
        <v>#REF!</v>
      </c>
      <c r="J252" s="66" t="e">
        <f>J221-#REF!</f>
        <v>#REF!</v>
      </c>
    </row>
    <row r="253" ht="38.25" customHeight="1" hidden="1"/>
    <row r="254" spans="7:10" ht="62.25" customHeight="1">
      <c r="G254" s="78"/>
      <c r="H254" s="78"/>
      <c r="I254" s="78"/>
      <c r="J254" s="78"/>
    </row>
    <row r="255" spans="7:10" ht="77.25" customHeight="1">
      <c r="G255" s="79"/>
      <c r="H255" s="79"/>
      <c r="I255" s="79"/>
      <c r="J255" s="79"/>
    </row>
    <row r="256" spans="7:10" ht="77.25" customHeight="1">
      <c r="G256" s="80"/>
      <c r="H256" s="80"/>
      <c r="I256" s="80"/>
      <c r="J256" s="80"/>
    </row>
    <row r="257" spans="7:9" ht="38.25" customHeight="1">
      <c r="G257" s="119"/>
      <c r="H257" s="119"/>
      <c r="I257" s="119"/>
    </row>
    <row r="258" spans="1:10" s="47" customFormat="1" ht="100.5" customHeight="1">
      <c r="A258" s="95" t="s">
        <v>490</v>
      </c>
      <c r="B258" s="95"/>
      <c r="C258" s="95"/>
      <c r="D258" s="95"/>
      <c r="E258" s="52"/>
      <c r="F258" s="45"/>
      <c r="G258" s="118"/>
      <c r="H258" s="118"/>
      <c r="I258" s="81" t="s">
        <v>489</v>
      </c>
      <c r="J258" s="46"/>
    </row>
    <row r="260" spans="1:2" ht="64.5">
      <c r="A260" s="73" t="s">
        <v>488</v>
      </c>
      <c r="B260" s="71"/>
    </row>
    <row r="261" spans="1:2" ht="64.5">
      <c r="A261" s="74"/>
      <c r="B261" s="71"/>
    </row>
    <row r="265" spans="7:10" ht="38.25">
      <c r="G265" s="75"/>
      <c r="H265" s="75"/>
      <c r="I265" s="75"/>
      <c r="J265" s="75"/>
    </row>
  </sheetData>
  <sheetProtection/>
  <mergeCells count="129">
    <mergeCell ref="G3:K3"/>
    <mergeCell ref="G2:K2"/>
    <mergeCell ref="D58:D60"/>
    <mergeCell ref="C93:C94"/>
    <mergeCell ref="B143:B144"/>
    <mergeCell ref="C143:C144"/>
    <mergeCell ref="C82:C83"/>
    <mergeCell ref="C89:C90"/>
    <mergeCell ref="D124:D125"/>
    <mergeCell ref="D114:D115"/>
    <mergeCell ref="A154:A155"/>
    <mergeCell ref="B154:B155"/>
    <mergeCell ref="B151:B153"/>
    <mergeCell ref="A151:A153"/>
    <mergeCell ref="C154:C155"/>
    <mergeCell ref="D140:D141"/>
    <mergeCell ref="C140:C141"/>
    <mergeCell ref="C149:C150"/>
    <mergeCell ref="D143:D144"/>
    <mergeCell ref="D149:D150"/>
    <mergeCell ref="A156:A157"/>
    <mergeCell ref="B156:B157"/>
    <mergeCell ref="D82:D83"/>
    <mergeCell ref="B91:B92"/>
    <mergeCell ref="C98:C99"/>
    <mergeCell ref="D89:D90"/>
    <mergeCell ref="D121:D122"/>
    <mergeCell ref="D116:D117"/>
    <mergeCell ref="C156:C157"/>
    <mergeCell ref="D156:D157"/>
    <mergeCell ref="A58:A60"/>
    <mergeCell ref="B58:B60"/>
    <mergeCell ref="A63:A65"/>
    <mergeCell ref="A89:A90"/>
    <mergeCell ref="A77:A79"/>
    <mergeCell ref="A82:A83"/>
    <mergeCell ref="A66:A69"/>
    <mergeCell ref="B66:B69"/>
    <mergeCell ref="A114:A115"/>
    <mergeCell ref="B82:B83"/>
    <mergeCell ref="B77:B79"/>
    <mergeCell ref="B89:B90"/>
    <mergeCell ref="A91:A92"/>
    <mergeCell ref="A93:A94"/>
    <mergeCell ref="A98:A99"/>
    <mergeCell ref="A116:A117"/>
    <mergeCell ref="B63:B65"/>
    <mergeCell ref="A149:A150"/>
    <mergeCell ref="B121:B122"/>
    <mergeCell ref="A124:A125"/>
    <mergeCell ref="A143:A144"/>
    <mergeCell ref="A121:A122"/>
    <mergeCell ref="B124:B125"/>
    <mergeCell ref="B140:B141"/>
    <mergeCell ref="B149:B150"/>
    <mergeCell ref="B55:B57"/>
    <mergeCell ref="C55:C57"/>
    <mergeCell ref="B48:B49"/>
    <mergeCell ref="A55:A57"/>
    <mergeCell ref="A29:A30"/>
    <mergeCell ref="A140:A141"/>
    <mergeCell ref="B116:B117"/>
    <mergeCell ref="B98:B99"/>
    <mergeCell ref="B114:B115"/>
    <mergeCell ref="B93:B94"/>
    <mergeCell ref="D23:D24"/>
    <mergeCell ref="B29:B30"/>
    <mergeCell ref="A20:A21"/>
    <mergeCell ref="B20:B21"/>
    <mergeCell ref="C20:C21"/>
    <mergeCell ref="A48:A49"/>
    <mergeCell ref="C29:C30"/>
    <mergeCell ref="C48:C49"/>
    <mergeCell ref="C16:C17"/>
    <mergeCell ref="D91:D92"/>
    <mergeCell ref="C91:C92"/>
    <mergeCell ref="A16:A17"/>
    <mergeCell ref="D20:D21"/>
    <mergeCell ref="A23:A24"/>
    <mergeCell ref="B16:B17"/>
    <mergeCell ref="D16:D17"/>
    <mergeCell ref="B23:B24"/>
    <mergeCell ref="C23:C24"/>
    <mergeCell ref="D154:D155"/>
    <mergeCell ref="D98:D99"/>
    <mergeCell ref="D66:D69"/>
    <mergeCell ref="C116:C117"/>
    <mergeCell ref="C114:C115"/>
    <mergeCell ref="D29:D30"/>
    <mergeCell ref="C180:C181"/>
    <mergeCell ref="D200:D201"/>
    <mergeCell ref="C63:C65"/>
    <mergeCell ref="C58:C60"/>
    <mergeCell ref="A11:J11"/>
    <mergeCell ref="I16:J16"/>
    <mergeCell ref="G16:G17"/>
    <mergeCell ref="H16:H17"/>
    <mergeCell ref="F16:F17"/>
    <mergeCell ref="A13:B13"/>
    <mergeCell ref="C124:C125"/>
    <mergeCell ref="B221:E221"/>
    <mergeCell ref="A14:B14"/>
    <mergeCell ref="E16:E17"/>
    <mergeCell ref="A258:D258"/>
    <mergeCell ref="A180:A181"/>
    <mergeCell ref="A200:A201"/>
    <mergeCell ref="B200:B201"/>
    <mergeCell ref="D161:D162"/>
    <mergeCell ref="C200:C201"/>
    <mergeCell ref="D48:D49"/>
    <mergeCell ref="C151:C153"/>
    <mergeCell ref="C161:C162"/>
    <mergeCell ref="C66:C69"/>
    <mergeCell ref="B180:B181"/>
    <mergeCell ref="D180:D181"/>
    <mergeCell ref="B161:B162"/>
    <mergeCell ref="C121:C122"/>
    <mergeCell ref="D77:D79"/>
    <mergeCell ref="D63:D65"/>
    <mergeCell ref="G4:K4"/>
    <mergeCell ref="G7:K7"/>
    <mergeCell ref="G5:K5"/>
    <mergeCell ref="G6:K6"/>
    <mergeCell ref="A161:A162"/>
    <mergeCell ref="C77:C79"/>
    <mergeCell ref="D151:D153"/>
    <mergeCell ref="D93:D94"/>
    <mergeCell ref="D55:D57"/>
    <mergeCell ref="G8:K8"/>
  </mergeCells>
  <printOptions horizontalCentered="1"/>
  <pageMargins left="0.03937007874015748" right="0.03937007874015748" top="0.6299212598425197" bottom="0.3937007874015748" header="0.4330708661417323" footer="0"/>
  <pageSetup firstPageNumber="1" useFirstPageNumber="1" fitToHeight="100" horizontalDpi="600" verticalDpi="600" orientation="landscape" paperSize="9" scale="19" r:id="rId1"/>
  <headerFooter scaleWithDoc="0" alignWithMargins="0">
    <oddHeader>&amp;R
</oddHeader>
    <oddFooter>&amp;RСторінка &amp;P</oddFooter>
  </headerFooter>
  <rowBreaks count="1" manualBreakCount="1">
    <brk id="1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2020-02-28T09:36:11Z</cp:lastPrinted>
  <dcterms:created xsi:type="dcterms:W3CDTF">2014-01-17T10:52:16Z</dcterms:created>
  <dcterms:modified xsi:type="dcterms:W3CDTF">2020-02-28T09:37:49Z</dcterms:modified>
  <cp:category/>
  <cp:version/>
  <cp:contentType/>
  <cp:contentStatus/>
</cp:coreProperties>
</file>