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0" yWindow="0" windowWidth="19440" windowHeight="11760" firstSheet="1" activeTab="2"/>
  </bookViews>
  <sheets>
    <sheet name="Додаток 1" sheetId="10" state="hidden" r:id="rId1"/>
    <sheet name="Додаток 2" sheetId="24" r:id="rId2"/>
    <sheet name="Додаток 3" sheetId="25" r:id="rId3"/>
    <sheet name="Додаток 4" sheetId="14" r:id="rId4"/>
    <sheet name="Лист1" sheetId="26" r:id="rId5"/>
  </sheets>
  <externalReferences>
    <externalReference r:id="rId6"/>
  </externalReferences>
  <definedNames>
    <definedName name="_xlnm._FilterDatabase" localSheetId="2" hidden="1">'Додаток 3'!$A$7:$L$433</definedName>
    <definedName name="_xlnm.Print_Titles" localSheetId="2">'Додаток 3'!$7:$10</definedName>
    <definedName name="_xlnm.Print_Titles" localSheetId="3">'Додаток 4'!$6:$10</definedName>
    <definedName name="_xlnm.Print_Area" localSheetId="0">'Додаток 1'!$A$1:$C$28</definedName>
    <definedName name="_xlnm.Print_Area" localSheetId="1">'Додаток 2'!$A$1:$E$29</definedName>
    <definedName name="_xlnm.Print_Area" localSheetId="2">'Додаток 3'!$A$2:$L$438</definedName>
    <definedName name="_xlnm.Print_Area" localSheetId="3">'Додаток 4'!$A$1:$K$326</definedName>
  </definedNames>
  <calcPr calcId="125725"/>
</workbook>
</file>

<file path=xl/calcChain.xml><?xml version="1.0" encoding="utf-8"?>
<calcChain xmlns="http://schemas.openxmlformats.org/spreadsheetml/2006/main">
  <c r="K325" i="25"/>
  <c r="J330"/>
  <c r="J324" s="1"/>
  <c r="K198" l="1"/>
  <c r="K115"/>
  <c r="J115"/>
  <c r="K323"/>
  <c r="J323"/>
  <c r="J163"/>
  <c r="I239"/>
  <c r="I240"/>
  <c r="I235"/>
  <c r="I230"/>
  <c r="I229"/>
  <c r="I172"/>
  <c r="I175"/>
  <c r="I174"/>
  <c r="I108"/>
  <c r="I106"/>
  <c r="I105" s="1"/>
  <c r="I30"/>
  <c r="I29"/>
  <c r="I31"/>
  <c r="I66"/>
  <c r="I17" l="1"/>
  <c r="J25" l="1"/>
  <c r="K25"/>
  <c r="J86" l="1"/>
  <c r="K86"/>
  <c r="J87"/>
  <c r="K87"/>
  <c r="J26"/>
  <c r="J21"/>
  <c r="K21"/>
  <c r="I21"/>
  <c r="H22"/>
  <c r="J18"/>
  <c r="H23"/>
  <c r="J105"/>
  <c r="H21" l="1"/>
  <c r="J28"/>
  <c r="J61"/>
  <c r="J45"/>
  <c r="J40"/>
  <c r="J35"/>
  <c r="J85" s="1"/>
  <c r="J15"/>
  <c r="J12"/>
  <c r="J90"/>
  <c r="J127"/>
  <c r="J183"/>
  <c r="J318"/>
  <c r="J188"/>
  <c r="R152"/>
  <c r="R153"/>
  <c r="Q153"/>
  <c r="Q152"/>
  <c r="I188"/>
  <c r="I112"/>
  <c r="I70"/>
  <c r="J70"/>
  <c r="K70"/>
  <c r="H73"/>
  <c r="J114"/>
  <c r="K114"/>
  <c r="J227"/>
  <c r="J158"/>
  <c r="J151"/>
  <c r="I75"/>
  <c r="J75"/>
  <c r="K75"/>
  <c r="H81"/>
  <c r="H82"/>
  <c r="H77"/>
  <c r="H78"/>
  <c r="H79"/>
  <c r="H80"/>
  <c r="H237"/>
  <c r="J276" l="1"/>
  <c r="J24"/>
  <c r="J27"/>
  <c r="I231"/>
  <c r="I199"/>
  <c r="K324" l="1"/>
  <c r="H325"/>
  <c r="H326"/>
  <c r="I227"/>
  <c r="H205"/>
  <c r="H76"/>
  <c r="H75" s="1"/>
  <c r="H74"/>
  <c r="I241" l="1"/>
  <c r="I207"/>
  <c r="I43" l="1"/>
  <c r="I40" s="1"/>
  <c r="I28"/>
  <c r="I98" l="1"/>
  <c r="K359" l="1"/>
  <c r="K349"/>
  <c r="I115"/>
  <c r="I114" s="1"/>
  <c r="H115"/>
  <c r="I330" l="1"/>
  <c r="I338"/>
  <c r="J338"/>
  <c r="K338"/>
  <c r="H342"/>
  <c r="I233"/>
  <c r="I159"/>
  <c r="I50"/>
  <c r="J254"/>
  <c r="I255"/>
  <c r="H240"/>
  <c r="I206"/>
  <c r="I204" l="1"/>
  <c r="I203"/>
  <c r="I119"/>
  <c r="K26" l="1"/>
  <c r="H20"/>
  <c r="I202"/>
  <c r="I103"/>
  <c r="I95"/>
  <c r="I169"/>
  <c r="I170"/>
  <c r="C306" i="14" l="1"/>
  <c r="I245" i="25"/>
  <c r="I257" s="1"/>
  <c r="I329" l="1"/>
  <c r="I324" s="1"/>
  <c r="I228"/>
  <c r="I254" s="1"/>
  <c r="I226"/>
  <c r="E14" i="14"/>
  <c r="H14"/>
  <c r="K14"/>
  <c r="D120"/>
  <c r="C120" s="1"/>
  <c r="C122" s="1"/>
  <c r="I120"/>
  <c r="F120"/>
  <c r="I104" i="25"/>
  <c r="I149" s="1"/>
  <c r="I310" s="1"/>
  <c r="I426" s="1"/>
  <c r="J104"/>
  <c r="J149" s="1"/>
  <c r="J310" s="1"/>
  <c r="J426" s="1"/>
  <c r="K104"/>
  <c r="K149" s="1"/>
  <c r="K310" s="1"/>
  <c r="K426" s="1"/>
  <c r="H67"/>
  <c r="H104" s="1"/>
  <c r="H149" s="1"/>
  <c r="H310" s="1"/>
  <c r="H426" s="1"/>
  <c r="I232"/>
  <c r="I73" i="14"/>
  <c r="F73"/>
  <c r="C73"/>
  <c r="I72"/>
  <c r="F72"/>
  <c r="C72"/>
  <c r="I71"/>
  <c r="F71"/>
  <c r="C71"/>
  <c r="I70"/>
  <c r="F70"/>
  <c r="C70"/>
  <c r="I225" i="25" l="1"/>
  <c r="I210"/>
  <c r="B120" i="14"/>
  <c r="I82"/>
  <c r="F82"/>
  <c r="C82"/>
  <c r="I369" i="25"/>
  <c r="J369"/>
  <c r="K369"/>
  <c r="I432"/>
  <c r="J432"/>
  <c r="K432"/>
  <c r="J257"/>
  <c r="K257"/>
  <c r="I248"/>
  <c r="I264"/>
  <c r="I431" s="1"/>
  <c r="J264"/>
  <c r="J431" s="1"/>
  <c r="K264"/>
  <c r="K431" s="1"/>
  <c r="H336"/>
  <c r="H432" s="1"/>
  <c r="K335"/>
  <c r="J335"/>
  <c r="I335"/>
  <c r="H335"/>
  <c r="I249"/>
  <c r="I273" s="1"/>
  <c r="I315" s="1"/>
  <c r="J249"/>
  <c r="J273" s="1"/>
  <c r="J315" s="1"/>
  <c r="K249"/>
  <c r="K273" s="1"/>
  <c r="K315" s="1"/>
  <c r="H245"/>
  <c r="I14"/>
  <c r="I26" s="1"/>
  <c r="C133" i="14"/>
  <c r="C143"/>
  <c r="J263"/>
  <c r="G263"/>
  <c r="D263"/>
  <c r="C263" s="1"/>
  <c r="C185"/>
  <c r="C184"/>
  <c r="H369" i="25" l="1"/>
  <c r="K368"/>
  <c r="J368"/>
  <c r="I368"/>
  <c r="C100" i="14"/>
  <c r="J248" i="25"/>
  <c r="K248"/>
  <c r="J225"/>
  <c r="K225"/>
  <c r="J233"/>
  <c r="K233"/>
  <c r="I218"/>
  <c r="J218"/>
  <c r="K218"/>
  <c r="H196"/>
  <c r="I211"/>
  <c r="J211"/>
  <c r="K211"/>
  <c r="I197"/>
  <c r="J197"/>
  <c r="K197"/>
  <c r="H199"/>
  <c r="I191"/>
  <c r="I167"/>
  <c r="I163"/>
  <c r="I158"/>
  <c r="I154"/>
  <c r="I151"/>
  <c r="I61"/>
  <c r="D104" i="14" s="1"/>
  <c r="J224" i="25" l="1"/>
  <c r="K224"/>
  <c r="I224"/>
  <c r="E302" i="14" s="1"/>
  <c r="C302" s="1"/>
  <c r="C310" s="1"/>
  <c r="H33" i="25"/>
  <c r="D154" i="14" l="1"/>
  <c r="I350" i="25"/>
  <c r="I263" i="14"/>
  <c r="I267" s="1"/>
  <c r="F263"/>
  <c r="F267" l="1"/>
  <c r="B263"/>
  <c r="E249" l="1"/>
  <c r="H249"/>
  <c r="K249"/>
  <c r="D277" l="1"/>
  <c r="J270"/>
  <c r="G270"/>
  <c r="D270"/>
  <c r="C260"/>
  <c r="J253"/>
  <c r="G253"/>
  <c r="D253"/>
  <c r="E163"/>
  <c r="H163"/>
  <c r="K163"/>
  <c r="F232"/>
  <c r="I232"/>
  <c r="C232"/>
  <c r="G249" l="1"/>
  <c r="J249"/>
  <c r="J219"/>
  <c r="G219"/>
  <c r="D219"/>
  <c r="C216"/>
  <c r="J203"/>
  <c r="I203" s="1"/>
  <c r="I207" s="1"/>
  <c r="G203"/>
  <c r="F203" s="1"/>
  <c r="F207" s="1"/>
  <c r="D203"/>
  <c r="C203" s="1"/>
  <c r="D196"/>
  <c r="J188"/>
  <c r="G188"/>
  <c r="D188"/>
  <c r="C183"/>
  <c r="F177"/>
  <c r="F185" s="1"/>
  <c r="F176"/>
  <c r="F184" s="1"/>
  <c r="F175"/>
  <c r="F183" s="1"/>
  <c r="I143"/>
  <c r="F143"/>
  <c r="D137"/>
  <c r="C137" s="1"/>
  <c r="C144" s="1"/>
  <c r="C132"/>
  <c r="B203" l="1"/>
  <c r="C207"/>
  <c r="I175"/>
  <c r="I183" s="1"/>
  <c r="I176"/>
  <c r="I184" s="1"/>
  <c r="I177"/>
  <c r="I185" s="1"/>
  <c r="D125" l="1"/>
  <c r="C125" s="1"/>
  <c r="C134" s="1"/>
  <c r="F127"/>
  <c r="F126"/>
  <c r="F132" s="1"/>
  <c r="C117"/>
  <c r="F117" s="1"/>
  <c r="I117" s="1"/>
  <c r="J111"/>
  <c r="I111" s="1"/>
  <c r="I116" s="1"/>
  <c r="G111"/>
  <c r="F111" s="1"/>
  <c r="F116" s="1"/>
  <c r="D111"/>
  <c r="C111" s="1"/>
  <c r="I127" l="1"/>
  <c r="I133" s="1"/>
  <c r="F133"/>
  <c r="B111"/>
  <c r="I126"/>
  <c r="I132" s="1"/>
  <c r="C116"/>
  <c r="D76"/>
  <c r="C76" s="1"/>
  <c r="C81" s="1"/>
  <c r="D61"/>
  <c r="C61" s="1"/>
  <c r="F58"/>
  <c r="I58"/>
  <c r="C58"/>
  <c r="D52"/>
  <c r="C52" s="1"/>
  <c r="C57" s="1"/>
  <c r="F42"/>
  <c r="F34"/>
  <c r="I34"/>
  <c r="C34"/>
  <c r="J23" l="1"/>
  <c r="G23"/>
  <c r="F37"/>
  <c r="I18"/>
  <c r="F18"/>
  <c r="I187" i="25"/>
  <c r="I23" i="14" l="1"/>
  <c r="I25" s="1"/>
  <c r="F23"/>
  <c r="F25" s="1"/>
  <c r="I418" i="25"/>
  <c r="I416"/>
  <c r="I412"/>
  <c r="I410"/>
  <c r="I405"/>
  <c r="J405"/>
  <c r="K405"/>
  <c r="I404"/>
  <c r="J404"/>
  <c r="K404"/>
  <c r="I403"/>
  <c r="J403"/>
  <c r="K403"/>
  <c r="I401"/>
  <c r="I396"/>
  <c r="I394"/>
  <c r="I389"/>
  <c r="I387"/>
  <c r="I422"/>
  <c r="I425"/>
  <c r="I383"/>
  <c r="I381"/>
  <c r="I370"/>
  <c r="J370"/>
  <c r="K370"/>
  <c r="I371"/>
  <c r="J371"/>
  <c r="K371"/>
  <c r="I372"/>
  <c r="J372"/>
  <c r="K372"/>
  <c r="K318"/>
  <c r="H321"/>
  <c r="H322"/>
  <c r="H323"/>
  <c r="H319"/>
  <c r="I320" l="1"/>
  <c r="H340"/>
  <c r="H341"/>
  <c r="H339"/>
  <c r="I295"/>
  <c r="I402" s="1"/>
  <c r="J295"/>
  <c r="J402" s="1"/>
  <c r="K295"/>
  <c r="K402" s="1"/>
  <c r="I252"/>
  <c r="J252"/>
  <c r="K252"/>
  <c r="I272"/>
  <c r="I366" s="1"/>
  <c r="J272"/>
  <c r="J366" s="1"/>
  <c r="K272"/>
  <c r="K366" s="1"/>
  <c r="I238"/>
  <c r="J238"/>
  <c r="K238"/>
  <c r="H226"/>
  <c r="I216"/>
  <c r="I307" s="1"/>
  <c r="I421" s="1"/>
  <c r="J216"/>
  <c r="K216"/>
  <c r="K307" s="1"/>
  <c r="K421" s="1"/>
  <c r="I217"/>
  <c r="J217"/>
  <c r="K217"/>
  <c r="I222"/>
  <c r="J222"/>
  <c r="K222"/>
  <c r="I221"/>
  <c r="J221"/>
  <c r="K221"/>
  <c r="I220"/>
  <c r="J220"/>
  <c r="K220"/>
  <c r="I219"/>
  <c r="J219"/>
  <c r="K219"/>
  <c r="I214"/>
  <c r="J214"/>
  <c r="K214"/>
  <c r="H338" l="1"/>
  <c r="H337" s="1"/>
  <c r="H265"/>
  <c r="H316" s="1"/>
  <c r="J250"/>
  <c r="J268" s="1"/>
  <c r="J362" s="1"/>
  <c r="J247"/>
  <c r="K250"/>
  <c r="K268" s="1"/>
  <c r="K362" s="1"/>
  <c r="K247"/>
  <c r="I250"/>
  <c r="I268" s="1"/>
  <c r="I362" s="1"/>
  <c r="I247"/>
  <c r="E301" i="14" s="1"/>
  <c r="C301" s="1"/>
  <c r="B301" s="1"/>
  <c r="J281" i="25"/>
  <c r="J382" s="1"/>
  <c r="K281"/>
  <c r="K382" s="1"/>
  <c r="I281"/>
  <c r="I382" s="1"/>
  <c r="I318"/>
  <c r="H320"/>
  <c r="H318" s="1"/>
  <c r="J215"/>
  <c r="K215"/>
  <c r="I215"/>
  <c r="J307"/>
  <c r="J421" s="1"/>
  <c r="J187"/>
  <c r="K187"/>
  <c r="I193"/>
  <c r="J193"/>
  <c r="J312" s="1"/>
  <c r="J428" s="1"/>
  <c r="K193"/>
  <c r="K312" s="1"/>
  <c r="K428" s="1"/>
  <c r="I192"/>
  <c r="I313" s="1"/>
  <c r="I430" s="1"/>
  <c r="J192"/>
  <c r="J313" s="1"/>
  <c r="J430" s="1"/>
  <c r="K192"/>
  <c r="K313" s="1"/>
  <c r="K430" s="1"/>
  <c r="I314"/>
  <c r="I429" s="1"/>
  <c r="J191"/>
  <c r="J314" s="1"/>
  <c r="J429" s="1"/>
  <c r="K191"/>
  <c r="K314" s="1"/>
  <c r="K429" s="1"/>
  <c r="I189"/>
  <c r="I186"/>
  <c r="I185"/>
  <c r="I184"/>
  <c r="I183"/>
  <c r="I182"/>
  <c r="J182"/>
  <c r="K182"/>
  <c r="I178"/>
  <c r="I171"/>
  <c r="D243" i="14" s="1"/>
  <c r="D235"/>
  <c r="J167" i="25"/>
  <c r="K167"/>
  <c r="H166"/>
  <c r="D210" i="14"/>
  <c r="G210"/>
  <c r="K163" i="25"/>
  <c r="J210" i="14" s="1"/>
  <c r="G196"/>
  <c r="K158" i="25"/>
  <c r="J196" i="14" s="1"/>
  <c r="D174"/>
  <c r="C174" s="1"/>
  <c r="D167"/>
  <c r="G167"/>
  <c r="K151" i="25"/>
  <c r="J167" i="14" s="1"/>
  <c r="I179" i="25"/>
  <c r="J179"/>
  <c r="K179"/>
  <c r="I180"/>
  <c r="I270" s="1"/>
  <c r="I365" s="1"/>
  <c r="J180"/>
  <c r="J270" s="1"/>
  <c r="J365" s="1"/>
  <c r="K180"/>
  <c r="K270" s="1"/>
  <c r="K365" s="1"/>
  <c r="I140"/>
  <c r="I293" s="1"/>
  <c r="I399" s="1"/>
  <c r="J103"/>
  <c r="J140" s="1"/>
  <c r="J293" s="1"/>
  <c r="J399" s="1"/>
  <c r="K103"/>
  <c r="K140" s="1"/>
  <c r="K293" s="1"/>
  <c r="K399" s="1"/>
  <c r="I100"/>
  <c r="I137" s="1"/>
  <c r="I289" s="1"/>
  <c r="I393" s="1"/>
  <c r="J100"/>
  <c r="J137" s="1"/>
  <c r="J289" s="1"/>
  <c r="J393" s="1"/>
  <c r="I99"/>
  <c r="I136" s="1"/>
  <c r="I288" s="1"/>
  <c r="I392" s="1"/>
  <c r="J99"/>
  <c r="J136" s="1"/>
  <c r="J288" s="1"/>
  <c r="J392" s="1"/>
  <c r="K99"/>
  <c r="K136" s="1"/>
  <c r="K288" s="1"/>
  <c r="K392" s="1"/>
  <c r="I96"/>
  <c r="I133" s="1"/>
  <c r="I284" s="1"/>
  <c r="I386" s="1"/>
  <c r="J96"/>
  <c r="J133" s="1"/>
  <c r="J284" s="1"/>
  <c r="J386" s="1"/>
  <c r="K96"/>
  <c r="K133" s="1"/>
  <c r="K284" s="1"/>
  <c r="K386" s="1"/>
  <c r="I93"/>
  <c r="I129" s="1"/>
  <c r="I280" s="1"/>
  <c r="I380" s="1"/>
  <c r="J93"/>
  <c r="J129" s="1"/>
  <c r="J280" s="1"/>
  <c r="J380" s="1"/>
  <c r="K93"/>
  <c r="K129" s="1"/>
  <c r="K280" s="1"/>
  <c r="K380" s="1"/>
  <c r="I92"/>
  <c r="I128" s="1"/>
  <c r="J92"/>
  <c r="J128" s="1"/>
  <c r="K92"/>
  <c r="K128" s="1"/>
  <c r="I91"/>
  <c r="I130" s="1"/>
  <c r="I277" s="1"/>
  <c r="I377" s="1"/>
  <c r="J91"/>
  <c r="J130" s="1"/>
  <c r="J277" s="1"/>
  <c r="J377" s="1"/>
  <c r="K91"/>
  <c r="K130" s="1"/>
  <c r="K277" s="1"/>
  <c r="K377" s="1"/>
  <c r="I87"/>
  <c r="I125" s="1"/>
  <c r="I274" s="1"/>
  <c r="I367" s="1"/>
  <c r="J125"/>
  <c r="J274" s="1"/>
  <c r="J367" s="1"/>
  <c r="K125"/>
  <c r="K274" s="1"/>
  <c r="K367" s="1"/>
  <c r="I86"/>
  <c r="I124" s="1"/>
  <c r="J124"/>
  <c r="D42" i="14"/>
  <c r="C42" s="1"/>
  <c r="K40" i="25"/>
  <c r="K28"/>
  <c r="I35"/>
  <c r="K35"/>
  <c r="K85" s="1"/>
  <c r="I120"/>
  <c r="I146" s="1"/>
  <c r="I303" s="1"/>
  <c r="I415" s="1"/>
  <c r="J120"/>
  <c r="J146" s="1"/>
  <c r="J303" s="1"/>
  <c r="J415" s="1"/>
  <c r="K120"/>
  <c r="K146" s="1"/>
  <c r="K303" s="1"/>
  <c r="K415" s="1"/>
  <c r="J119"/>
  <c r="J145" s="1"/>
  <c r="K119"/>
  <c r="K145" s="1"/>
  <c r="I113"/>
  <c r="I143" s="1"/>
  <c r="I298" s="1"/>
  <c r="I409" s="1"/>
  <c r="J113"/>
  <c r="J143" s="1"/>
  <c r="J298" s="1"/>
  <c r="J409" s="1"/>
  <c r="K113"/>
  <c r="K143" s="1"/>
  <c r="K298" s="1"/>
  <c r="K409" s="1"/>
  <c r="J118"/>
  <c r="K118"/>
  <c r="I148"/>
  <c r="D147" i="14"/>
  <c r="C147" s="1"/>
  <c r="C151" s="1"/>
  <c r="I57" i="25"/>
  <c r="D93" i="14" s="1"/>
  <c r="C104"/>
  <c r="I85" i="25" l="1"/>
  <c r="I27"/>
  <c r="C108" i="14"/>
  <c r="I309" i="25"/>
  <c r="I312"/>
  <c r="I428" s="1"/>
  <c r="D163" i="14"/>
  <c r="C44"/>
  <c r="B42"/>
  <c r="K144" i="25"/>
  <c r="K302"/>
  <c r="K414" s="1"/>
  <c r="I271"/>
  <c r="I364" s="1"/>
  <c r="J278"/>
  <c r="J378" s="1"/>
  <c r="J144"/>
  <c r="J302"/>
  <c r="J414" s="1"/>
  <c r="J271"/>
  <c r="J364" s="1"/>
  <c r="K278"/>
  <c r="K378" s="1"/>
  <c r="I278"/>
  <c r="I378" s="1"/>
  <c r="K190"/>
  <c r="I190"/>
  <c r="I181"/>
  <c r="J190"/>
  <c r="I177"/>
  <c r="J123"/>
  <c r="J269" s="1"/>
  <c r="J363" s="1"/>
  <c r="K123"/>
  <c r="K269" s="1"/>
  <c r="K363" s="1"/>
  <c r="I123"/>
  <c r="I269" s="1"/>
  <c r="I363" s="1"/>
  <c r="K27"/>
  <c r="H108"/>
  <c r="H47"/>
  <c r="I46"/>
  <c r="I90" s="1"/>
  <c r="I308" l="1"/>
  <c r="I424"/>
  <c r="I423" s="1"/>
  <c r="I45"/>
  <c r="D47" i="14" s="1"/>
  <c r="C47" s="1"/>
  <c r="I354" i="25"/>
  <c r="I374" s="1"/>
  <c r="J337"/>
  <c r="K337"/>
  <c r="I337"/>
  <c r="I333"/>
  <c r="J333"/>
  <c r="K333"/>
  <c r="I213"/>
  <c r="J202"/>
  <c r="J210" s="1"/>
  <c r="J213" s="1"/>
  <c r="K202"/>
  <c r="K210" s="1"/>
  <c r="K213" s="1"/>
  <c r="H208"/>
  <c r="H222" s="1"/>
  <c r="H207"/>
  <c r="H221" s="1"/>
  <c r="H206"/>
  <c r="H220" s="1"/>
  <c r="H204"/>
  <c r="H219" s="1"/>
  <c r="H203"/>
  <c r="H201"/>
  <c r="H170"/>
  <c r="H193" s="1"/>
  <c r="H169"/>
  <c r="H168"/>
  <c r="H191" s="1"/>
  <c r="H165"/>
  <c r="H187" s="1"/>
  <c r="H164"/>
  <c r="H162"/>
  <c r="H161"/>
  <c r="H160"/>
  <c r="H159"/>
  <c r="H157"/>
  <c r="H153"/>
  <c r="H152"/>
  <c r="H117"/>
  <c r="H119" s="1"/>
  <c r="H217" l="1"/>
  <c r="H202"/>
  <c r="H200" s="1"/>
  <c r="H209" s="1"/>
  <c r="H314"/>
  <c r="H429" s="1"/>
  <c r="H214"/>
  <c r="H211"/>
  <c r="C49" i="14"/>
  <c r="H158" i="25"/>
  <c r="H216"/>
  <c r="H307" s="1"/>
  <c r="K200"/>
  <c r="K209" s="1"/>
  <c r="K212" s="1"/>
  <c r="I200"/>
  <c r="J200"/>
  <c r="J209" s="1"/>
  <c r="J212" s="1"/>
  <c r="H180"/>
  <c r="H270" s="1"/>
  <c r="H192"/>
  <c r="H313" s="1"/>
  <c r="K156"/>
  <c r="J189"/>
  <c r="H151"/>
  <c r="J154"/>
  <c r="H163"/>
  <c r="H167"/>
  <c r="H50"/>
  <c r="H49"/>
  <c r="H48"/>
  <c r="K188"/>
  <c r="G154" i="14"/>
  <c r="H42" i="25"/>
  <c r="H43"/>
  <c r="H44"/>
  <c r="H41"/>
  <c r="H39"/>
  <c r="I15"/>
  <c r="D23" i="14" s="1"/>
  <c r="C23" s="1"/>
  <c r="K15" i="25"/>
  <c r="H16"/>
  <c r="H17"/>
  <c r="I13"/>
  <c r="J148"/>
  <c r="J309" s="1"/>
  <c r="J147"/>
  <c r="J306" s="1"/>
  <c r="I18"/>
  <c r="D28" i="14" s="1"/>
  <c r="C28" s="1"/>
  <c r="I111" i="25"/>
  <c r="C154" i="14" s="1"/>
  <c r="H71" i="25"/>
  <c r="G137" i="14"/>
  <c r="F137" s="1"/>
  <c r="G125"/>
  <c r="F125" s="1"/>
  <c r="H66" i="25"/>
  <c r="K105"/>
  <c r="H63"/>
  <c r="G52" i="14"/>
  <c r="F52" s="1"/>
  <c r="J358" i="25"/>
  <c r="J412" s="1"/>
  <c r="J396"/>
  <c r="J389"/>
  <c r="J355"/>
  <c r="J383" s="1"/>
  <c r="J353"/>
  <c r="J351" s="1"/>
  <c r="J425" s="1"/>
  <c r="J352"/>
  <c r="I343"/>
  <c r="I373" s="1"/>
  <c r="J416"/>
  <c r="J348"/>
  <c r="J401"/>
  <c r="J394"/>
  <c r="J387"/>
  <c r="J344"/>
  <c r="J381" s="1"/>
  <c r="H334"/>
  <c r="H333" s="1"/>
  <c r="H332"/>
  <c r="H331"/>
  <c r="H330"/>
  <c r="H329"/>
  <c r="K265"/>
  <c r="J265"/>
  <c r="I265"/>
  <c r="K262"/>
  <c r="K304" s="1"/>
  <c r="J262"/>
  <c r="J304" s="1"/>
  <c r="I262"/>
  <c r="I304" s="1"/>
  <c r="I417" s="1"/>
  <c r="K261"/>
  <c r="K299" s="1"/>
  <c r="K408" s="1"/>
  <c r="J261"/>
  <c r="J299" s="1"/>
  <c r="J408" s="1"/>
  <c r="I261"/>
  <c r="I299" s="1"/>
  <c r="I408" s="1"/>
  <c r="K260"/>
  <c r="K300" s="1"/>
  <c r="K411" s="1"/>
  <c r="J260"/>
  <c r="J300" s="1"/>
  <c r="J411" s="1"/>
  <c r="I260"/>
  <c r="I300" s="1"/>
  <c r="I411" s="1"/>
  <c r="K258"/>
  <c r="K294" s="1"/>
  <c r="K400" s="1"/>
  <c r="J258"/>
  <c r="J294" s="1"/>
  <c r="J400" s="1"/>
  <c r="I258"/>
  <c r="I294" s="1"/>
  <c r="I400" s="1"/>
  <c r="K255"/>
  <c r="K290" s="1"/>
  <c r="K395" s="1"/>
  <c r="J255"/>
  <c r="J290" s="1"/>
  <c r="J395" s="1"/>
  <c r="I290"/>
  <c r="I395" s="1"/>
  <c r="K254"/>
  <c r="K285" s="1"/>
  <c r="K388" s="1"/>
  <c r="J285"/>
  <c r="J388" s="1"/>
  <c r="I285"/>
  <c r="I388" s="1"/>
  <c r="K253"/>
  <c r="J253"/>
  <c r="I253"/>
  <c r="H246"/>
  <c r="H264" s="1"/>
  <c r="H244"/>
  <c r="H243"/>
  <c r="H242"/>
  <c r="H241"/>
  <c r="H239"/>
  <c r="H236"/>
  <c r="H235"/>
  <c r="H234"/>
  <c r="H232"/>
  <c r="H262" s="1"/>
  <c r="H304" s="1"/>
  <c r="H231"/>
  <c r="H230"/>
  <c r="H229"/>
  <c r="H255" s="1"/>
  <c r="H290" s="1"/>
  <c r="H228"/>
  <c r="H227"/>
  <c r="H433"/>
  <c r="H198"/>
  <c r="H195"/>
  <c r="J186"/>
  <c r="H173"/>
  <c r="G128"/>
  <c r="G278" s="1"/>
  <c r="H14"/>
  <c r="H26" s="1"/>
  <c r="K12"/>
  <c r="H116"/>
  <c r="H107"/>
  <c r="H38"/>
  <c r="H37"/>
  <c r="H36"/>
  <c r="H91" s="1"/>
  <c r="H34"/>
  <c r="I6"/>
  <c r="H260" l="1"/>
  <c r="H257"/>
  <c r="H295" s="1"/>
  <c r="I25"/>
  <c r="I147" s="1"/>
  <c r="I306" s="1"/>
  <c r="I12"/>
  <c r="I24" s="1"/>
  <c r="G174" i="14"/>
  <c r="M153" i="25"/>
  <c r="M152"/>
  <c r="H114"/>
  <c r="H118" s="1"/>
  <c r="H225"/>
  <c r="H253"/>
  <c r="H279" s="1"/>
  <c r="H233"/>
  <c r="H324"/>
  <c r="I209"/>
  <c r="I212" s="1"/>
  <c r="H238"/>
  <c r="E303" i="14" s="1"/>
  <c r="E291" s="1"/>
  <c r="H252" i="25"/>
  <c r="G47" i="14"/>
  <c r="F47" s="1"/>
  <c r="F49" s="1"/>
  <c r="H46" i="25"/>
  <c r="H45" s="1"/>
  <c r="H263"/>
  <c r="H431"/>
  <c r="H300"/>
  <c r="H411" s="1"/>
  <c r="H261"/>
  <c r="H299" s="1"/>
  <c r="H408" s="1"/>
  <c r="I316"/>
  <c r="I311" s="1"/>
  <c r="I263"/>
  <c r="K316"/>
  <c r="K433" s="1"/>
  <c r="K427" s="1"/>
  <c r="K263"/>
  <c r="H254"/>
  <c r="H285" s="1"/>
  <c r="H388" s="1"/>
  <c r="H258"/>
  <c r="H294" s="1"/>
  <c r="H400" s="1"/>
  <c r="J316"/>
  <c r="J311" s="1"/>
  <c r="J263"/>
  <c r="H218"/>
  <c r="H312" s="1"/>
  <c r="H428" s="1"/>
  <c r="H197"/>
  <c r="H212" s="1"/>
  <c r="I279"/>
  <c r="I379" s="1"/>
  <c r="I251"/>
  <c r="K279"/>
  <c r="K379" s="1"/>
  <c r="K251"/>
  <c r="H248"/>
  <c r="H272" s="1"/>
  <c r="H366" s="1"/>
  <c r="H249"/>
  <c r="H273" s="1"/>
  <c r="J279"/>
  <c r="J379" s="1"/>
  <c r="J251"/>
  <c r="H210"/>
  <c r="H395"/>
  <c r="H15"/>
  <c r="H365"/>
  <c r="J301"/>
  <c r="J417"/>
  <c r="H371"/>
  <c r="H404"/>
  <c r="F57" i="14"/>
  <c r="K301" i="25"/>
  <c r="K417"/>
  <c r="H370"/>
  <c r="H403"/>
  <c r="H372"/>
  <c r="H405"/>
  <c r="K52"/>
  <c r="G61" i="14"/>
  <c r="F61" s="1"/>
  <c r="F144"/>
  <c r="I305" i="25"/>
  <c r="I420"/>
  <c r="I419" s="1"/>
  <c r="F174" i="14"/>
  <c r="J76"/>
  <c r="I76" s="1"/>
  <c r="I81" s="1"/>
  <c r="G76"/>
  <c r="F76" s="1"/>
  <c r="F81" s="1"/>
  <c r="F134"/>
  <c r="C156"/>
  <c r="C33"/>
  <c r="C25"/>
  <c r="B23"/>
  <c r="D285"/>
  <c r="J308" i="25"/>
  <c r="J424"/>
  <c r="J423" s="1"/>
  <c r="J305"/>
  <c r="J420"/>
  <c r="K348"/>
  <c r="K410" s="1"/>
  <c r="J410"/>
  <c r="K418"/>
  <c r="J418"/>
  <c r="H190"/>
  <c r="H215"/>
  <c r="H421"/>
  <c r="I256"/>
  <c r="K256"/>
  <c r="J259"/>
  <c r="J256"/>
  <c r="I259"/>
  <c r="K259"/>
  <c r="H156"/>
  <c r="H189" s="1"/>
  <c r="K189"/>
  <c r="J178"/>
  <c r="H182"/>
  <c r="H179"/>
  <c r="K175"/>
  <c r="K185" s="1"/>
  <c r="J185"/>
  <c r="K154"/>
  <c r="J174" i="14" s="1"/>
  <c r="J181" i="25"/>
  <c r="J171"/>
  <c r="K184"/>
  <c r="J184"/>
  <c r="J111"/>
  <c r="F154" i="14" s="1"/>
  <c r="H130" i="25"/>
  <c r="H277" s="1"/>
  <c r="J102"/>
  <c r="H32"/>
  <c r="I102"/>
  <c r="H103"/>
  <c r="H140" s="1"/>
  <c r="K45"/>
  <c r="H92"/>
  <c r="H128" s="1"/>
  <c r="H99"/>
  <c r="H136" s="1"/>
  <c r="H93"/>
  <c r="H129" s="1"/>
  <c r="H87"/>
  <c r="H125" s="1"/>
  <c r="H96"/>
  <c r="H133" s="1"/>
  <c r="J95"/>
  <c r="I84"/>
  <c r="H31"/>
  <c r="I97"/>
  <c r="K100"/>
  <c r="K137" s="1"/>
  <c r="K289" s="1"/>
  <c r="K393" s="1"/>
  <c r="K124"/>
  <c r="K271" s="1"/>
  <c r="K364" s="1"/>
  <c r="H113"/>
  <c r="H143" s="1"/>
  <c r="I145"/>
  <c r="I118"/>
  <c r="D159" i="14" s="1"/>
  <c r="C159" s="1"/>
  <c r="H35" i="25"/>
  <c r="H85" s="1"/>
  <c r="I142"/>
  <c r="I297" s="1"/>
  <c r="J112"/>
  <c r="H40"/>
  <c r="H120"/>
  <c r="K355"/>
  <c r="J354"/>
  <c r="J374" s="1"/>
  <c r="H155"/>
  <c r="H188" s="1"/>
  <c r="H110"/>
  <c r="H13"/>
  <c r="H417"/>
  <c r="H29"/>
  <c r="H30"/>
  <c r="H106"/>
  <c r="H105" s="1"/>
  <c r="J125" i="14"/>
  <c r="I125" s="1"/>
  <c r="I134" s="1"/>
  <c r="G147"/>
  <c r="F147" s="1"/>
  <c r="K147" i="25"/>
  <c r="K306" s="1"/>
  <c r="K148"/>
  <c r="J137" i="14"/>
  <c r="I137" s="1"/>
  <c r="I144" s="1"/>
  <c r="J147"/>
  <c r="I147" s="1"/>
  <c r="I151" s="1"/>
  <c r="H72" i="25"/>
  <c r="H70" s="1"/>
  <c r="H62"/>
  <c r="H64"/>
  <c r="K353"/>
  <c r="K351" s="1"/>
  <c r="K425" s="1"/>
  <c r="H348"/>
  <c r="H410" s="1"/>
  <c r="H55"/>
  <c r="J52" i="14"/>
  <c r="I52" s="1"/>
  <c r="I57" s="1"/>
  <c r="I54" i="25"/>
  <c r="D85" i="14" s="1"/>
  <c r="C85" s="1"/>
  <c r="C90" s="1"/>
  <c r="J98" i="25"/>
  <c r="J97" s="1"/>
  <c r="J57"/>
  <c r="J84" s="1"/>
  <c r="H60"/>
  <c r="K401"/>
  <c r="K358"/>
  <c r="K412" s="1"/>
  <c r="K416"/>
  <c r="K352"/>
  <c r="H352" s="1"/>
  <c r="H359"/>
  <c r="H418" s="1"/>
  <c r="J350"/>
  <c r="K387"/>
  <c r="K357"/>
  <c r="K396" s="1"/>
  <c r="K394"/>
  <c r="K389"/>
  <c r="K344"/>
  <c r="K381" s="1"/>
  <c r="H12" l="1"/>
  <c r="J142"/>
  <c r="J122"/>
  <c r="J267" s="1"/>
  <c r="J61" i="14"/>
  <c r="I61" s="1"/>
  <c r="B61" s="1"/>
  <c r="K90" i="25"/>
  <c r="J413"/>
  <c r="K311"/>
  <c r="H251"/>
  <c r="J433"/>
  <c r="J427" s="1"/>
  <c r="H281"/>
  <c r="H382" s="1"/>
  <c r="H213"/>
  <c r="H52"/>
  <c r="J47" i="14"/>
  <c r="I47" s="1"/>
  <c r="I49" s="1"/>
  <c r="I433" i="25"/>
  <c r="I427" s="1"/>
  <c r="H315"/>
  <c r="H311" s="1"/>
  <c r="H368"/>
  <c r="F156" i="14"/>
  <c r="H298" i="25"/>
  <c r="H409" s="1"/>
  <c r="H284"/>
  <c r="H386" s="1"/>
  <c r="H280"/>
  <c r="H380" s="1"/>
  <c r="H278"/>
  <c r="H378" s="1"/>
  <c r="H224"/>
  <c r="H247" s="1"/>
  <c r="H250"/>
  <c r="H268" s="1"/>
  <c r="H362" s="1"/>
  <c r="H256"/>
  <c r="H259"/>
  <c r="H274"/>
  <c r="H367" s="1"/>
  <c r="H288"/>
  <c r="H392" s="1"/>
  <c r="H293"/>
  <c r="H399" s="1"/>
  <c r="K309"/>
  <c r="H309" s="1"/>
  <c r="K111"/>
  <c r="J154" i="14"/>
  <c r="G104"/>
  <c r="F104" s="1"/>
  <c r="F108" s="1"/>
  <c r="H28" i="25"/>
  <c r="H27" s="1"/>
  <c r="I296"/>
  <c r="I407"/>
  <c r="I406" s="1"/>
  <c r="C161" i="14"/>
  <c r="B159"/>
  <c r="H430" i="25"/>
  <c r="H427" s="1"/>
  <c r="G28" i="14"/>
  <c r="F151"/>
  <c r="B147"/>
  <c r="D18"/>
  <c r="J177" i="25"/>
  <c r="G243" i="14"/>
  <c r="G163" s="1"/>
  <c r="I174"/>
  <c r="B174" s="1"/>
  <c r="C285"/>
  <c r="D249"/>
  <c r="B76"/>
  <c r="B137"/>
  <c r="H174" i="25"/>
  <c r="H184" s="1"/>
  <c r="H53"/>
  <c r="K413"/>
  <c r="B125" i="14"/>
  <c r="B52"/>
  <c r="J343" i="25"/>
  <c r="J373" s="1"/>
  <c r="J422"/>
  <c r="J419" s="1"/>
  <c r="H355"/>
  <c r="H383" s="1"/>
  <c r="K383"/>
  <c r="K308"/>
  <c r="K305"/>
  <c r="K420"/>
  <c r="H379"/>
  <c r="J141"/>
  <c r="J297"/>
  <c r="H175"/>
  <c r="H185" s="1"/>
  <c r="I144"/>
  <c r="I302"/>
  <c r="H402"/>
  <c r="H377"/>
  <c r="H176"/>
  <c r="H186" s="1"/>
  <c r="K186"/>
  <c r="K183"/>
  <c r="K181" s="1"/>
  <c r="K171"/>
  <c r="H154"/>
  <c r="K178"/>
  <c r="I141"/>
  <c r="K57"/>
  <c r="J135"/>
  <c r="J287" s="1"/>
  <c r="H146"/>
  <c r="H123"/>
  <c r="J89"/>
  <c r="I101"/>
  <c r="I139"/>
  <c r="I292" s="1"/>
  <c r="I94"/>
  <c r="I132"/>
  <c r="I283" s="1"/>
  <c r="I135"/>
  <c r="I89"/>
  <c r="I127"/>
  <c r="J94"/>
  <c r="J132"/>
  <c r="J283" s="1"/>
  <c r="J385" s="1"/>
  <c r="J101"/>
  <c r="J139"/>
  <c r="J292" s="1"/>
  <c r="J398" s="1"/>
  <c r="I83"/>
  <c r="H59"/>
  <c r="H95" s="1"/>
  <c r="K95"/>
  <c r="H65"/>
  <c r="H61" s="1"/>
  <c r="K102"/>
  <c r="H100"/>
  <c r="H137" s="1"/>
  <c r="H86"/>
  <c r="H124" s="1"/>
  <c r="H109"/>
  <c r="H112" s="1"/>
  <c r="H142" s="1"/>
  <c r="H297" s="1"/>
  <c r="K112"/>
  <c r="K142" s="1"/>
  <c r="K297" s="1"/>
  <c r="H145"/>
  <c r="H302" s="1"/>
  <c r="H148"/>
  <c r="H19"/>
  <c r="H25" s="1"/>
  <c r="K354"/>
  <c r="K374" s="1"/>
  <c r="H68"/>
  <c r="K18"/>
  <c r="H69"/>
  <c r="K61"/>
  <c r="H358"/>
  <c r="H412" s="1"/>
  <c r="H353"/>
  <c r="H347"/>
  <c r="H345"/>
  <c r="H387" s="1"/>
  <c r="H351"/>
  <c r="H58"/>
  <c r="K56"/>
  <c r="J54"/>
  <c r="J83" s="1"/>
  <c r="H51"/>
  <c r="H349"/>
  <c r="H416" s="1"/>
  <c r="H344"/>
  <c r="H381" s="1"/>
  <c r="H346"/>
  <c r="H394" s="1"/>
  <c r="H357"/>
  <c r="H396" s="1"/>
  <c r="H356"/>
  <c r="H389" s="1"/>
  <c r="K350"/>
  <c r="H172"/>
  <c r="K84" l="1"/>
  <c r="H308"/>
  <c r="K24"/>
  <c r="J28" i="14" s="1"/>
  <c r="H90" i="25"/>
  <c r="H89" s="1"/>
  <c r="H296"/>
  <c r="J121"/>
  <c r="B47" i="14"/>
  <c r="H401" i="25"/>
  <c r="K424"/>
  <c r="K423" s="1"/>
  <c r="H271"/>
  <c r="H364" s="1"/>
  <c r="H303"/>
  <c r="H301" s="1"/>
  <c r="H289"/>
  <c r="H393" s="1"/>
  <c r="H269"/>
  <c r="H363" s="1"/>
  <c r="J104" i="14"/>
  <c r="I104" s="1"/>
  <c r="I154"/>
  <c r="H171" i="25"/>
  <c r="H177" s="1"/>
  <c r="J361"/>
  <c r="I122"/>
  <c r="I267" s="1"/>
  <c r="I361" s="1"/>
  <c r="H147"/>
  <c r="H306" s="1"/>
  <c r="H305" s="1"/>
  <c r="H18"/>
  <c r="H24" s="1"/>
  <c r="H57"/>
  <c r="H111"/>
  <c r="G85" i="14"/>
  <c r="F85" s="1"/>
  <c r="K296" i="25"/>
  <c r="K407"/>
  <c r="K406" s="1"/>
  <c r="I121"/>
  <c r="I266" s="1"/>
  <c r="I360" s="1"/>
  <c r="D37" i="14"/>
  <c r="I301" i="25"/>
  <c r="I414"/>
  <c r="I413" s="1"/>
  <c r="C18" i="14"/>
  <c r="C20" s="1"/>
  <c r="F33"/>
  <c r="F28"/>
  <c r="H414" i="25"/>
  <c r="J291"/>
  <c r="J397"/>
  <c r="J282"/>
  <c r="J384"/>
  <c r="I276"/>
  <c r="I282"/>
  <c r="I385"/>
  <c r="I384" s="1"/>
  <c r="I291"/>
  <c r="I398"/>
  <c r="I397" s="1"/>
  <c r="J286"/>
  <c r="J391"/>
  <c r="J390" s="1"/>
  <c r="K177"/>
  <c r="J243" i="14"/>
  <c r="J163" s="1"/>
  <c r="J296" i="25"/>
  <c r="J407"/>
  <c r="J406" s="1"/>
  <c r="B285" i="14"/>
  <c r="C289"/>
  <c r="K343" i="25"/>
  <c r="K373" s="1"/>
  <c r="K422"/>
  <c r="K419" s="1"/>
  <c r="H424"/>
  <c r="H425"/>
  <c r="H141"/>
  <c r="I134"/>
  <c r="I287"/>
  <c r="J126"/>
  <c r="J275"/>
  <c r="H144"/>
  <c r="H183"/>
  <c r="H181" s="1"/>
  <c r="H178"/>
  <c r="J138"/>
  <c r="J131"/>
  <c r="I126"/>
  <c r="I131"/>
  <c r="I138"/>
  <c r="J134"/>
  <c r="K141"/>
  <c r="K101"/>
  <c r="K139"/>
  <c r="K94"/>
  <c r="K132"/>
  <c r="H94"/>
  <c r="H132"/>
  <c r="H283" s="1"/>
  <c r="H282" s="1"/>
  <c r="K89"/>
  <c r="K127"/>
  <c r="H102"/>
  <c r="H139" s="1"/>
  <c r="H292" s="1"/>
  <c r="H291" s="1"/>
  <c r="K54"/>
  <c r="K83" s="1"/>
  <c r="K98"/>
  <c r="K97" s="1"/>
  <c r="H354"/>
  <c r="H374" s="1"/>
  <c r="H56"/>
  <c r="H98" s="1"/>
  <c r="H350"/>
  <c r="H343" s="1"/>
  <c r="I28" i="14" l="1"/>
  <c r="I33"/>
  <c r="K122" i="25"/>
  <c r="K267" s="1"/>
  <c r="K361" s="1"/>
  <c r="J266"/>
  <c r="M266" s="1"/>
  <c r="H420"/>
  <c r="H84"/>
  <c r="F14" i="14"/>
  <c r="G14"/>
  <c r="C37"/>
  <c r="B37" s="1"/>
  <c r="D14"/>
  <c r="I376" i="25"/>
  <c r="I375" s="1"/>
  <c r="I275"/>
  <c r="H415"/>
  <c r="H413" s="1"/>
  <c r="I108" i="14"/>
  <c r="B104"/>
  <c r="I156"/>
  <c r="B154"/>
  <c r="B28"/>
  <c r="K121" i="25"/>
  <c r="K266" s="1"/>
  <c r="K360" s="1"/>
  <c r="J85" i="14"/>
  <c r="J14" s="1"/>
  <c r="B18"/>
  <c r="H398" i="25"/>
  <c r="H397" s="1"/>
  <c r="H385"/>
  <c r="H384" s="1"/>
  <c r="J376"/>
  <c r="J375" s="1"/>
  <c r="I286"/>
  <c r="I391"/>
  <c r="I390" s="1"/>
  <c r="H407"/>
  <c r="H406" s="1"/>
  <c r="H373"/>
  <c r="H422"/>
  <c r="H419" s="1"/>
  <c r="H423"/>
  <c r="K131"/>
  <c r="K283"/>
  <c r="K138"/>
  <c r="K292"/>
  <c r="K126"/>
  <c r="K276"/>
  <c r="K275" s="1"/>
  <c r="H131"/>
  <c r="H101"/>
  <c r="H138"/>
  <c r="H127"/>
  <c r="H276" s="1"/>
  <c r="H275" s="1"/>
  <c r="K135"/>
  <c r="K287" s="1"/>
  <c r="H54"/>
  <c r="H83" s="1"/>
  <c r="H97"/>
  <c r="H122"/>
  <c r="J360" l="1"/>
  <c r="C39" i="14"/>
  <c r="H267" i="25"/>
  <c r="H361" s="1"/>
  <c r="K286"/>
  <c r="K391"/>
  <c r="K390" s="1"/>
  <c r="K376"/>
  <c r="K375" s="1"/>
  <c r="K291"/>
  <c r="K398"/>
  <c r="K397" s="1"/>
  <c r="K282"/>
  <c r="K385"/>
  <c r="K384" s="1"/>
  <c r="I85" i="14"/>
  <c r="I14" s="1"/>
  <c r="H126" i="25"/>
  <c r="K134"/>
  <c r="H135"/>
  <c r="H287" s="1"/>
  <c r="H286" s="1"/>
  <c r="G291" i="14"/>
  <c r="G11" s="1"/>
  <c r="H291"/>
  <c r="H11" s="1"/>
  <c r="J291"/>
  <c r="K291"/>
  <c r="K11" s="1"/>
  <c r="D291"/>
  <c r="D11" s="1"/>
  <c r="H121" i="25" l="1"/>
  <c r="H266" s="1"/>
  <c r="H360" s="1"/>
  <c r="C291" i="14"/>
  <c r="J11"/>
  <c r="H391" i="25"/>
  <c r="H390" s="1"/>
  <c r="B85" i="14"/>
  <c r="H376" i="25"/>
  <c r="H375" s="1"/>
  <c r="H134"/>
  <c r="F291" i="14"/>
  <c r="I291"/>
  <c r="F260" l="1"/>
  <c r="I260"/>
  <c r="F196" l="1"/>
  <c r="F200" s="1"/>
  <c r="I196"/>
  <c r="I200" s="1"/>
  <c r="F219" l="1"/>
  <c r="F231" s="1"/>
  <c r="I219"/>
  <c r="I231" s="1"/>
  <c r="C305"/>
  <c r="C313" l="1"/>
  <c r="B302" l="1"/>
  <c r="C303"/>
  <c r="E11"/>
  <c r="B291" l="1"/>
  <c r="B303"/>
  <c r="C311"/>
  <c r="C228"/>
  <c r="C219"/>
  <c r="C231" s="1"/>
  <c r="F223"/>
  <c r="I223" s="1"/>
  <c r="F212"/>
  <c r="C196"/>
  <c r="C188"/>
  <c r="C192" s="1"/>
  <c r="I212" l="1"/>
  <c r="I216" s="1"/>
  <c r="F216"/>
  <c r="B196"/>
  <c r="C200"/>
  <c r="C226"/>
  <c r="B219"/>
  <c r="D320" l="1"/>
  <c r="D319" s="1"/>
  <c r="A320"/>
  <c r="E319"/>
  <c r="B318"/>
  <c r="A317"/>
  <c r="E316"/>
  <c r="E315" s="1"/>
  <c r="D315"/>
  <c r="C315" l="1"/>
  <c r="B315" s="1"/>
  <c r="C319"/>
  <c r="B319" s="1"/>
  <c r="F270" l="1"/>
  <c r="F274" s="1"/>
  <c r="I270"/>
  <c r="I274" s="1"/>
  <c r="F253"/>
  <c r="I253"/>
  <c r="I258" l="1"/>
  <c r="I249"/>
  <c r="F258"/>
  <c r="F249"/>
  <c r="C253"/>
  <c r="C235"/>
  <c r="C277"/>
  <c r="C270"/>
  <c r="C258" l="1"/>
  <c r="C249"/>
  <c r="B270"/>
  <c r="C274"/>
  <c r="B235"/>
  <c r="C240"/>
  <c r="C281"/>
  <c r="B277"/>
  <c r="B253"/>
  <c r="F210"/>
  <c r="F215" s="1"/>
  <c r="I210"/>
  <c r="I215" s="1"/>
  <c r="F188"/>
  <c r="F192" s="1"/>
  <c r="I188"/>
  <c r="I192" s="1"/>
  <c r="B249" l="1"/>
  <c r="B188"/>
  <c r="C243"/>
  <c r="C247" s="1"/>
  <c r="C210"/>
  <c r="C215" s="1"/>
  <c r="C167"/>
  <c r="C171" l="1"/>
  <c r="C163"/>
  <c r="B210"/>
  <c r="C93"/>
  <c r="I243"/>
  <c r="I247" s="1"/>
  <c r="F243"/>
  <c r="F247" s="1"/>
  <c r="C98" l="1"/>
  <c r="C14"/>
  <c r="C11" s="1"/>
  <c r="B243"/>
  <c r="B93" l="1"/>
  <c r="B14" s="1"/>
  <c r="F167"/>
  <c r="F171" l="1"/>
  <c r="F163"/>
  <c r="F11" s="1"/>
  <c r="I167"/>
  <c r="I171" l="1"/>
  <c r="I163"/>
  <c r="I11" s="1"/>
  <c r="B167"/>
  <c r="B163" s="1"/>
  <c r="B11" s="1"/>
</calcChain>
</file>

<file path=xl/sharedStrings.xml><?xml version="1.0" encoding="utf-8"?>
<sst xmlns="http://schemas.openxmlformats.org/spreadsheetml/2006/main" count="1300" uniqueCount="462">
  <si>
    <t>Додаток 1</t>
  </si>
  <si>
    <t>№ з/п</t>
  </si>
  <si>
    <t>Назва напряму діяльності (пріоритетні завдання)</t>
  </si>
  <si>
    <t>Перелік заходів програми</t>
  </si>
  <si>
    <t>Джерела фінансування</t>
  </si>
  <si>
    <t>Очікуваний результат</t>
  </si>
  <si>
    <t>Код програмної класифікації видатків та кредитування місцевих бюджетів (КПКВК)</t>
  </si>
  <si>
    <t>Перелік</t>
  </si>
  <si>
    <t xml:space="preserve">Назва головного розпорядника бюджетних коштів                            </t>
  </si>
  <si>
    <t>Найменування бюджетної програми</t>
  </si>
  <si>
    <t>Відділ охорони здоров'я Сумської міської ради                                                              Багатопрофільна стаціонарна медична допомога населенню</t>
  </si>
  <si>
    <t>Відділ охорони здоров'я Сумської міської ради                                                          Стоматологічна допомога населенню</t>
  </si>
  <si>
    <t>Відділ охорони здоров'я Сумської міської ради                                                            Первинна медична допомога населенню, що надається центрами первинної медичної (медико-санітарної) допомоги.</t>
  </si>
  <si>
    <t>Відділ охорони здоров'я Сумської міської ради                                                                                 Лікарсько-акушерська допомога вагітним, породіллям та новонародженим</t>
  </si>
  <si>
    <t xml:space="preserve"> "Охорона здоров'я м. Суми на 2019-2021 роки"</t>
  </si>
  <si>
    <t>Орієнтовні обсяги фінансування, тис.грн.</t>
  </si>
  <si>
    <t>у т.ч. по роках</t>
  </si>
  <si>
    <t>Відділ охорони здоров’я Сумської міської ради</t>
  </si>
  <si>
    <t>у тому числі</t>
  </si>
  <si>
    <t>бюджетних програм до комплексної міської Програми</t>
  </si>
  <si>
    <t>АТО</t>
  </si>
  <si>
    <t>Відділ охорони здоров'я Сумської міської ради                                                           Інші програми та  заходи у сфері охорони здоров'я.</t>
  </si>
  <si>
    <t>Відділ охорони здоров'я Сумської міської ради                                                          Забезпечення діяльності інших закладів у сфері охорони здоров’я</t>
  </si>
  <si>
    <t>Відділ охорони здоров'я Сумської міської ради                                                            Виконання інвестаційних проектів в рамках здійснення заходів щодо соціально-економічного розвитку окремих територій</t>
  </si>
  <si>
    <t>Відділ охорони здоров'я Сумської міської ради                                                          Заходи з енергозбереження</t>
  </si>
  <si>
    <t>Відділ охорони здоров'я Сумської міської ради                                                            Реалізація програм допомоги і грантів Європейського Союзу, урядів іноземних держав, міжнародних організацій, донорських установ</t>
  </si>
  <si>
    <t xml:space="preserve">Сумський міський голова </t>
  </si>
  <si>
    <t>О.М. Лисенко</t>
  </si>
  <si>
    <t>Виконавець: Чумаченко О.Ю.</t>
  </si>
  <si>
    <t>0712010</t>
  </si>
  <si>
    <t>0712030</t>
  </si>
  <si>
    <t>0712100</t>
  </si>
  <si>
    <t>0712151</t>
  </si>
  <si>
    <t>0712152</t>
  </si>
  <si>
    <t>0712144</t>
  </si>
  <si>
    <t>0712146</t>
  </si>
  <si>
    <t>0712111</t>
  </si>
  <si>
    <t>0717363</t>
  </si>
  <si>
    <t>0717640</t>
  </si>
  <si>
    <t>0717700</t>
  </si>
  <si>
    <t>до рішення Сумської міської ради "Про внесення змін до рішення Сумської міської ради від 19 грудня 2018 року № 4333 - МР "Про затвердження комплексної міської Програми «Охорона здоров’я м. Суми на 2019-2021 роки» (зі змінами)</t>
  </si>
  <si>
    <t>Відділ охорони здоров'я Сумської міської ради                                                        Відшкодування вартості лікарських засобів для лікування окремих захворювань</t>
  </si>
  <si>
    <t>Відділ охорони здоров'я Сумської міської ради                                                        Централізовані заходи з лікування хворих на цукровий та нецукровий діабет</t>
  </si>
  <si>
    <t>від 18 грудня 2019 року № 6188 - МР</t>
  </si>
  <si>
    <t>2020 (план)</t>
  </si>
  <si>
    <t>Контроль за виконанням</t>
  </si>
  <si>
    <t xml:space="preserve">Покращення догляду за тяжкохворими у домашніх умовах та адаптування їх до самообслуговування. </t>
  </si>
  <si>
    <t>Раннє виявлення туберкульозу у дітей та підлітків</t>
  </si>
  <si>
    <t>Одержувач коштів/Виконавець</t>
  </si>
  <si>
    <t>2022 (прогноз)</t>
  </si>
  <si>
    <t>КПКВК</t>
  </si>
  <si>
    <t>Забезпечення гарантованих виплат медичним працівникам, що передбачені чинним законодавством</t>
  </si>
  <si>
    <t>Забезпечення надання антирабічної допомоги</t>
  </si>
  <si>
    <t>Забезпечення надання медичної допомоги хворим на інфаркт міокарда</t>
  </si>
  <si>
    <t>Відділ охорони здоров'я Сумської міської ради</t>
  </si>
  <si>
    <t>Кошти  бюджету ОТГ (загальний фонд)</t>
  </si>
  <si>
    <t>Забезпечення проведення обстеження пацієнтів методами КТ, МРТ</t>
  </si>
  <si>
    <t>Забезпечення надання громадянам послуг по зубопротезуванню на пільгових умовах</t>
  </si>
  <si>
    <t>Оновлення матеріально-технічної бази закладів охорони здоров'я</t>
  </si>
  <si>
    <t>Запобігання виникнення захворювання у людини у разі контакту із хворою або ж підозрілою на сказ твариною</t>
  </si>
  <si>
    <t>Застосування сучасних методів лікування серцево-судинних захворювань</t>
  </si>
  <si>
    <t>Покращення умов перебування пацієнтів та працівників у закладі охорони здоров'я</t>
  </si>
  <si>
    <t xml:space="preserve">Дотримання клінічних протоколів лікування та зменшення тяжких негативних наслідків від  інсульту </t>
  </si>
  <si>
    <t xml:space="preserve">Забезпечення навчання та підготовки нових спеціалістів </t>
  </si>
  <si>
    <t>УСЬОГО по підпрограмі 1</t>
  </si>
  <si>
    <t>Додаткова доплата працівникам, які задіяні безпосередньо до надання медичної допомоги хворим на гостру респіраторну хворобу COVID-19, спричинену коронавірусом SARS-CoV-2, відповідно до Порядку, затвердженого рішенням виконавчого комітету Сумської міської ради від 28.04.2020 № 220 (за змінами, внесеними рішенням виконавчого комітету Сумської міської ради від 07.05.2020 № 230)</t>
  </si>
  <si>
    <t>УСЬОГО по підпрограмі 2</t>
  </si>
  <si>
    <t>Покращення діагностики захворювань у ургентних хворих методами КТ та МРТ</t>
  </si>
  <si>
    <t>0717361</t>
  </si>
  <si>
    <t>Попередження розвитку ускладнень у хворих на цукровий та нецукровий діабет</t>
  </si>
  <si>
    <t>Забезпечення закладів охорони здоров'я міста інформаційно-аналітичними матеріалами та стабільним фінансуванням, контроль за складанням звітності комунальних некомерційних підприємств</t>
  </si>
  <si>
    <t>УСЬОГО по підпрограмі 3</t>
  </si>
  <si>
    <t>Поліпшення стану здоров’я хворих, які підлягають безкоштовному та пільговому забезпеченню лікарськими засобами, продуктами харчування у разі амбулаторного лікування, покращення їх якості життя та суспільної адаптації</t>
  </si>
  <si>
    <t>УСЬОГО по підпрограмі 4</t>
  </si>
  <si>
    <t>Проведення медичних оглядів військовозобов’язаних громадян, які підлягають призову на військову службу до Збройних Сил України протягом року</t>
  </si>
  <si>
    <t>КНП "Дитяча клінічна лікарня Святої Зінаїди" СМР</t>
  </si>
  <si>
    <t>КНП "Клінічна лікарня № 4" СМР</t>
  </si>
  <si>
    <t>КНП "Клінічна лікарня № 5" СМР</t>
  </si>
  <si>
    <t xml:space="preserve">КНП "Клінічна стоматологічна поліклініка" СМР </t>
  </si>
  <si>
    <t>КНП "Клінічний пологовий будинок Пресвятої Діви Марії" СМР</t>
  </si>
  <si>
    <t>КНП "Центр первинної медико-санітарної допомоги № 1" СМР</t>
  </si>
  <si>
    <t>КНП "Центр первинної медико-санітарної допомоги № 2" СМР</t>
  </si>
  <si>
    <t>КНП "Центральна міська клінічна лікарня" СМР</t>
  </si>
  <si>
    <t>Інші джерела коштів (кредитні кошти НЕФКО )</t>
  </si>
  <si>
    <t>Інші джерела коштів (Грант GIZ)</t>
  </si>
  <si>
    <t>Всього</t>
  </si>
  <si>
    <t>Управління капітального будівництва та дорожнього господарства Сумської міської ради</t>
  </si>
  <si>
    <t>Кошти НСЗУ</t>
  </si>
  <si>
    <t>Забезпечення гарантованого рівня медичної допомоги населенню Сумської міської ОТГ</t>
  </si>
  <si>
    <t>РАЗОМ по сфері охорона здоров'я</t>
  </si>
  <si>
    <t>ВСЬОГО</t>
  </si>
  <si>
    <t>Кошти, отримані від платних послуг</t>
  </si>
  <si>
    <t xml:space="preserve">у тому числі по </t>
  </si>
  <si>
    <t>Власні надходження КНП</t>
  </si>
  <si>
    <t>Запобігання занесенню і поширенню інфекційних захворювань</t>
  </si>
  <si>
    <t xml:space="preserve">з них по </t>
  </si>
  <si>
    <t xml:space="preserve">Медична субвенція з державного бюджету (загальний  фонд) </t>
  </si>
  <si>
    <t>РАЗОМ</t>
  </si>
  <si>
    <t>Разом</t>
  </si>
  <si>
    <t>Субвенція з місцевого бюджету на здійснення переданих видатків у сфері охорони здоров'я за рахунок коштів медичної субвенції (загальний фонд)</t>
  </si>
  <si>
    <t>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(загальний фонд)</t>
  </si>
  <si>
    <t>Створення комфортних умов у закладах охорони здоров'я, оновлення лікувально-діагностичної бази підприємств з метою проведення обстежень на сучасному обладнанні, що значно підвищить якість надання медичних послуг та забезпечить отримання точніших результатів</t>
  </si>
  <si>
    <t>РАЗОМ ПО ПРОГРАМІ</t>
  </si>
  <si>
    <t xml:space="preserve">у тому числі </t>
  </si>
  <si>
    <t>Кошти ДФРР (спеціальний фонд)</t>
  </si>
  <si>
    <t>Збільшення переліку послуг, що надають заклади охорони здоров'я</t>
  </si>
  <si>
    <t>Забезпечення надання медичної допомоги підліткам (віком 14-18 років)  та молоді  (віком до 24 років)  за їх особистим зверненням або за направленням центрів соціальних служб для сім’ї, дітей та молоді, інших  закладів охорони здоров'я на засадах дружнього підходу до молоді</t>
  </si>
  <si>
    <t>Забезпечення пільгової категорії громадян гарантованим згідно з чинним законодавством медичними послугами</t>
  </si>
  <si>
    <t>Забезпечення компенсації функцій ушкоджених органів, з метою медичної та соціальної реабілітації осіб з інвалідністю з вираженими вадами слуху</t>
  </si>
  <si>
    <t>Впровадження та підтримка ІТ-послуг, сервісів, систем відеоспостереження в закладах охорони здоров'я</t>
  </si>
  <si>
    <t>Мета, КПКВК, завдання та результативні показники Програми</t>
  </si>
  <si>
    <t>2020 рік (план)</t>
  </si>
  <si>
    <t>2022 рік (прогноз)</t>
  </si>
  <si>
    <t>в тому числі</t>
  </si>
  <si>
    <t>Загальний фонд</t>
  </si>
  <si>
    <t>Спеціальний фонд</t>
  </si>
  <si>
    <t xml:space="preserve">Мета: </t>
  </si>
  <si>
    <t>Всього на виконання підпрограми, грн.</t>
  </si>
  <si>
    <t>В тому числі по КПКВК:</t>
  </si>
  <si>
    <t>КПКВК 0712010</t>
  </si>
  <si>
    <t xml:space="preserve">  Багатопрофільна стаціонарна медична допомога населенню</t>
  </si>
  <si>
    <t>Показник затрат:</t>
  </si>
  <si>
    <t>кількість  установ, од.</t>
  </si>
  <si>
    <t>Показник продукту:</t>
  </si>
  <si>
    <t>Показник ефективності:</t>
  </si>
  <si>
    <t>Показник якості:</t>
  </si>
  <si>
    <t>КПКВК 0712030</t>
  </si>
  <si>
    <t xml:space="preserve"> Лікарсько-акушерська допомога вагітним, породіллям та новонародженим</t>
  </si>
  <si>
    <t>КПКВК 0712100</t>
  </si>
  <si>
    <t>Стоматологічна допомога населенню</t>
  </si>
  <si>
    <t>чисельність осіб, яким сплачуються пільгові пенсії</t>
  </si>
  <si>
    <t>кількість штатних посад лікарів-інтернів</t>
  </si>
  <si>
    <t>витрати на придбання тромболітичних препаратів</t>
  </si>
  <si>
    <t>витрати на придбання медикаментів, витратних матеріалів для стентування коронарних судин</t>
  </si>
  <si>
    <t>чисельність осіб, які потребують введення тромболітичних препаратів</t>
  </si>
  <si>
    <t>чисельність осіб, які потребують стентування коронарних судин</t>
  </si>
  <si>
    <t>чисельність осіб, яким проведений тромболізис</t>
  </si>
  <si>
    <t>чисельність осіб, яким проведено стентування коронарних судин</t>
  </si>
  <si>
    <t xml:space="preserve">середня вартість проведеного тромболізису </t>
  </si>
  <si>
    <t>середня вартість проведеного стентування коронарних судин</t>
  </si>
  <si>
    <t>відсоток осіб, яким проведений тромболізис від потребуючих</t>
  </si>
  <si>
    <t>відсоток осіб, яким проведене стентування коронарних судин</t>
  </si>
  <si>
    <t>чисельність осіб, яким встановлено діагноз гострий інсульт головного мозку</t>
  </si>
  <si>
    <t>чисельність осіб, яким проведено тромболізис</t>
  </si>
  <si>
    <t>відсоток осіб, яким проведений тромболізис від загального числа хворих на інсульт</t>
  </si>
  <si>
    <t>чисельність осіб, які потребують проведення гемодіалізу</t>
  </si>
  <si>
    <t>середня вартість медикаментів та витратного матеріалу на проведення гемодіалізу з розрахунку на одного хворого</t>
  </si>
  <si>
    <t>Всього на виконання підпрограми, грн</t>
  </si>
  <si>
    <t>КПКВК 0712152</t>
  </si>
  <si>
    <t>Будівництво та реконструкція медичних установ та закладів</t>
  </si>
  <si>
    <t xml:space="preserve">Забезпечення надання спеціалізованої медичної допомоги вагітним, роділлям, породіллям та новонародженим відповідно до галузевих стандартів та виплата винагороди працівникам за виконану ними роботу, відсутність заборгованості по оплаті праці. Придбання обладнання, інвентарю, господарських засобів, меблів, медикаментів, оплата послуг (крім комунальних) тощо для стабільної роботи закладів охорони здоров'я.   </t>
  </si>
  <si>
    <t>Забезпечення надання стоматологічної допомоги відповідно до галузевих стандартів та виплата винагороди працівникам за виконану ними роботу, відсутність заборгованості по оплаті праці.</t>
  </si>
  <si>
    <t>Мета програми: поліпшення фінансового забезпечення закладів охорони  для забезпечення збереження і відновлення здоров’я населення шляхом надання медичних послуг та лікарських засобів належної якості</t>
  </si>
  <si>
    <t>Безоплатне харчування дітей перших 2 років життя</t>
  </si>
  <si>
    <t>кількість дітей перших 2-х років життя, осіб</t>
  </si>
  <si>
    <t xml:space="preserve">середньорічна (планова) кількість зайнятих </t>
  </si>
  <si>
    <t>у т.ч. лікарів</t>
  </si>
  <si>
    <t>кількість відвідувань</t>
  </si>
  <si>
    <t>кількість лікарських відвідувань на одну лікарську посаду</t>
  </si>
  <si>
    <t>кількість призовників</t>
  </si>
  <si>
    <t>середні витрати на обстеження одного призовника</t>
  </si>
  <si>
    <t>КПКВК 0712111</t>
  </si>
  <si>
    <t>Первинна медична допомога населенню, що надається центрами первинної медичної (медико-санітарної) допомоги</t>
  </si>
  <si>
    <t>Багатопрофільна стаціонарна медична допомога населенню</t>
  </si>
  <si>
    <t>Лікарсько-акушерська допомога вагітним, породіллям та новонародженим</t>
  </si>
  <si>
    <t>кількість пільгової категорії  населення</t>
  </si>
  <si>
    <t xml:space="preserve"> Інші програми та заходи у сфері охорони здоров'я</t>
  </si>
  <si>
    <t xml:space="preserve">Кількість підгузків </t>
  </si>
  <si>
    <t>Кількість калоприймачів, катетерів,уропрезервативи</t>
  </si>
  <si>
    <t xml:space="preserve">Кількість прокладок урологічних </t>
  </si>
  <si>
    <t>середня вартість придбання 1 підгузка, грн.</t>
  </si>
  <si>
    <t>чисельність осіб, які потребують пільгового забезпечення</t>
  </si>
  <si>
    <t>чисельність осіб, хворих на орфанні захворювання, які потребують пільгових медикаментів</t>
  </si>
  <si>
    <t>середні витрати на 1 дитину, хвору на орфанні захворювання, яка потребує забезпечення пільговими медикаментами, грн.</t>
  </si>
  <si>
    <t>середні витрати на 1 дитину, хвору на орфанні захворювання, яка потребує спеціального харчування, грн.</t>
  </si>
  <si>
    <t>черга громадян, які мають отримувати  пільгове зубне протезування</t>
  </si>
  <si>
    <t>кількість осіб, яким надані/будуть надані до кінця року послуги по зубному протезуванню на пільгових умовах</t>
  </si>
  <si>
    <t>середня вартість зубопротезування на одного пацієнта</t>
  </si>
  <si>
    <t>питома вага осіб, що отримали пільгове зубопротезування, до загальної кількості осіб,  що перебують пільгового зубопротезування, %</t>
  </si>
  <si>
    <t>кількість осіб, яким встановлені/будуть встановлені до кінця року слухові апарати</t>
  </si>
  <si>
    <t>середня вартість протезування на одного пацієнта</t>
  </si>
  <si>
    <t>питома вага осіб, яким встановлені слухові апарати, до загальної кількості осіб, які перебувають у черзі, %</t>
  </si>
  <si>
    <t>рівень охоплення населення туберкулінодіагностикою, %</t>
  </si>
  <si>
    <t>0717322</t>
  </si>
  <si>
    <t>Кількість заходів у місті Суми, що потребують супроводу медичних працівників</t>
  </si>
  <si>
    <t>Планова кількість заходів м.Суми з супровідом медичних працівників під  доведений обсяг видатків</t>
  </si>
  <si>
    <t>Середні видатки на обслуговування одного заходу м.Суми</t>
  </si>
  <si>
    <t>Питома вага планової кількості заходів  до  загальної кількості заходів , що потребують медичного супроводу, %</t>
  </si>
  <si>
    <t>КПКВК 0712144</t>
  </si>
  <si>
    <t>Централізовані заходи з лікування хворих на цукровий та нецукровий діабет</t>
  </si>
  <si>
    <t>кількість хворих на цукровий діабет, які забезпечуються препаратами інсуліна</t>
  </si>
  <si>
    <t>Середні видатки на проведення відшкодування вартості  препаратів інсуліну  на 1 хворого на цукровий діабет, грн.</t>
  </si>
  <si>
    <t>кількість закладів</t>
  </si>
  <si>
    <t>середні витрати на забезпечення системами відеоспостереження 1 приміщення, грн.</t>
  </si>
  <si>
    <t>КПКВК 0717361</t>
  </si>
  <si>
    <t xml:space="preserve">Співфінансування інвестиційних проєктів, що реалізуються за рахунок коштів державного фонду регіонального розвитку </t>
  </si>
  <si>
    <t>КПКВК 0717322</t>
  </si>
  <si>
    <t>Будівництво медичних установ та закладів</t>
  </si>
  <si>
    <t>витрати на проведення капітальних ремонтів</t>
  </si>
  <si>
    <t xml:space="preserve">витрати на придбання довгострокового обладнання </t>
  </si>
  <si>
    <t>Кількість одиниць необхідного обладнання</t>
  </si>
  <si>
    <t>Кількість одиниць обладнання, що планується придбати</t>
  </si>
  <si>
    <t>кількість площі, що потребують капітального ремонту</t>
  </si>
  <si>
    <t>кількість площі, що планується ремонтувати</t>
  </si>
  <si>
    <t>питома вага відремонтованої площо до загальної потреби</t>
  </si>
  <si>
    <t>питома вага обладнання, що планується придбати до загальної кількості необхідного обладнання</t>
  </si>
  <si>
    <t>відсоток охоплення, %</t>
  </si>
  <si>
    <t>Субвенція з державного бюджету на здійснення заходів щодо соціально-економічного розвитку окремих територій (спеціальний фонд)</t>
  </si>
  <si>
    <t xml:space="preserve">Субвенція з державного бюджету на здійснення заходів щодо соціально-економічного розвитку окремих територій (спеціальний фонд)
</t>
  </si>
  <si>
    <t>чисельність осіб, яким проведено КТ</t>
  </si>
  <si>
    <t>середня вартість ремонту 1 кв.м приміщень</t>
  </si>
  <si>
    <t>0712150</t>
  </si>
  <si>
    <t>Відділ охорони здоров'я Сумської міської ради                                                                         Інші програми, заклади та заходи у сфері охорони здоров'я</t>
  </si>
  <si>
    <t>Відділ охорони здоров'я Сумської міської ради                                                           Інші програми та  заходи у сфері охорони здоров'я</t>
  </si>
  <si>
    <t>0712140</t>
  </si>
  <si>
    <t>Відділ охорони здоров'я Сумської міської ради                                                                   Програми і централізовані заходи у галузі охорони здоров'я</t>
  </si>
  <si>
    <t>Відділ охорони здоров'я Сумської міської ради                                                            Первинна медична допомога населенню, що надається центрами первинної медичної (медико-санітарної) допомоги</t>
  </si>
  <si>
    <t xml:space="preserve">Відділ охорони здоров'я Сумської міської ради                                                           Співфінансування інвестиційних проєктів, що реалізуються за рахунок коштів державного фонду регіонального розвитку </t>
  </si>
  <si>
    <t>Відділ охорони здоров'я Сумської міської ради                                                           Будівництво медичних установ та закладів</t>
  </si>
  <si>
    <t>_____________ "___"______________ 2020 р.</t>
  </si>
  <si>
    <t>Відділ охорони здоров'я Сумської міської ради                                                         Виконання інвестиційних проєктів в рамках здійснення заходів щодо соціально-економічного розвитку окремих територій</t>
  </si>
  <si>
    <t>Розвиток первинної медико-санітарної допомоги</t>
  </si>
  <si>
    <t>Розвиток вторинної (спеціалізованої) медичної допомоги</t>
  </si>
  <si>
    <t>Відділ охорони здоров’я СМР</t>
  </si>
  <si>
    <t>ПІДПРОГРАМА 2.  Забезпечення соціальних стандартів у сфері охорони здоров'я</t>
  </si>
  <si>
    <t xml:space="preserve"> Виконання соціальних гарантій пільгових категорій громадян</t>
  </si>
  <si>
    <t>Інші заходи</t>
  </si>
  <si>
    <t>Інші заклади</t>
  </si>
  <si>
    <t>1.1.</t>
  </si>
  <si>
    <t xml:space="preserve">1.1.1. Сприяння в утриманні закладів первинного рівня  </t>
  </si>
  <si>
    <t>1.1.2. Співфінансування покриття вартості комунальних послуг та енергоносіїв</t>
  </si>
  <si>
    <t>1.1.3. Забезпечення проведення туберкулінодіагностики (придбання туберкуліну)</t>
  </si>
  <si>
    <t xml:space="preserve">1.2.1. Забезпечення надання вторинної медичної допомоги </t>
  </si>
  <si>
    <t>2.1.</t>
  </si>
  <si>
    <t>1.2.</t>
  </si>
  <si>
    <t>1.2.2. Покриття вартості комунальних послуг та енергоносіїв</t>
  </si>
  <si>
    <t>1.2.9. Забезпечення  первинного підвищення кваліфікації випускників вищих медичних закладів (інтернатура)</t>
  </si>
  <si>
    <t>1.2.10. Забезпечення проведення обов'язкових профілактичних медичних оглядів працівників бюджетної сфери</t>
  </si>
  <si>
    <t>1.3.</t>
  </si>
  <si>
    <t xml:space="preserve"> Розвиток лікарсько-акушерської допомоги </t>
  </si>
  <si>
    <t>1.3.1. Забезпечення надання лікарсько-акушерської допомоги вагітним, роділлям, породіллям та новонародженим</t>
  </si>
  <si>
    <t>1.4.</t>
  </si>
  <si>
    <t xml:space="preserve">1.4.1. Забезпечення надання стоматологічної допомоги  дорослому населенню          </t>
  </si>
  <si>
    <t>1.4.2. Покриття вартості комунальних послуг та енергоносіїв</t>
  </si>
  <si>
    <t xml:space="preserve">2.1.1. Забезпечення пільгової категорії населення лікарськими засобами за безкоштовними рецептами (забезпечення відповідних категорій хворих лікуванням на пільгових умовах згідно постанови КМУ від 17.08.1998 №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t>
  </si>
  <si>
    <t xml:space="preserve">2.1.2. Забезпечення осіб з інвалідністю, дітей з інвалідністю технічними та іншими засобами для догляду у домашніх умовах </t>
  </si>
  <si>
    <t xml:space="preserve">2.1.3.Забезпечення дітей лікарськими засобами з окремими видами захворювань      </t>
  </si>
  <si>
    <t xml:space="preserve">2.1.4. Забезпечення дітей, які страждають на рідкісні (орфанні) захворювання лікарськими засобами </t>
  </si>
  <si>
    <t xml:space="preserve">2.1.5. Забезпечення дітей, які страждають на рідкісні (орфанні) захворювання відповідними харчовими продуктами </t>
  </si>
  <si>
    <t>2.1.6. Забезпечення надання громадянам послуг по зубопротезуванню на пільгових умовах</t>
  </si>
  <si>
    <t>2.1.7. Забезпечення слуховими апаратами дорослого населення з інвалідністю по слуху</t>
  </si>
  <si>
    <t>3.1.</t>
  </si>
  <si>
    <t>3.1.1.Супровід медичними працівниками заходів у Сумській міській об'єднаній територіальній громаді</t>
  </si>
  <si>
    <t>3.2.</t>
  </si>
  <si>
    <t>3.3.</t>
  </si>
  <si>
    <t xml:space="preserve">3.2.1.Забезпечення діяльності централізованої бухгалтерії  та інформаційно-аналітичного центру медичної статистики відділу охорони здоров'я СМР                   </t>
  </si>
  <si>
    <t>3.3.1. Закупівля лікарських засобів, медичних виробів, засобів індивідуального захисту, антисептиків</t>
  </si>
  <si>
    <t>3.3.2. Виплата додаткової доплати працівникам, які задіяні безпосередньо до надання медичної допомоги хворим на гостру респіраторну хворобу COVID-19, спричинену коронавірусом SARS-CoV-2</t>
  </si>
  <si>
    <t>ПІДПРОГРАМА 4. Приведення закладів охорони здоров'я у відповідність до сучасних потреб</t>
  </si>
  <si>
    <t>4.1.</t>
  </si>
  <si>
    <t>Зміцнення та оновлення матеріально-технічної бази закладів охорони здоров'я</t>
  </si>
  <si>
    <t xml:space="preserve">4.1.1. Придбання обладнання довгострокового користування                          </t>
  </si>
  <si>
    <t xml:space="preserve">4.1.2. Проведення капітальних ремонтів                                           </t>
  </si>
  <si>
    <t xml:space="preserve">Видатки галузі, які враховані в інших цільових програмах та інші джерела фінансування </t>
  </si>
  <si>
    <t xml:space="preserve"> Програма Сумської міської об’єднаної територіальної громади «Cоціальна підтримка захисників України та членів їх сімей» на 2020-2022 роки»</t>
  </si>
  <si>
    <t>1.</t>
  </si>
  <si>
    <t xml:space="preserve">Медичне забезпечення учасників антитерористичної операції та членів сімей загиблих (померлих) учасників антитерористичної операції </t>
  </si>
  <si>
    <t>Програма підвищення енергоефективності в бюджетній сфері Сумської міської об’єднаної територіальної громади на 2020-2022 роки</t>
  </si>
  <si>
    <t xml:space="preserve">Підвищення енергоефективності в закладах охорони здоров'я міста </t>
  </si>
  <si>
    <t>з них по закладах:</t>
  </si>
  <si>
    <t xml:space="preserve">Будівництво та реконструкція комунальних некомерційних підприємств </t>
  </si>
  <si>
    <t xml:space="preserve">Медичне обслуговування населення за програмою медичних гарантій </t>
  </si>
  <si>
    <t>Надання медичної допомоги на платній основі</t>
  </si>
  <si>
    <t xml:space="preserve">Забезпечення комфортних умов у закладах охорони здоров'я </t>
  </si>
  <si>
    <t xml:space="preserve">Сприяння при наданні медичної допомоги  у закладах охорони здоров'я </t>
  </si>
  <si>
    <t>1.2.4. Забезпечення надання антирабічної допомоги</t>
  </si>
  <si>
    <t>1.3.2. Покриття вартості комунальних послуг та енергоносіїв</t>
  </si>
  <si>
    <t>1.3.3. Забезпечення харчуванням пацієнтів у відділеннях стаціонару</t>
  </si>
  <si>
    <t>1.3.4. Забезпечення  первинного підвищення кваліфікації випускників вищих медичних закладів (інтернатура)</t>
  </si>
  <si>
    <t>ПІДПРОГРАМА 1.  Покращення надання медичної допомоги населенню</t>
  </si>
  <si>
    <t>Всього по напряму 1.1. , у тому числі:</t>
  </si>
  <si>
    <t>1.2.3. Забезпечення пацієнтів харчуванням у відділеннях стаціонару</t>
  </si>
  <si>
    <t>Забезпечення харчування дітей перших двох років життя та дітей від ВІЛ -інфікованих  матерів</t>
  </si>
  <si>
    <t xml:space="preserve">Збереження стоматологічного здоров'я населення </t>
  </si>
  <si>
    <t xml:space="preserve">Всього по напряму 1.3, у тому числі </t>
  </si>
  <si>
    <t>Всього по напряму 1.4, у тому числі</t>
  </si>
  <si>
    <t>Всього по напряму 1.2, у тому числі</t>
  </si>
  <si>
    <t>В розрізі КНП</t>
  </si>
  <si>
    <t xml:space="preserve">Попередження розвитку ускладнень та продовження тривалості і якості життя населення                        </t>
  </si>
  <si>
    <t xml:space="preserve">2.1.8. Забезпечення лікарськими засобами хворих на цукровий та нецукровий діабет                         </t>
  </si>
  <si>
    <t>2.1.9. Забезпечення виплати медичним працівникам  пенсій за віком на пільгових умовах відповідно до Закону України "Про загальнообов'язкове державне пенсійне страхування"</t>
  </si>
  <si>
    <t>з них по</t>
  </si>
  <si>
    <t>2.</t>
  </si>
  <si>
    <t>3.</t>
  </si>
  <si>
    <t>4.</t>
  </si>
  <si>
    <t>5.</t>
  </si>
  <si>
    <t>6.</t>
  </si>
  <si>
    <t>Відділ охорони здоров'я Сумської міської ради                                            Централізовані заходи з лікування хворих на цукровий та нецукровий діабет</t>
  </si>
  <si>
    <t xml:space="preserve">Сприяння в утриманні закладів первинного рівня  </t>
  </si>
  <si>
    <t>Співфінансування покриття вартості комунальних послуг та енергоносіїв</t>
  </si>
  <si>
    <t xml:space="preserve">Показник ефективності: </t>
  </si>
  <si>
    <t xml:space="preserve">Показник продукту: </t>
  </si>
  <si>
    <t>кількість осіб, які потребують туберкулінодіагностики</t>
  </si>
  <si>
    <t>кількість доз туберкуліну, що планується придбати</t>
  </si>
  <si>
    <t>середня вартість 1 дози туберкуліну, грн.</t>
  </si>
  <si>
    <t xml:space="preserve">Забезпечення надання вторинної медичної допомоги </t>
  </si>
  <si>
    <t>Покриття вартості комунальних послуг та енергоносіїв</t>
  </si>
  <si>
    <t>Забезпечення пацієнтів харчуванням у відділеннях стаціонару</t>
  </si>
  <si>
    <t>кількість осіб, які потребують вакцинації</t>
  </si>
  <si>
    <t>кількість осіб, яким планується провести вакцинацію</t>
  </si>
  <si>
    <t>середня вартість надання антирабічної допомоги на 1 особу, грн.</t>
  </si>
  <si>
    <t>рівень охоплення вакцинованих осіб від потребуючих, %</t>
  </si>
  <si>
    <t>Забезпечення первинного підвищення кваліфікації випускників вищих медичних закладів (інтернатура)</t>
  </si>
  <si>
    <t>Забезпечення проведення обов'язкових профілактичних медичних оглядів працівників бюджетної сфери</t>
  </si>
  <si>
    <t>Забезпечення функціонування молочної кухні</t>
  </si>
  <si>
    <t>Забезпечення функціонування відділення медико-соціальної допомоги дітям та молоді "Клініка, дружня до молоді"</t>
  </si>
  <si>
    <t>середньмісячні витрати на утримання молочної кухні, грн.</t>
  </si>
  <si>
    <t>середньмісячні витрати на утримання "Клініка, дружня до молоді", грн.</t>
  </si>
  <si>
    <t>Сприяння організації призову громадян на військову службу</t>
  </si>
  <si>
    <t>Всього на виконання підпрограми 1, грн.</t>
  </si>
  <si>
    <t>Всього на виконання підпрограми 2, грн.</t>
  </si>
  <si>
    <t xml:space="preserve">Забезпечення пільгової категорії населення лікарськими засобами за безкоштовними рецептами </t>
  </si>
  <si>
    <t>середня вартість одного пільгового рецепта, грн.</t>
  </si>
  <si>
    <t xml:space="preserve">Забезпечення осіб з інвалідністю, дітей з інвалідністю технічними та іншими засобами для догляду у домашніх умовах </t>
  </si>
  <si>
    <t xml:space="preserve">Забезпечення дітей лікарськими засобами з окремими видами захворювань      </t>
  </si>
  <si>
    <t xml:space="preserve">Забезпечення дітей, які страждають на рідкісні (орфанні) захворювання лікарськими засобами </t>
  </si>
  <si>
    <t xml:space="preserve">Забезпечення дітей, які страждають на рідкісні (орфанні) захворювання відповідними харчовими продуктами </t>
  </si>
  <si>
    <t>чисельність осіб, хворих на орфанні захворювання, які потребують спеціальних продуктів харчцвання</t>
  </si>
  <si>
    <t>Забезпечення слуховими апаратами дорослого населення з інвалідністю по слуху</t>
  </si>
  <si>
    <t>кількість осіб, які потребують встановлення слухових апаратів</t>
  </si>
  <si>
    <t>середня вартість слухопротезування протезування на одного пацієнта, грн.</t>
  </si>
  <si>
    <t xml:space="preserve">Забезпечення лікарськими засобами хворих на цукровий та нецукровий діабет                  </t>
  </si>
  <si>
    <t xml:space="preserve">Забезпечення діяльності централізованої бухгалтерії  та інформаційно-аналітичного центру медичної статистики відділу охорони здоров'я СМР                   </t>
  </si>
  <si>
    <t>середньомісячні витрати на утримання відділів, грн.</t>
  </si>
  <si>
    <t>Закупівля лікарських засобів, медичних виробів, засобів індивідуального захисту, антисептиків</t>
  </si>
  <si>
    <t>Середні видатки витрати на 1 заклад охорони здоров'я, грн.</t>
  </si>
  <si>
    <t>Виплата додаткової доплати працівникам, які задіяні безпосередньо до надання медичної допомоги хворим на гостру респіраторну хворобу COVID-19, спричинену коронавірусом SARS-CoV-2</t>
  </si>
  <si>
    <t>Середньомісячні витрати на 1 заклад охорони здоров'я, грн.</t>
  </si>
  <si>
    <t>КПКВК 0717363</t>
  </si>
  <si>
    <t>Виконання інвестиційних проєктів в рамках здійснення заходів щодо соціально-економічного розвитку окремих територій</t>
  </si>
  <si>
    <t>3.4.1.Впровадження та підтримка ІТ-послуг, сервісів, систем відеоспостереження в закладах охорони здоров'я</t>
  </si>
  <si>
    <t>Забезпечення приєднання закладів охорони здоров'я до загальноміської системи відеоспостереження</t>
  </si>
  <si>
    <t>кількість приміщень, які планується забезпечити системами відеоспостереження</t>
  </si>
  <si>
    <t>Всього на виконання програми (без коштів на виконання інших цільових програм), грн.</t>
  </si>
  <si>
    <t>Забезпечити безпеку присутніх на масштабних заходах під час великого скупчення людей</t>
  </si>
  <si>
    <t>Інша субвенція з місцевого бюджету (загальний фонд)</t>
  </si>
  <si>
    <t>Разом по заходу 1.1.1</t>
  </si>
  <si>
    <t>Разом по заходу 1.2.1</t>
  </si>
  <si>
    <t>Забезпечення надання вторинної (амбулаторної та стаціонарної) медичної допомоги відповідно до галузевих стандартів</t>
  </si>
  <si>
    <t xml:space="preserve">Потреба у видатках на відшкодування вартості препаратів інсуліну хворим на цукровий діабет </t>
  </si>
  <si>
    <r>
      <t xml:space="preserve">1.2.5. Забезпечення надання медичної допомоги хворим на інфаркт міокарда </t>
    </r>
    <r>
      <rPr>
        <i/>
        <sz val="22"/>
        <rFont val="Times New Roman"/>
        <family val="1"/>
        <charset val="204"/>
      </rPr>
      <t>(придбання тромболітичних препаратів,                                                 медикаментів, витратних матеріалів для стентування коронарних судин)</t>
    </r>
  </si>
  <si>
    <r>
      <t>1.2.6. Забезпечення надання медичної допомоги хворим на інсульт</t>
    </r>
    <r>
      <rPr>
        <i/>
        <sz val="22"/>
        <rFont val="Times New Roman"/>
        <family val="1"/>
        <charset val="204"/>
      </rPr>
      <t xml:space="preserve"> (придбання препарату Актилізе)</t>
    </r>
  </si>
  <si>
    <r>
      <t>КНП "Центр первинної медико-санітарної допомоги № 1" СМР</t>
    </r>
    <r>
      <rPr>
        <i/>
        <sz val="22"/>
        <rFont val="Times New Roman"/>
        <family val="1"/>
        <charset val="204"/>
      </rPr>
      <t xml:space="preserve"> (капітальні)</t>
    </r>
  </si>
  <si>
    <r>
      <t xml:space="preserve">КНП "Центр первинної медико-санітарної допомоги № 2" СМР </t>
    </r>
    <r>
      <rPr>
        <i/>
        <sz val="22"/>
        <rFont val="Times New Roman"/>
        <family val="1"/>
        <charset val="204"/>
      </rPr>
      <t>(капітальні)</t>
    </r>
  </si>
  <si>
    <t>Разом по заходу 1.1.2</t>
  </si>
  <si>
    <t>Разом по заходу 1.1.3</t>
  </si>
  <si>
    <t>Разом по заходу 1.2.2</t>
  </si>
  <si>
    <t>Разом по заходу 1.2.3</t>
  </si>
  <si>
    <r>
      <t xml:space="preserve">1.2.7. Забезпечення лікування хворих на хронічну ниркову недостатність методом гемодіалізу до 01.04.2020 </t>
    </r>
    <r>
      <rPr>
        <i/>
        <sz val="22"/>
        <rFont val="Times New Roman"/>
        <family val="1"/>
        <charset val="204"/>
      </rPr>
      <t>(придбання медикаментів та витратних матеріалів)</t>
    </r>
    <r>
      <rPr>
        <sz val="22"/>
        <rFont val="Times New Roman"/>
        <family val="1"/>
        <charset val="204"/>
      </rPr>
      <t xml:space="preserve"> </t>
    </r>
  </si>
  <si>
    <t>Разом по заходу 1.2.7</t>
  </si>
  <si>
    <r>
      <t>1.2.8. Забезпечення проведення обстеження пацієнтів методами КТ, МРТ</t>
    </r>
    <r>
      <rPr>
        <i/>
        <sz val="22"/>
        <rFont val="Times New Roman"/>
        <family val="1"/>
        <charset val="204"/>
      </rPr>
      <t xml:space="preserve"> (оплата послуг обстеження пацієнтів методами КТ, МРТ)</t>
    </r>
  </si>
  <si>
    <t>Разом по заходу 1.2.8</t>
  </si>
  <si>
    <t>Разом по заходу 1.2.9</t>
  </si>
  <si>
    <t>Визначення стану здоров’я працівників навчальних закладів, що знаходяться у комунальній власності Сумської міської ради, закладів та установ соціального захисту міського підпорядкування, зокрема можливості виконання ним певних трудових обов’язків, а також попередження виникненню та розповсюдженню інфекційних хвороб</t>
  </si>
  <si>
    <t>Забезпечення безперервного проведення процедури гемодіалізу особам, які хворі на хронічну ниркову недостатність, до 01.04.2020</t>
  </si>
  <si>
    <t>Разом по заходу 1.3.1</t>
  </si>
  <si>
    <t>Разом по заходу 1.4.1</t>
  </si>
  <si>
    <t>Разом по заходу 2.1.1</t>
  </si>
  <si>
    <t>Разом по заходу 2.1.2</t>
  </si>
  <si>
    <t>Разом по заходу 2.1.4</t>
  </si>
  <si>
    <t>Разом по заходу 2.1.6</t>
  </si>
  <si>
    <t>Разом по заходу 2.1.8</t>
  </si>
  <si>
    <t>Разом по заходу 2.1.9</t>
  </si>
  <si>
    <t>Разом по заходу 3.3.2.</t>
  </si>
  <si>
    <t>Запобігти поширенню інфекційних захворювань на території Сумської міської ОТГ, забезпечення належного рівня надання медичної допомоги хворим на інфекційні захворювання</t>
  </si>
  <si>
    <t>Всього по напряму 3.1.</t>
  </si>
  <si>
    <t>Всього по напряму 3.3., у тому числі</t>
  </si>
  <si>
    <t>Разом по заходу 4.1.1.</t>
  </si>
  <si>
    <t>Разом по заходу 4.1.2.</t>
  </si>
  <si>
    <t xml:space="preserve">4.1.3. Участь у інвестиційних проєктах, що реалізуються за рахунок коштів державного фонду регіонального розвитку    </t>
  </si>
  <si>
    <t>чисельність осіб, яким проведено процедуру гемодіалізу</t>
  </si>
  <si>
    <r>
      <t xml:space="preserve">Показник продукту: </t>
    </r>
    <r>
      <rPr>
        <sz val="18"/>
        <rFont val="Times New Roman"/>
        <family val="1"/>
        <charset val="204"/>
      </rPr>
      <t>кількість установ, од.</t>
    </r>
  </si>
  <si>
    <r>
      <t xml:space="preserve">Показник ефективності: </t>
    </r>
    <r>
      <rPr>
        <sz val="18"/>
        <rFont val="Times New Roman"/>
        <family val="1"/>
        <charset val="204"/>
      </rPr>
      <t>середні витрати на 1 заклад охорони здоров'я, грн.</t>
    </r>
  </si>
  <si>
    <r>
      <t xml:space="preserve">Показник продукту: </t>
    </r>
    <r>
      <rPr>
        <sz val="18"/>
        <rFont val="Times New Roman"/>
        <family val="1"/>
        <charset val="204"/>
      </rPr>
      <t>кількість ліжко-днів у стаціонарах, од.</t>
    </r>
  </si>
  <si>
    <r>
      <t>Надання медичної допомоги хворим на інсульт (</t>
    </r>
    <r>
      <rPr>
        <i/>
        <sz val="18"/>
        <rFont val="Times New Roman"/>
        <family val="1"/>
        <charset val="204"/>
      </rPr>
      <t>придбання препарату Актилізе</t>
    </r>
    <r>
      <rPr>
        <sz val="18"/>
        <rFont val="Times New Roman"/>
        <family val="1"/>
        <charset val="204"/>
      </rPr>
      <t xml:space="preserve">) </t>
    </r>
  </si>
  <si>
    <t>чисельність осіб, які потребують проведення обстеження</t>
  </si>
  <si>
    <t>відсоток обстежених від потребуючих</t>
  </si>
  <si>
    <r>
      <t xml:space="preserve">Показник ефективності: </t>
    </r>
    <r>
      <rPr>
        <sz val="18"/>
        <rFont val="Times New Roman"/>
        <family val="1"/>
        <charset val="204"/>
      </rPr>
      <t>середньомісячні витрати на заклад охорони здоров'я, грн.</t>
    </r>
  </si>
  <si>
    <t>середньомісячні витрати на утримання 1 посади інтерна, грн.</t>
  </si>
  <si>
    <t>кількість осіб, які мають пройти профілактичний медичний огляд</t>
  </si>
  <si>
    <t xml:space="preserve">кількість осіб, яким будуть надані послуги  </t>
  </si>
  <si>
    <t>середня вартість проведеного медичного огляду однієї особи, грн.</t>
  </si>
  <si>
    <r>
      <t xml:space="preserve">Показник ефективності: </t>
    </r>
    <r>
      <rPr>
        <sz val="18"/>
        <rFont val="Times New Roman"/>
        <family val="1"/>
        <charset val="204"/>
      </rPr>
      <t>середньомісячні витрати на утримання закладу охорони здоров'я, грн.</t>
    </r>
  </si>
  <si>
    <t>середня вартість придбання 1 калоприймачів, катетерів, уропрезервативи, грн.</t>
  </si>
  <si>
    <t>середня вартість придбання 1 прокладки урологічної, грн.</t>
  </si>
  <si>
    <t>Обсяг видатків для придбання підгузків, грн.</t>
  </si>
  <si>
    <t>Обсяг видатків для придбання калоприймачів, катетерів, уропрезервативи, грн.</t>
  </si>
  <si>
    <t>Обсяг видатків для придбання прокладок урологічних, грн.</t>
  </si>
  <si>
    <t>середні витрати на одну дитину, яка потребує пільгового забезпечення за пільговими рецептами, грн.</t>
  </si>
  <si>
    <t>середньомісячні витрати на відшкодування пільгових пенсій на 1 особу, грн.</t>
  </si>
  <si>
    <t>Інші джерела коштів (кредитні кошти НЕФКО)</t>
  </si>
  <si>
    <r>
      <t>Забезпечення проведення туберкулінодіагностики (</t>
    </r>
    <r>
      <rPr>
        <i/>
        <sz val="18"/>
        <rFont val="Times New Roman"/>
        <family val="1"/>
        <charset val="204"/>
      </rPr>
      <t>придбання туберкуліну</t>
    </r>
    <r>
      <rPr>
        <sz val="18"/>
        <rFont val="Times New Roman"/>
        <family val="1"/>
        <charset val="204"/>
      </rPr>
      <t>)</t>
    </r>
  </si>
  <si>
    <t>середні видатки на придбання одиниці обладнання</t>
  </si>
  <si>
    <t>кількість відділів</t>
  </si>
  <si>
    <t>Забезпечення виплати медичним працівникам пенсій за віком на пільгових умовах відповідно до Закону України "Про загальнообов'язкове державне пенсійне страхування"</t>
  </si>
  <si>
    <t>кількість дітей, народжених від ВІЛ-інфікованих матерів,  які отримують безоплатне харчування (ВІЛ), осіб</t>
  </si>
  <si>
    <t>Безоплатне харчування дітей, народжених від ВІЛ-інфікованих матерів</t>
  </si>
  <si>
    <t>середньомісячні витрати на безоплатне харчування 1 дитини до 2-х років життя, грн.</t>
  </si>
  <si>
    <t>середньомісячні витрати на безоплатне харчування 1 дитини, народженої від ВІЛ-інфікованої матері, грн.</t>
  </si>
  <si>
    <t>середня вартість 1 обстеження, грн.</t>
  </si>
  <si>
    <t>Забезпечення лікування хворих на хронічну ниркову недостатність методом гемодіалізу до 01.04.2020</t>
  </si>
  <si>
    <r>
      <t xml:space="preserve">Показник ефективності: </t>
    </r>
    <r>
      <rPr>
        <sz val="18"/>
        <rFont val="Times New Roman"/>
        <family val="1"/>
        <charset val="204"/>
      </rPr>
      <t>середні витрати на харчування у розрахунку на 1 ліжко-день, грн.</t>
    </r>
  </si>
  <si>
    <t>ПІДПРОГРАМА 3. Інші заходи та заклади у сфері охорони здоров'я</t>
  </si>
  <si>
    <t>ПІДПРОГРАМА 3.  Інші заходи та заклади у сфері охорони здоров'я</t>
  </si>
  <si>
    <t>Інша субвенція з місцевого бюджету (спеціальний фонд)</t>
  </si>
  <si>
    <t>4.1.4. Участь у проєктах, що фінансуються за рахунок субвенції з державного бюджету місцевим бюджетам на реалізацію проєктів з реконтсрукції, капітального ремонту приймальних відділень в опорних закладах охорони здоров'я у госпітальних округах</t>
  </si>
  <si>
    <t>Субвенція з державного бюджету місцевим бюджетам (спеціальний фонд)</t>
  </si>
  <si>
    <t>7.</t>
  </si>
  <si>
    <t>Співфінансування проєктів, що фінансуються за рахунок субвенції з державного бюджету місцевим бюджетам на реалізацію проєктів з реконтсрукції, капітального ремонту приймальних відділень в опорних закладах охорони здоров'я у госпітальних округах</t>
  </si>
  <si>
    <t>Проведення капітального ремонту приміщення для розміщення відділення невідкладної допомоги у КНП "Центральна міська клінічна лікарня" СМР</t>
  </si>
  <si>
    <t>0719770</t>
  </si>
  <si>
    <t>Відділ охорони здоров'я Сумської міської ради                                                         Інші субвенції з місцевого бюджету</t>
  </si>
  <si>
    <t xml:space="preserve">Розвиток лікарсько-акушерської допомоги </t>
  </si>
  <si>
    <t>0712020</t>
  </si>
  <si>
    <t>Відділ охорони здоров'я Сумської міської ради                                                              Спеціалізована стаціонарна медична допомога населенню</t>
  </si>
  <si>
    <t xml:space="preserve">1.2.11. Забезпечення надання психіатричної медичної допомоги </t>
  </si>
  <si>
    <t>КНП СОР "Обласна клінічна спеціалізована лікарня"</t>
  </si>
  <si>
    <t>1.2.12. Забезпечення функціонування молочної кухні</t>
  </si>
  <si>
    <t>1.2.13. Забезпечення функціонування відділення медико-соціальної допомоги дітям та молоді "Клініка, дружня до молоді"</t>
  </si>
  <si>
    <t>1.2.14. Сприяння організації призову громадян на військову службу</t>
  </si>
  <si>
    <t>Разом по заходу 1.2.14</t>
  </si>
  <si>
    <t>Забезпечення надання медичної допомоги мешканцям Сумської міської ОТГ з психіатричними розладами</t>
  </si>
  <si>
    <t>КПКВК 0712020</t>
  </si>
  <si>
    <t>Спеціалізована стаціонарна медична допомога населенню</t>
  </si>
  <si>
    <t>2021 (прогноз)</t>
  </si>
  <si>
    <t>2021 рік (прогноз)</t>
  </si>
  <si>
    <t>бюджетних програм до комплексної Програми Cумської міської територіальної громади «Охорона здоров'я» на 2020-2022 роки»</t>
  </si>
  <si>
    <t>Напрями діяльності (пріоритетні завдання) та заходи комплексної Програми Cумської міської територіальної  громади "Охорона здоров'я" на 2020-2022 роки"</t>
  </si>
  <si>
    <t xml:space="preserve">Результативні показники виконання завдань комплексної  Програми Cумської міської територіальної  громади "Охорона здоров'я" на 2020-2022 роки"
</t>
  </si>
  <si>
    <t>Інші програми та заходи у сфері охорони здоров'я</t>
  </si>
  <si>
    <t>Супровід медичними працівниками заходів у Сумській міській територіальній громаді</t>
  </si>
  <si>
    <t>1.2.16. Закупівля реактивів для проведення ІФА обстежень  медичним працівникам</t>
  </si>
  <si>
    <t>1.2.15. Проведення ендопротезування великих суглобів</t>
  </si>
  <si>
    <t>Надання ортопедичної допомоги хворим на артроз шляхом ендопротезування великих суглобів</t>
  </si>
  <si>
    <t>Проведення обстеження медичних працівників на коронавірус методом ІФА</t>
  </si>
  <si>
    <t>Разом по заходу 1.2.16</t>
  </si>
  <si>
    <t>Разом по заходу 1.1.4</t>
  </si>
  <si>
    <t>1.1.4. Забезпечення дітей, які страждають на рідкісні (орфанні) захворювання відповідними харчовими продуктами, спеціалізоване харчування дітей до 2- років</t>
  </si>
  <si>
    <t xml:space="preserve">Додаток 3                                                                     до рішення "Про внесення змін до рішення Сумської міської ради від 21 жовтня 2020 року № 7548 - МР "Про затвердження комплексної Програми Сумської територіальної громади "Охорона здоров'я" на 2020-2022 роки"                                                                                                             </t>
  </si>
  <si>
    <t xml:space="preserve">Додаток 4                                                                         до рішення "Про внесення змін до рішення Сумської міської ради від 21 жовтня                   2020 року № 7548 - МР "Про затвердження комплексної Програми Сумської територіальної громади "Охорона здоров'я" на 2020-2022 роки"                                                                                                             </t>
  </si>
  <si>
    <t>Кошти бюджету ОТГ/ТГ (загальний фонд)</t>
  </si>
  <si>
    <t xml:space="preserve">Кошти бюджету ОТГ/ТГ (загальний фонд) </t>
  </si>
  <si>
    <t>Кошти  бюджету ОТГ/ТГ (загальний фонд)</t>
  </si>
  <si>
    <t>Кошти бюджету ОТГ /ТГ(загальний фонд)</t>
  </si>
  <si>
    <t>Кошти бюджету ОТГ/ТГ (спеціальний фонд)</t>
  </si>
  <si>
    <t>від  24 грудня 2020 року № 83 -МР</t>
  </si>
  <si>
    <t>від 24 грудня 2020 року № 83 -МР</t>
  </si>
  <si>
    <t>Забезпечення надання психіатричної медичної допомоги мешканцям ТГ</t>
  </si>
  <si>
    <t xml:space="preserve">Додаток 2                                                     до рішення "Про внесення змін до рішення Сумської міської ради від 21 жовтня 2020 року № 7548 - МР "Про затвердження комплексної Програми Сумської територіальної громади "Охорона здоров'я" на 2020-2022 роки"                                                                                                             </t>
  </si>
  <si>
    <r>
      <t>від 24 грудня</t>
    </r>
    <r>
      <rPr>
        <u/>
        <sz val="22"/>
        <rFont val="Times New Roman"/>
        <family val="1"/>
        <charset val="204"/>
      </rPr>
      <t xml:space="preserve"> </t>
    </r>
    <r>
      <rPr>
        <sz val="22"/>
        <rFont val="Times New Roman"/>
        <family val="1"/>
        <charset val="204"/>
      </rPr>
      <t>2020 року № 83 -МР</t>
    </r>
  </si>
  <si>
    <t>Міський голова</t>
  </si>
  <si>
    <t>О.М.Лисенко</t>
  </si>
</sst>
</file>

<file path=xl/styles.xml><?xml version="1.0" encoding="utf-8"?>
<styleSheet xmlns="http://schemas.openxmlformats.org/spreadsheetml/2006/main">
  <numFmts count="3">
    <numFmt numFmtId="164" formatCode="0.0"/>
    <numFmt numFmtId="165" formatCode="0.000"/>
    <numFmt numFmtId="166" formatCode="#,##0.0"/>
  </numFmts>
  <fonts count="39">
    <font>
      <sz val="10"/>
      <name val="Arial"/>
    </font>
    <font>
      <b/>
      <sz val="14"/>
      <name val="Times New Roman"/>
      <family val="1"/>
      <charset val="204"/>
    </font>
    <font>
      <sz val="12"/>
      <name val="Times New Roman"/>
      <family val="1"/>
      <charset val="204"/>
    </font>
    <font>
      <sz val="14"/>
      <name val="Times New Roman"/>
      <family val="1"/>
      <charset val="204"/>
    </font>
    <font>
      <sz val="12"/>
      <name val="Times New Roman"/>
      <family val="1"/>
      <charset val="204"/>
    </font>
    <font>
      <sz val="10"/>
      <name val="Arial"/>
      <family val="2"/>
      <charset val="204"/>
    </font>
    <font>
      <sz val="8"/>
      <color indexed="8"/>
      <name val="Arial"/>
      <family val="2"/>
      <charset val="204"/>
    </font>
    <font>
      <sz val="12"/>
      <name val="Times New Roman"/>
      <family val="1"/>
    </font>
    <font>
      <sz val="14"/>
      <color indexed="8"/>
      <name val="Times New Roman"/>
      <family val="1"/>
      <charset val="204"/>
    </font>
    <font>
      <sz val="16"/>
      <name val="Times New Roman"/>
      <family val="1"/>
      <charset val="204"/>
    </font>
    <font>
      <b/>
      <sz val="18"/>
      <name val="Times New Roman"/>
      <family val="1"/>
      <charset val="204"/>
    </font>
    <font>
      <b/>
      <sz val="16"/>
      <name val="Times New Roman"/>
      <family val="1"/>
      <charset val="204"/>
    </font>
    <font>
      <sz val="14"/>
      <name val="Arial"/>
      <family val="2"/>
      <charset val="204"/>
    </font>
    <font>
      <b/>
      <sz val="14"/>
      <color rgb="FF7030A0"/>
      <name val="Times New Roman"/>
      <family val="1"/>
      <charset val="204"/>
    </font>
    <font>
      <sz val="10"/>
      <color rgb="FF7030A0"/>
      <name val="Arial"/>
      <family val="2"/>
      <charset val="204"/>
    </font>
    <font>
      <sz val="18"/>
      <name val="Times New Roman"/>
      <family val="1"/>
      <charset val="204"/>
    </font>
    <font>
      <b/>
      <sz val="20"/>
      <name val="Times New Roman"/>
      <family val="1"/>
      <charset val="204"/>
    </font>
    <font>
      <sz val="8"/>
      <name val="Arial"/>
      <family val="2"/>
      <charset val="204"/>
    </font>
    <font>
      <b/>
      <i/>
      <sz val="18"/>
      <name val="Times New Roman"/>
      <family val="1"/>
      <charset val="204"/>
    </font>
    <font>
      <sz val="20"/>
      <name val="Times New Roman"/>
      <family val="1"/>
      <charset val="204"/>
    </font>
    <font>
      <b/>
      <sz val="25"/>
      <name val="Times New Roman"/>
      <family val="1"/>
      <charset val="204"/>
    </font>
    <font>
      <sz val="14"/>
      <color rgb="FF7030A0"/>
      <name val="Times New Roman"/>
      <family val="1"/>
      <charset val="204"/>
    </font>
    <font>
      <b/>
      <sz val="22"/>
      <name val="Times New Roman"/>
      <family val="1"/>
      <charset val="204"/>
    </font>
    <font>
      <b/>
      <sz val="24"/>
      <name val="Times New Roman"/>
      <family val="1"/>
      <charset val="204"/>
    </font>
    <font>
      <b/>
      <sz val="26"/>
      <name val="Times New Roman"/>
      <family val="1"/>
      <charset val="204"/>
    </font>
    <font>
      <sz val="22"/>
      <name val="Times New Roman"/>
      <family val="1"/>
      <charset val="204"/>
    </font>
    <font>
      <sz val="22"/>
      <name val="Arial"/>
      <family val="2"/>
      <charset val="204"/>
    </font>
    <font>
      <i/>
      <sz val="22"/>
      <name val="Times New Roman"/>
      <family val="1"/>
      <charset val="204"/>
    </font>
    <font>
      <sz val="20"/>
      <color theme="0"/>
      <name val="Times New Roman"/>
      <family val="1"/>
      <charset val="204"/>
    </font>
    <font>
      <sz val="18"/>
      <name val="Arial"/>
      <family val="2"/>
      <charset val="204"/>
    </font>
    <font>
      <b/>
      <i/>
      <sz val="22"/>
      <name val="Times New Roman"/>
      <family val="1"/>
      <charset val="204"/>
    </font>
    <font>
      <sz val="24"/>
      <name val="Times New Roman"/>
      <family val="1"/>
      <charset val="204"/>
    </font>
    <font>
      <i/>
      <sz val="18"/>
      <name val="Times New Roman"/>
      <family val="1"/>
      <charset val="204"/>
    </font>
    <font>
      <sz val="18"/>
      <color indexed="8"/>
      <name val="Times New Roman"/>
      <family val="1"/>
      <charset val="204"/>
    </font>
    <font>
      <sz val="16"/>
      <name val="Arial"/>
      <family val="2"/>
      <charset val="204"/>
    </font>
    <font>
      <b/>
      <sz val="28"/>
      <name val="Times New Roman"/>
      <family val="1"/>
      <charset val="204"/>
    </font>
    <font>
      <sz val="20"/>
      <name val="Arial"/>
      <family val="2"/>
      <charset val="204"/>
    </font>
    <font>
      <sz val="28"/>
      <name val="Times New Roman"/>
      <family val="1"/>
      <charset val="204"/>
    </font>
    <font>
      <u/>
      <sz val="22"/>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s>
  <cellStyleXfs count="9">
    <xf numFmtId="0" fontId="0" fillId="0" borderId="0"/>
    <xf numFmtId="0" fontId="6" fillId="0" borderId="0"/>
    <xf numFmtId="0" fontId="5" fillId="0" borderId="0"/>
    <xf numFmtId="0" fontId="4" fillId="0" borderId="0"/>
    <xf numFmtId="9" fontId="5" fillId="0" borderId="0" applyFont="0" applyFill="0" applyBorder="0" applyAlignment="0" applyProtection="0"/>
    <xf numFmtId="0" fontId="7" fillId="0" borderId="0"/>
    <xf numFmtId="0" fontId="17" fillId="0" borderId="0">
      <alignment horizontal="left"/>
    </xf>
    <xf numFmtId="0" fontId="2" fillId="0" borderId="0"/>
    <xf numFmtId="0" fontId="17" fillId="0" borderId="0">
      <alignment horizontal="left"/>
    </xf>
  </cellStyleXfs>
  <cellXfs count="552">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wrapText="1"/>
    </xf>
    <xf numFmtId="0" fontId="3" fillId="0" borderId="0" xfId="0" applyFont="1" applyAlignment="1">
      <alignment vertical="top"/>
    </xf>
    <xf numFmtId="0" fontId="3" fillId="0" borderId="0" xfId="0" applyFont="1" applyAlignment="1">
      <alignment vertical="top" wrapText="1"/>
    </xf>
    <xf numFmtId="0" fontId="1" fillId="0" borderId="1" xfId="0" applyFont="1" applyBorder="1" applyAlignment="1">
      <alignment horizontal="center"/>
    </xf>
    <xf numFmtId="0" fontId="3" fillId="2" borderId="0" xfId="0" applyFont="1" applyFill="1"/>
    <xf numFmtId="0" fontId="3" fillId="2" borderId="0" xfId="0" applyFont="1" applyFill="1" applyAlignment="1">
      <alignment horizontal="right"/>
    </xf>
    <xf numFmtId="164" fontId="3" fillId="2" borderId="0" xfId="0" applyNumberFormat="1" applyFont="1" applyFill="1"/>
    <xf numFmtId="0" fontId="9" fillId="2" borderId="0" xfId="0" applyFont="1" applyFill="1"/>
    <xf numFmtId="0" fontId="3" fillId="2" borderId="0" xfId="0" applyFont="1" applyFill="1" applyBorder="1" applyAlignment="1">
      <alignment horizontal="left" vertical="top" wrapText="1"/>
    </xf>
    <xf numFmtId="0" fontId="9" fillId="2" borderId="0" xfId="0" applyFont="1" applyFill="1" applyAlignment="1">
      <alignment horizontal="center" vertical="center"/>
    </xf>
    <xf numFmtId="0" fontId="9" fillId="2" borderId="0" xfId="0" applyFont="1" applyFill="1" applyAlignment="1">
      <alignment wrapText="1"/>
    </xf>
    <xf numFmtId="0" fontId="9" fillId="2" borderId="0" xfId="0" applyFont="1" applyFill="1" applyAlignment="1">
      <alignment horizontal="center"/>
    </xf>
    <xf numFmtId="0" fontId="12" fillId="0" borderId="0" xfId="0" applyFont="1"/>
    <xf numFmtId="0" fontId="3" fillId="0" borderId="0" xfId="0" applyFont="1" applyAlignment="1">
      <alignment horizontal="left" wrapText="1"/>
    </xf>
    <xf numFmtId="0" fontId="3" fillId="0" borderId="0" xfId="0" applyFont="1" applyAlignment="1">
      <alignment horizontal="justify"/>
    </xf>
    <xf numFmtId="0" fontId="3" fillId="0" borderId="0" xfId="0" applyFont="1" applyAlignment="1">
      <alignment horizontal="left"/>
    </xf>
    <xf numFmtId="0" fontId="3" fillId="2" borderId="0" xfId="0" applyFont="1" applyFill="1" applyBorder="1" applyAlignment="1">
      <alignment horizontal="center" vertical="top" wrapText="1"/>
    </xf>
    <xf numFmtId="49" fontId="8" fillId="0" borderId="1" xfId="0" applyNumberFormat="1" applyFont="1" applyBorder="1" applyAlignment="1">
      <alignment horizontal="center" vertical="center" wrapText="1"/>
    </xf>
    <xf numFmtId="49" fontId="8" fillId="0" borderId="1" xfId="0" applyNumberFormat="1" applyFont="1" applyBorder="1" applyAlignment="1">
      <alignment horizontal="center" vertical="top" wrapText="1"/>
    </xf>
    <xf numFmtId="49" fontId="3" fillId="0" borderId="1" xfId="0" applyNumberFormat="1" applyFont="1" applyBorder="1" applyAlignment="1">
      <alignment horizontal="center" vertical="top" wrapText="1"/>
    </xf>
    <xf numFmtId="0" fontId="3" fillId="0" borderId="0" xfId="0" applyFont="1" applyAlignment="1">
      <alignment horizontal="right"/>
    </xf>
    <xf numFmtId="49" fontId="15" fillId="2" borderId="1" xfId="0" applyNumberFormat="1" applyFont="1" applyFill="1" applyBorder="1" applyAlignment="1">
      <alignment vertical="center" wrapText="1"/>
    </xf>
    <xf numFmtId="0" fontId="1" fillId="2" borderId="1" xfId="0" applyFont="1" applyFill="1" applyBorder="1" applyAlignment="1">
      <alignment horizontal="center" vertical="center" wrapText="1"/>
    </xf>
    <xf numFmtId="0" fontId="16" fillId="2" borderId="0" xfId="0" applyFont="1" applyFill="1" applyBorder="1" applyAlignment="1">
      <alignment horizontal="left" vertical="center" wrapText="1"/>
    </xf>
    <xf numFmtId="0" fontId="16" fillId="2" borderId="0" xfId="0" applyFont="1" applyFill="1" applyBorder="1" applyAlignment="1">
      <alignment horizontal="left" vertical="top" wrapText="1"/>
    </xf>
    <xf numFmtId="49" fontId="15" fillId="2" borderId="1" xfId="0" applyNumberFormat="1" applyFont="1" applyFill="1" applyBorder="1" applyAlignment="1">
      <alignment horizontal="left" vertical="top" wrapText="1"/>
    </xf>
    <xf numFmtId="0" fontId="11" fillId="2" borderId="6" xfId="0" applyFont="1" applyFill="1" applyBorder="1" applyAlignment="1">
      <alignment vertical="top"/>
    </xf>
    <xf numFmtId="0" fontId="15" fillId="2" borderId="0" xfId="0" applyFont="1" applyFill="1" applyAlignment="1">
      <alignment wrapText="1"/>
    </xf>
    <xf numFmtId="0" fontId="19" fillId="2" borderId="0" xfId="0" applyFont="1" applyFill="1"/>
    <xf numFmtId="0" fontId="19" fillId="2" borderId="0" xfId="0" applyFont="1" applyFill="1" applyAlignment="1">
      <alignment horizontal="center" vertical="center"/>
    </xf>
    <xf numFmtId="0" fontId="19" fillId="2" borderId="0" xfId="0" applyFont="1" applyFill="1" applyAlignment="1">
      <alignment wrapText="1"/>
    </xf>
    <xf numFmtId="0" fontId="19" fillId="2" borderId="0" xfId="0" applyFont="1" applyFill="1" applyAlignment="1">
      <alignment horizontal="center"/>
    </xf>
    <xf numFmtId="0" fontId="25" fillId="2" borderId="0" xfId="0" applyFont="1" applyFill="1" applyAlignment="1">
      <alignment vertical="top"/>
    </xf>
    <xf numFmtId="0" fontId="25" fillId="2" borderId="1" xfId="0" applyNumberFormat="1" applyFont="1" applyFill="1" applyBorder="1" applyAlignment="1">
      <alignment horizontal="left" vertical="top" wrapText="1"/>
    </xf>
    <xf numFmtId="0" fontId="25" fillId="2" borderId="0" xfId="0" applyFont="1" applyFill="1" applyAlignment="1">
      <alignment horizontal="right"/>
    </xf>
    <xf numFmtId="0" fontId="25" fillId="2" borderId="1" xfId="3" applyFont="1" applyFill="1" applyBorder="1" applyAlignment="1">
      <alignment horizontal="left" vertical="top" wrapText="1"/>
    </xf>
    <xf numFmtId="0" fontId="25" fillId="2" borderId="0" xfId="0" applyFont="1" applyFill="1"/>
    <xf numFmtId="166" fontId="16" fillId="2" borderId="9" xfId="0" applyNumberFormat="1" applyFont="1" applyFill="1" applyBorder="1" applyAlignment="1">
      <alignment horizontal="center" vertical="top" wrapText="1"/>
    </xf>
    <xf numFmtId="166" fontId="19" fillId="2" borderId="1" xfId="0" applyNumberFormat="1" applyFont="1" applyFill="1" applyBorder="1" applyAlignment="1">
      <alignment horizontal="center" vertical="top" wrapText="1"/>
    </xf>
    <xf numFmtId="166" fontId="16" fillId="2" borderId="1" xfId="0" applyNumberFormat="1" applyFont="1" applyFill="1" applyBorder="1" applyAlignment="1">
      <alignment horizontal="center" vertical="top" wrapText="1"/>
    </xf>
    <xf numFmtId="49" fontId="22" fillId="2" borderId="6" xfId="0" applyNumberFormat="1" applyFont="1" applyFill="1" applyBorder="1" applyAlignment="1">
      <alignment vertical="top" wrapText="1"/>
    </xf>
    <xf numFmtId="0" fontId="25" fillId="2" borderId="6" xfId="0" applyFont="1" applyFill="1" applyBorder="1" applyAlignment="1">
      <alignment vertical="top" wrapText="1"/>
    </xf>
    <xf numFmtId="0" fontId="15" fillId="2" borderId="1" xfId="0" applyFont="1" applyFill="1" applyBorder="1" applyAlignment="1">
      <alignment horizontal="center"/>
    </xf>
    <xf numFmtId="166" fontId="16" fillId="2" borderId="2" xfId="0" applyNumberFormat="1" applyFont="1" applyFill="1" applyBorder="1" applyAlignment="1">
      <alignment horizontal="center" vertical="top" wrapText="1"/>
    </xf>
    <xf numFmtId="3" fontId="10" fillId="2" borderId="1" xfId="0" applyNumberFormat="1" applyFont="1" applyFill="1" applyBorder="1" applyAlignment="1">
      <alignment horizontal="justify" vertical="top" wrapText="1"/>
    </xf>
    <xf numFmtId="3" fontId="10" fillId="2" borderId="1" xfId="0" applyNumberFormat="1" applyFont="1" applyFill="1" applyBorder="1" applyAlignment="1">
      <alignment horizontal="center" vertical="top" wrapText="1"/>
    </xf>
    <xf numFmtId="3" fontId="15" fillId="2" borderId="1" xfId="0" applyNumberFormat="1" applyFont="1" applyFill="1" applyBorder="1" applyAlignment="1">
      <alignment horizontal="center" vertical="top" wrapText="1"/>
    </xf>
    <xf numFmtId="3" fontId="15" fillId="2" borderId="1" xfId="0" applyNumberFormat="1" applyFont="1" applyFill="1" applyBorder="1"/>
    <xf numFmtId="3" fontId="15" fillId="2" borderId="1" xfId="0" applyNumberFormat="1" applyFont="1" applyFill="1" applyBorder="1" applyAlignment="1">
      <alignment horizontal="justify" vertical="top" wrapText="1"/>
    </xf>
    <xf numFmtId="3" fontId="10" fillId="2" borderId="1" xfId="0" applyNumberFormat="1" applyFont="1" applyFill="1" applyBorder="1" applyAlignment="1">
      <alignment horizontal="left" vertical="top" wrapText="1"/>
    </xf>
    <xf numFmtId="3" fontId="9" fillId="2" borderId="0" xfId="0" applyNumberFormat="1" applyFont="1" applyFill="1"/>
    <xf numFmtId="3" fontId="9" fillId="2" borderId="0" xfId="0" applyNumberFormat="1" applyFont="1" applyFill="1" applyBorder="1"/>
    <xf numFmtId="3" fontId="9" fillId="2" borderId="0" xfId="0" applyNumberFormat="1" applyFont="1" applyFill="1" applyAlignment="1">
      <alignment horizontal="center"/>
    </xf>
    <xf numFmtId="3" fontId="11" fillId="2" borderId="1" xfId="0" applyNumberFormat="1" applyFont="1" applyFill="1" applyBorder="1" applyAlignment="1">
      <alignment horizontal="center" vertical="top" wrapText="1"/>
    </xf>
    <xf numFmtId="3" fontId="18" fillId="2" borderId="1" xfId="0" applyNumberFormat="1" applyFont="1" applyFill="1" applyBorder="1" applyAlignment="1">
      <alignment horizontal="justify" vertical="top" wrapText="1"/>
    </xf>
    <xf numFmtId="3" fontId="10" fillId="2" borderId="1" xfId="6" applyNumberFormat="1" applyFont="1" applyFill="1" applyBorder="1" applyAlignment="1">
      <alignment horizontal="left" vertical="top" wrapText="1"/>
    </xf>
    <xf numFmtId="3" fontId="15" fillId="2" borderId="1" xfId="0" applyNumberFormat="1" applyFont="1" applyFill="1" applyBorder="1" applyAlignment="1">
      <alignment horizontal="right" vertical="center" wrapText="1"/>
    </xf>
    <xf numFmtId="3" fontId="15" fillId="2" borderId="1" xfId="0" applyNumberFormat="1" applyFont="1" applyFill="1" applyBorder="1" applyAlignment="1">
      <alignment horizontal="left" vertical="top" wrapText="1"/>
    </xf>
    <xf numFmtId="3" fontId="15" fillId="2" borderId="1" xfId="7" applyNumberFormat="1" applyFont="1" applyFill="1" applyBorder="1" applyAlignment="1">
      <alignment vertical="center" wrapText="1"/>
    </xf>
    <xf numFmtId="3" fontId="15" fillId="2" borderId="1" xfId="0" applyNumberFormat="1" applyFont="1" applyFill="1" applyBorder="1" applyAlignment="1">
      <alignment horizontal="right" wrapText="1"/>
    </xf>
    <xf numFmtId="3" fontId="15" fillId="2" borderId="1" xfId="0" applyNumberFormat="1" applyFont="1" applyFill="1" applyBorder="1" applyAlignment="1">
      <alignment vertical="top" wrapText="1"/>
    </xf>
    <xf numFmtId="3" fontId="15" fillId="2" borderId="1" xfId="7" applyNumberFormat="1" applyFont="1" applyFill="1" applyBorder="1" applyAlignment="1">
      <alignment vertical="top" wrapText="1"/>
    </xf>
    <xf numFmtId="3" fontId="15" fillId="2" borderId="1" xfId="0" applyNumberFormat="1" applyFont="1" applyFill="1" applyBorder="1" applyAlignment="1">
      <alignment horizontal="left" vertical="center" wrapText="1"/>
    </xf>
    <xf numFmtId="3" fontId="10" fillId="2" borderId="1" xfId="0" applyNumberFormat="1" applyFont="1" applyFill="1" applyBorder="1"/>
    <xf numFmtId="3" fontId="15" fillId="2" borderId="1" xfId="0" applyNumberFormat="1" applyFont="1" applyFill="1" applyBorder="1" applyAlignment="1">
      <alignment wrapText="1"/>
    </xf>
    <xf numFmtId="3" fontId="15" fillId="2" borderId="1" xfId="0" applyNumberFormat="1" applyFont="1" applyFill="1" applyBorder="1" applyAlignment="1">
      <alignment horizontal="center"/>
    </xf>
    <xf numFmtId="3" fontId="10" fillId="2" borderId="1" xfId="0" applyNumberFormat="1" applyFont="1" applyFill="1" applyBorder="1" applyAlignment="1">
      <alignment vertical="top" wrapText="1" shrinkToFit="1"/>
    </xf>
    <xf numFmtId="3" fontId="3" fillId="2" borderId="0" xfId="0" applyNumberFormat="1" applyFont="1" applyFill="1"/>
    <xf numFmtId="3" fontId="15" fillId="2" borderId="0" xfId="0" applyNumberFormat="1" applyFont="1" applyFill="1" applyBorder="1" applyAlignment="1">
      <alignment wrapText="1"/>
    </xf>
    <xf numFmtId="3" fontId="10" fillId="2" borderId="0" xfId="0" applyNumberFormat="1" applyFont="1" applyFill="1" applyBorder="1"/>
    <xf numFmtId="3" fontId="15" fillId="2" borderId="0" xfId="0" applyNumberFormat="1" applyFont="1" applyFill="1" applyBorder="1"/>
    <xf numFmtId="3" fontId="15" fillId="2" borderId="0" xfId="0" applyNumberFormat="1" applyFont="1" applyFill="1"/>
    <xf numFmtId="3" fontId="15" fillId="2" borderId="0" xfId="0" applyNumberFormat="1" applyFont="1" applyFill="1" applyAlignment="1">
      <alignment horizontal="right"/>
    </xf>
    <xf numFmtId="3" fontId="15" fillId="2" borderId="0" xfId="0" applyNumberFormat="1" applyFont="1" applyFill="1" applyAlignment="1">
      <alignment horizontal="center" vertical="center"/>
    </xf>
    <xf numFmtId="3" fontId="15" fillId="2" borderId="0" xfId="0" applyNumberFormat="1" applyFont="1" applyFill="1" applyAlignment="1">
      <alignment wrapText="1"/>
    </xf>
    <xf numFmtId="3" fontId="15" fillId="2" borderId="0" xfId="0" applyNumberFormat="1" applyFont="1" applyFill="1" applyAlignment="1">
      <alignment horizontal="center"/>
    </xf>
    <xf numFmtId="3" fontId="3" fillId="2" borderId="0" xfId="0" applyNumberFormat="1" applyFont="1" applyFill="1" applyAlignment="1">
      <alignment vertical="top" wrapText="1"/>
    </xf>
    <xf numFmtId="3" fontId="9" fillId="2" borderId="0" xfId="0" applyNumberFormat="1" applyFont="1" applyFill="1" applyAlignment="1">
      <alignment vertical="top" wrapText="1"/>
    </xf>
    <xf numFmtId="3" fontId="15" fillId="2" borderId="0" xfId="0" applyNumberFormat="1" applyFont="1" applyFill="1" applyAlignment="1">
      <alignment horizontal="left"/>
    </xf>
    <xf numFmtId="3" fontId="15" fillId="2" borderId="0" xfId="0" applyNumberFormat="1" applyFont="1" applyFill="1" applyAlignment="1">
      <alignment vertical="top"/>
    </xf>
    <xf numFmtId="3" fontId="19" fillId="2" borderId="0" xfId="0" applyNumberFormat="1" applyFont="1" applyFill="1"/>
    <xf numFmtId="3" fontId="19" fillId="2" borderId="0" xfId="0" applyNumberFormat="1" applyFont="1" applyFill="1" applyAlignment="1">
      <alignment horizontal="right"/>
    </xf>
    <xf numFmtId="3" fontId="19" fillId="2" borderId="0" xfId="0" applyNumberFormat="1" applyFont="1" applyFill="1" applyAlignment="1">
      <alignment horizontal="center" vertical="center"/>
    </xf>
    <xf numFmtId="3" fontId="19" fillId="2" borderId="0" xfId="0" applyNumberFormat="1" applyFont="1" applyFill="1" applyAlignment="1">
      <alignment wrapText="1"/>
    </xf>
    <xf numFmtId="3" fontId="19" fillId="2" borderId="0" xfId="0" applyNumberFormat="1" applyFont="1" applyFill="1" applyAlignment="1">
      <alignment horizontal="center"/>
    </xf>
    <xf numFmtId="0" fontId="9" fillId="0" borderId="0" xfId="0" applyFont="1"/>
    <xf numFmtId="0" fontId="34" fillId="0" borderId="0" xfId="0" applyFont="1"/>
    <xf numFmtId="3" fontId="25" fillId="2" borderId="0" xfId="0" applyNumberFormat="1" applyFont="1" applyFill="1" applyAlignment="1">
      <alignment horizontal="left"/>
    </xf>
    <xf numFmtId="3" fontId="25" fillId="2" borderId="0" xfId="0" applyNumberFormat="1" applyFont="1" applyFill="1"/>
    <xf numFmtId="0" fontId="19" fillId="0" borderId="0" xfId="0" applyFont="1"/>
    <xf numFmtId="0" fontId="36" fillId="0" borderId="0" xfId="0" applyFont="1"/>
    <xf numFmtId="0" fontId="19" fillId="0" borderId="0" xfId="0" applyFont="1" applyAlignment="1">
      <alignment horizontal="right"/>
    </xf>
    <xf numFmtId="0" fontId="9" fillId="0" borderId="0" xfId="0" applyFont="1" applyAlignment="1">
      <alignment horizontal="left"/>
    </xf>
    <xf numFmtId="49" fontId="3" fillId="0" borderId="1" xfId="0" applyNumberFormat="1" applyFont="1" applyFill="1" applyBorder="1" applyAlignment="1">
      <alignment horizontal="center" vertical="top" wrapText="1"/>
    </xf>
    <xf numFmtId="0" fontId="37" fillId="2" borderId="0" xfId="0" applyFont="1" applyFill="1"/>
    <xf numFmtId="0" fontId="37" fillId="2" borderId="0" xfId="0" applyFont="1" applyFill="1" applyAlignment="1">
      <alignment horizontal="right"/>
    </xf>
    <xf numFmtId="0" fontId="37" fillId="2" borderId="0" xfId="0" applyFont="1" applyFill="1" applyAlignment="1">
      <alignment horizontal="center" vertical="center"/>
    </xf>
    <xf numFmtId="0" fontId="37" fillId="2" borderId="0" xfId="0" applyFont="1" applyFill="1" applyAlignment="1">
      <alignment wrapText="1"/>
    </xf>
    <xf numFmtId="0" fontId="37" fillId="2" borderId="0" xfId="0" applyFont="1" applyFill="1" applyAlignment="1">
      <alignment horizontal="center"/>
    </xf>
    <xf numFmtId="0" fontId="25" fillId="2" borderId="0" xfId="0" applyFont="1" applyFill="1" applyAlignment="1">
      <alignment horizontal="left"/>
    </xf>
    <xf numFmtId="3" fontId="9" fillId="2" borderId="0" xfId="0" applyNumberFormat="1" applyFont="1" applyFill="1" applyAlignment="1">
      <alignment horizontal="left"/>
    </xf>
    <xf numFmtId="3" fontId="10" fillId="2" borderId="1" xfId="0" applyNumberFormat="1" applyFont="1" applyFill="1" applyBorder="1" applyAlignment="1">
      <alignment horizontal="left"/>
    </xf>
    <xf numFmtId="166" fontId="22" fillId="2" borderId="1" xfId="0" applyNumberFormat="1" applyFont="1" applyFill="1" applyBorder="1" applyAlignment="1">
      <alignment horizontal="center" vertical="top" wrapText="1"/>
    </xf>
    <xf numFmtId="166" fontId="25" fillId="2" borderId="1" xfId="0" applyNumberFormat="1" applyFont="1" applyFill="1" applyBorder="1" applyAlignment="1">
      <alignment horizontal="center" vertical="top" wrapText="1"/>
    </xf>
    <xf numFmtId="166" fontId="22" fillId="2" borderId="6" xfId="0" applyNumberFormat="1" applyFont="1" applyFill="1" applyBorder="1" applyAlignment="1">
      <alignment horizontal="center" vertical="top" wrapText="1"/>
    </xf>
    <xf numFmtId="166" fontId="25" fillId="2" borderId="6" xfId="0" applyNumberFormat="1" applyFont="1" applyFill="1" applyBorder="1" applyAlignment="1">
      <alignment horizontal="center" vertical="top" wrapText="1"/>
    </xf>
    <xf numFmtId="164" fontId="25" fillId="2" borderId="1" xfId="0" applyNumberFormat="1" applyFont="1" applyFill="1" applyBorder="1" applyAlignment="1">
      <alignment horizontal="center" vertical="top" wrapText="1"/>
    </xf>
    <xf numFmtId="166" fontId="22" fillId="2" borderId="1" xfId="0" applyNumberFormat="1" applyFont="1" applyFill="1" applyBorder="1" applyAlignment="1">
      <alignment horizontal="center" vertical="center" wrapText="1"/>
    </xf>
    <xf numFmtId="166" fontId="25" fillId="2" borderId="1" xfId="0" applyNumberFormat="1" applyFont="1" applyFill="1" applyBorder="1" applyAlignment="1">
      <alignment horizontal="center" vertical="top"/>
    </xf>
    <xf numFmtId="166" fontId="25" fillId="2" borderId="9" xfId="0" applyNumberFormat="1" applyFont="1" applyFill="1" applyBorder="1" applyAlignment="1">
      <alignment horizontal="center" vertical="top" wrapText="1"/>
    </xf>
    <xf numFmtId="0" fontId="25" fillId="2" borderId="1" xfId="0" applyFont="1" applyFill="1" applyBorder="1" applyAlignment="1">
      <alignment horizontal="center" vertical="top" wrapText="1"/>
    </xf>
    <xf numFmtId="4" fontId="16" fillId="2" borderId="1" xfId="0" applyNumberFormat="1" applyFont="1" applyFill="1" applyBorder="1" applyAlignment="1">
      <alignment horizontal="center" vertical="top" wrapText="1"/>
    </xf>
    <xf numFmtId="166" fontId="22" fillId="2" borderId="9" xfId="0" applyNumberFormat="1" applyFont="1" applyFill="1" applyBorder="1" applyAlignment="1">
      <alignment horizontal="center" vertical="center" wrapText="1"/>
    </xf>
    <xf numFmtId="164" fontId="13" fillId="2" borderId="0" xfId="0" applyNumberFormat="1" applyFont="1" applyFill="1" applyBorder="1" applyAlignment="1">
      <alignment horizontal="center" wrapText="1"/>
    </xf>
    <xf numFmtId="0" fontId="5" fillId="2" borderId="0" xfId="0" applyFont="1" applyFill="1"/>
    <xf numFmtId="1" fontId="3" fillId="2" borderId="0" xfId="0" applyNumberFormat="1" applyFont="1" applyFill="1" applyAlignment="1">
      <alignment horizontal="center" vertical="center"/>
    </xf>
    <xf numFmtId="0" fontId="19" fillId="2" borderId="0" xfId="3" applyFont="1" applyFill="1" applyAlignment="1">
      <alignment horizontal="center" wrapText="1"/>
    </xf>
    <xf numFmtId="0" fontId="19" fillId="2" borderId="0" xfId="0" applyFont="1" applyFill="1" applyAlignment="1">
      <alignment horizontal="center" wrapText="1"/>
    </xf>
    <xf numFmtId="0" fontId="16" fillId="2" borderId="1" xfId="0" applyFont="1" applyFill="1" applyBorder="1" applyAlignment="1">
      <alignment horizontal="center" vertical="center" wrapText="1"/>
    </xf>
    <xf numFmtId="166" fontId="30" fillId="2" borderId="1" xfId="0" applyNumberFormat="1" applyFont="1" applyFill="1" applyBorder="1" applyAlignment="1">
      <alignment horizontal="center" vertical="center" wrapText="1"/>
    </xf>
    <xf numFmtId="166" fontId="25" fillId="2" borderId="1" xfId="0" applyNumberFormat="1" applyFont="1" applyFill="1" applyBorder="1" applyAlignment="1">
      <alignment horizontal="center" vertical="center" wrapText="1"/>
    </xf>
    <xf numFmtId="166" fontId="30" fillId="2" borderId="6" xfId="0" applyNumberFormat="1" applyFont="1" applyFill="1" applyBorder="1" applyAlignment="1">
      <alignment horizontal="center" vertical="center" wrapText="1"/>
    </xf>
    <xf numFmtId="166" fontId="19" fillId="2" borderId="9" xfId="0" applyNumberFormat="1" applyFont="1" applyFill="1" applyBorder="1" applyAlignment="1">
      <alignment horizontal="center" vertical="top" wrapText="1"/>
    </xf>
    <xf numFmtId="4" fontId="19" fillId="2" borderId="1" xfId="0" applyNumberFormat="1" applyFont="1" applyFill="1" applyBorder="1" applyAlignment="1">
      <alignment horizontal="center" vertical="top" wrapText="1"/>
    </xf>
    <xf numFmtId="2" fontId="19" fillId="2" borderId="1" xfId="0" applyNumberFormat="1" applyFont="1" applyFill="1" applyBorder="1" applyAlignment="1">
      <alignment horizontal="center" vertical="top" wrapText="1"/>
    </xf>
    <xf numFmtId="166" fontId="16" fillId="2" borderId="1" xfId="0" applyNumberFormat="1" applyFont="1" applyFill="1" applyBorder="1" applyAlignment="1">
      <alignment horizontal="center" vertical="center" wrapText="1"/>
    </xf>
    <xf numFmtId="166" fontId="30" fillId="2" borderId="1" xfId="0" applyNumberFormat="1" applyFont="1" applyFill="1" applyBorder="1" applyAlignment="1">
      <alignment horizontal="center" vertical="top" wrapText="1"/>
    </xf>
    <xf numFmtId="166" fontId="22" fillId="2" borderId="1" xfId="0" applyNumberFormat="1" applyFont="1" applyFill="1" applyBorder="1" applyAlignment="1">
      <alignment horizontal="center" wrapText="1"/>
    </xf>
    <xf numFmtId="166" fontId="22" fillId="2" borderId="1" xfId="0" applyNumberFormat="1" applyFont="1" applyFill="1" applyBorder="1" applyAlignment="1">
      <alignment horizontal="center" vertical="top"/>
    </xf>
    <xf numFmtId="0" fontId="25" fillId="2" borderId="6" xfId="0" applyFont="1" applyFill="1" applyBorder="1" applyAlignment="1">
      <alignment horizontal="left" vertical="top" wrapText="1"/>
    </xf>
    <xf numFmtId="0" fontId="25" fillId="2" borderId="12" xfId="0" applyFont="1" applyFill="1" applyBorder="1" applyAlignment="1">
      <alignment horizontal="left" vertical="top" wrapText="1"/>
    </xf>
    <xf numFmtId="0" fontId="15" fillId="2" borderId="1" xfId="0" applyFont="1" applyFill="1" applyBorder="1" applyAlignment="1">
      <alignment horizontal="center" vertical="top" wrapText="1"/>
    </xf>
    <xf numFmtId="0" fontId="22" fillId="2" borderId="6" xfId="0" applyFont="1" applyFill="1" applyBorder="1" applyAlignment="1">
      <alignment horizontal="left" vertical="top" wrapText="1"/>
    </xf>
    <xf numFmtId="0" fontId="22" fillId="2" borderId="12" xfId="0" applyFont="1" applyFill="1" applyBorder="1" applyAlignment="1">
      <alignment horizontal="left" vertical="top" wrapText="1"/>
    </xf>
    <xf numFmtId="0" fontId="22" fillId="2" borderId="1" xfId="0" applyFont="1" applyFill="1" applyBorder="1" applyAlignment="1">
      <alignment horizontal="left" vertical="top" wrapText="1"/>
    </xf>
    <xf numFmtId="0" fontId="25" fillId="2" borderId="1" xfId="0" applyFont="1" applyFill="1" applyBorder="1" applyAlignment="1">
      <alignment horizontal="left" vertical="top" wrapText="1"/>
    </xf>
    <xf numFmtId="0" fontId="16" fillId="2" borderId="1" xfId="0" applyFont="1" applyFill="1" applyBorder="1" applyAlignment="1">
      <alignment horizontal="center" vertical="top" wrapText="1"/>
    </xf>
    <xf numFmtId="0" fontId="23" fillId="2" borderId="1" xfId="0" applyFont="1" applyFill="1" applyBorder="1" applyAlignment="1">
      <alignment horizontal="center" vertical="center" wrapText="1"/>
    </xf>
    <xf numFmtId="166" fontId="22" fillId="2" borderId="9" xfId="0" applyNumberFormat="1" applyFont="1" applyFill="1" applyBorder="1" applyAlignment="1">
      <alignment horizontal="center" vertical="top" wrapText="1"/>
    </xf>
    <xf numFmtId="166" fontId="25" fillId="2" borderId="3" xfId="0" applyNumberFormat="1" applyFont="1" applyFill="1" applyBorder="1" applyAlignment="1">
      <alignment horizontal="center" vertical="top" wrapText="1"/>
    </xf>
    <xf numFmtId="0" fontId="37" fillId="2" borderId="0" xfId="0" applyFont="1" applyFill="1" applyAlignment="1">
      <alignment horizontal="center" wrapText="1"/>
    </xf>
    <xf numFmtId="0" fontId="3" fillId="2" borderId="0" xfId="0" applyFont="1" applyFill="1" applyAlignment="1">
      <alignment horizontal="center"/>
    </xf>
    <xf numFmtId="0" fontId="15" fillId="2" borderId="0" xfId="0" applyFont="1" applyFill="1" applyAlignment="1">
      <alignment horizontal="center" vertical="center"/>
    </xf>
    <xf numFmtId="0" fontId="25" fillId="2" borderId="0" xfId="0" applyFont="1" applyFill="1" applyAlignment="1">
      <alignment horizontal="center" vertical="center"/>
    </xf>
    <xf numFmtId="0" fontId="15" fillId="2" borderId="0" xfId="0" applyFont="1" applyFill="1" applyAlignment="1">
      <alignment horizontal="center"/>
    </xf>
    <xf numFmtId="0" fontId="15" fillId="2" borderId="0" xfId="3" applyFont="1" applyFill="1" applyAlignment="1">
      <alignment horizontal="center" wrapText="1"/>
    </xf>
    <xf numFmtId="0" fontId="15" fillId="2" borderId="0" xfId="0" applyFont="1" applyFill="1" applyAlignment="1">
      <alignment horizontal="center" wrapText="1"/>
    </xf>
    <xf numFmtId="0" fontId="25" fillId="2" borderId="0" xfId="0" applyFont="1" applyFill="1" applyAlignment="1">
      <alignment wrapText="1"/>
    </xf>
    <xf numFmtId="0" fontId="1" fillId="2" borderId="0" xfId="0" applyFont="1" applyFill="1" applyAlignment="1">
      <alignment horizontal="center"/>
    </xf>
    <xf numFmtId="0" fontId="25" fillId="2" borderId="0" xfId="0" applyFont="1" applyFill="1" applyAlignment="1">
      <alignment horizontal="left" wrapText="1"/>
    </xf>
    <xf numFmtId="0" fontId="19" fillId="2" borderId="0" xfId="0" applyFont="1" applyFill="1" applyAlignment="1">
      <alignment vertical="top" wrapText="1"/>
    </xf>
    <xf numFmtId="0" fontId="28" fillId="2" borderId="0" xfId="0" applyFont="1" applyFill="1" applyAlignment="1">
      <alignment horizontal="center" wrapText="1"/>
    </xf>
    <xf numFmtId="165" fontId="28" fillId="2" borderId="0" xfId="0" applyNumberFormat="1" applyFont="1" applyFill="1" applyAlignment="1">
      <alignment horizontal="center" wrapText="1"/>
    </xf>
    <xf numFmtId="0" fontId="3" fillId="2" borderId="0" xfId="0" applyFont="1" applyFill="1" applyAlignment="1">
      <alignment horizontal="center" vertical="center"/>
    </xf>
    <xf numFmtId="0" fontId="22"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5" fillId="2" borderId="1" xfId="0" applyFont="1" applyFill="1" applyBorder="1" applyAlignment="1">
      <alignment horizontal="left" vertical="center" wrapText="1"/>
    </xf>
    <xf numFmtId="0" fontId="25" fillId="2" borderId="6" xfId="0" applyFont="1" applyFill="1" applyBorder="1" applyAlignment="1">
      <alignment horizontal="left" vertical="center" wrapText="1"/>
    </xf>
    <xf numFmtId="166" fontId="22" fillId="2" borderId="6" xfId="0" applyNumberFormat="1" applyFont="1" applyFill="1" applyBorder="1" applyAlignment="1">
      <alignment horizontal="center" vertical="center" wrapText="1"/>
    </xf>
    <xf numFmtId="0" fontId="22" fillId="2" borderId="3" xfId="0" applyFont="1" applyFill="1" applyBorder="1" applyAlignment="1">
      <alignment vertical="top" wrapText="1"/>
    </xf>
    <xf numFmtId="0" fontId="22" fillId="2" borderId="4" xfId="0" applyFont="1" applyFill="1" applyBorder="1" applyAlignment="1">
      <alignment vertical="top" wrapText="1"/>
    </xf>
    <xf numFmtId="0" fontId="22" fillId="2" borderId="2" xfId="0" applyFont="1" applyFill="1" applyBorder="1" applyAlignment="1">
      <alignment vertical="top" wrapText="1"/>
    </xf>
    <xf numFmtId="0" fontId="15" fillId="2" borderId="1" xfId="0" applyFont="1" applyFill="1" applyBorder="1" applyAlignment="1">
      <alignment horizontal="center" vertical="center" wrapText="1"/>
    </xf>
    <xf numFmtId="1" fontId="1" fillId="2" borderId="0" xfId="0" applyNumberFormat="1" applyFont="1" applyFill="1" applyAlignment="1">
      <alignment horizontal="center" vertical="center"/>
    </xf>
    <xf numFmtId="0" fontId="1" fillId="2" borderId="0" xfId="0" applyFont="1" applyFill="1" applyAlignment="1">
      <alignment horizontal="center" vertical="center"/>
    </xf>
    <xf numFmtId="0" fontId="25" fillId="2" borderId="1" xfId="0" applyFont="1" applyFill="1" applyBorder="1" applyAlignment="1">
      <alignment vertical="top" wrapText="1"/>
    </xf>
    <xf numFmtId="0" fontId="15" fillId="2" borderId="9" xfId="0" applyFont="1" applyFill="1" applyBorder="1" applyAlignment="1">
      <alignment horizontal="center" vertical="top" wrapText="1"/>
    </xf>
    <xf numFmtId="0" fontId="15" fillId="2" borderId="1" xfId="3" applyFont="1" applyFill="1" applyBorder="1" applyAlignment="1">
      <alignment horizontal="center" vertical="top" wrapText="1"/>
    </xf>
    <xf numFmtId="0" fontId="25" fillId="2" borderId="6" xfId="3" applyFont="1" applyFill="1" applyBorder="1" applyAlignment="1">
      <alignment vertical="top" wrapText="1"/>
    </xf>
    <xf numFmtId="0" fontId="25" fillId="2" borderId="3" xfId="0" applyFont="1" applyFill="1" applyBorder="1" applyAlignment="1">
      <alignment horizontal="left" vertical="top" wrapText="1"/>
    </xf>
    <xf numFmtId="0" fontId="14" fillId="2" borderId="0" xfId="0" applyFont="1" applyFill="1"/>
    <xf numFmtId="0" fontId="16" fillId="2" borderId="1" xfId="0" applyFont="1" applyFill="1" applyBorder="1" applyAlignment="1">
      <alignment horizontal="center" vertical="top"/>
    </xf>
    <xf numFmtId="0" fontId="26" fillId="2" borderId="0" xfId="0" applyFont="1" applyFill="1" applyBorder="1" applyAlignment="1">
      <alignment horizontal="left"/>
    </xf>
    <xf numFmtId="0" fontId="25" fillId="2" borderId="6" xfId="3" applyFont="1" applyFill="1" applyBorder="1" applyAlignment="1">
      <alignment horizontal="left" vertical="top" wrapText="1"/>
    </xf>
    <xf numFmtId="0" fontId="26" fillId="2" borderId="1" xfId="0" applyFont="1" applyFill="1" applyBorder="1"/>
    <xf numFmtId="0" fontId="25" fillId="2" borderId="1" xfId="3" applyFont="1" applyFill="1" applyBorder="1" applyAlignment="1">
      <alignment vertical="top" wrapText="1"/>
    </xf>
    <xf numFmtId="49" fontId="15" fillId="2" borderId="6" xfId="0" applyNumberFormat="1" applyFont="1" applyFill="1" applyBorder="1" applyAlignment="1">
      <alignment vertical="top" wrapText="1"/>
    </xf>
    <xf numFmtId="166" fontId="15" fillId="2" borderId="1" xfId="0" applyNumberFormat="1" applyFont="1" applyFill="1" applyBorder="1" applyAlignment="1">
      <alignment horizontal="center" vertical="top" wrapText="1"/>
    </xf>
    <xf numFmtId="0" fontId="15" fillId="2" borderId="1" xfId="0" applyFont="1" applyFill="1" applyBorder="1" applyAlignment="1">
      <alignment horizontal="center" wrapText="1"/>
    </xf>
    <xf numFmtId="0" fontId="10" fillId="2" borderId="1" xfId="0" applyFont="1" applyFill="1" applyBorder="1" applyAlignment="1">
      <alignment horizontal="center" vertical="top" wrapText="1"/>
    </xf>
    <xf numFmtId="0" fontId="25" fillId="2" borderId="9" xfId="3" applyFont="1" applyFill="1" applyBorder="1" applyAlignment="1">
      <alignment horizontal="center" vertical="top" wrapText="1"/>
    </xf>
    <xf numFmtId="0" fontId="18" fillId="2" borderId="1" xfId="0" applyFont="1" applyFill="1" applyBorder="1" applyAlignment="1">
      <alignment horizontal="center" vertical="center" wrapText="1"/>
    </xf>
    <xf numFmtId="0" fontId="18" fillId="2" borderId="6" xfId="0" applyFont="1" applyFill="1" applyBorder="1" applyAlignment="1">
      <alignment horizontal="center" vertical="top" wrapText="1"/>
    </xf>
    <xf numFmtId="0" fontId="18" fillId="2" borderId="1" xfId="0" applyFont="1" applyFill="1" applyBorder="1" applyAlignment="1">
      <alignment horizontal="center" vertical="top" wrapText="1"/>
    </xf>
    <xf numFmtId="0" fontId="15" fillId="2" borderId="6" xfId="0" applyFont="1" applyFill="1" applyBorder="1" applyAlignment="1">
      <alignment horizontal="center" vertical="top" wrapText="1"/>
    </xf>
    <xf numFmtId="0" fontId="31" fillId="2" borderId="1" xfId="0" applyFont="1" applyFill="1" applyBorder="1" applyAlignment="1">
      <alignment horizontal="left" vertical="top" wrapText="1"/>
    </xf>
    <xf numFmtId="166" fontId="15" fillId="2" borderId="0" xfId="0" applyNumberFormat="1" applyFont="1" applyFill="1"/>
    <xf numFmtId="166" fontId="3" fillId="2" borderId="0" xfId="0" applyNumberFormat="1" applyFont="1" applyFill="1"/>
    <xf numFmtId="49" fontId="15" fillId="2" borderId="2" xfId="0" applyNumberFormat="1" applyFont="1" applyFill="1" applyBorder="1" applyAlignment="1">
      <alignment horizontal="left" vertical="top" wrapText="1"/>
    </xf>
    <xf numFmtId="49" fontId="15" fillId="2" borderId="1" xfId="0" applyNumberFormat="1" applyFont="1" applyFill="1" applyBorder="1" applyAlignment="1">
      <alignment vertical="top" wrapText="1"/>
    </xf>
    <xf numFmtId="0" fontId="15" fillId="2" borderId="6" xfId="3" applyFont="1" applyFill="1" applyBorder="1" applyAlignment="1">
      <alignment horizontal="center" vertical="top" wrapText="1"/>
    </xf>
    <xf numFmtId="49" fontId="15" fillId="2" borderId="2" xfId="0" applyNumberFormat="1" applyFont="1" applyFill="1" applyBorder="1" applyAlignment="1">
      <alignment vertical="center" wrapText="1"/>
    </xf>
    <xf numFmtId="0" fontId="10" fillId="2" borderId="0" xfId="0" applyFont="1" applyFill="1" applyBorder="1" applyAlignment="1">
      <alignment horizontal="left" vertical="center" wrapText="1"/>
    </xf>
    <xf numFmtId="0" fontId="22" fillId="2" borderId="0" xfId="0" applyFont="1" applyFill="1" applyBorder="1" applyAlignment="1">
      <alignment horizontal="left" vertical="center" wrapText="1"/>
    </xf>
    <xf numFmtId="166" fontId="10" fillId="2" borderId="0" xfId="0" applyNumberFormat="1" applyFont="1" applyFill="1" applyBorder="1" applyAlignment="1">
      <alignment horizontal="center" vertical="center" wrapText="1"/>
    </xf>
    <xf numFmtId="0" fontId="16"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xf>
    <xf numFmtId="0" fontId="25" fillId="2" borderId="8" xfId="0" applyFont="1" applyFill="1" applyBorder="1" applyAlignment="1">
      <alignment horizontal="left" vertical="top" wrapText="1"/>
    </xf>
    <xf numFmtId="0" fontId="15" fillId="2" borderId="9" xfId="3" applyFont="1" applyFill="1" applyBorder="1" applyAlignment="1">
      <alignment horizontal="center" vertical="top" wrapText="1"/>
    </xf>
    <xf numFmtId="0" fontId="11" fillId="2" borderId="12" xfId="0" applyFont="1" applyFill="1" applyBorder="1" applyAlignment="1">
      <alignment vertical="top"/>
    </xf>
    <xf numFmtId="0" fontId="15" fillId="2" borderId="0" xfId="3" applyFont="1" applyFill="1" applyBorder="1" applyAlignment="1">
      <alignment horizontal="center" vertical="top" wrapText="1"/>
    </xf>
    <xf numFmtId="166" fontId="16" fillId="2" borderId="8" xfId="0" applyNumberFormat="1" applyFont="1" applyFill="1" applyBorder="1" applyAlignment="1">
      <alignment horizontal="center" vertical="top" wrapText="1"/>
    </xf>
    <xf numFmtId="49" fontId="22" fillId="2" borderId="1" xfId="0" applyNumberFormat="1" applyFont="1" applyFill="1" applyBorder="1" applyAlignment="1">
      <alignment vertical="top" wrapText="1"/>
    </xf>
    <xf numFmtId="2" fontId="16" fillId="2" borderId="1" xfId="0" applyNumberFormat="1" applyFont="1" applyFill="1" applyBorder="1" applyAlignment="1">
      <alignment horizontal="center" vertical="top" wrapText="1"/>
    </xf>
    <xf numFmtId="166" fontId="15" fillId="2" borderId="6" xfId="0" applyNumberFormat="1" applyFont="1" applyFill="1" applyBorder="1" applyAlignment="1">
      <alignment horizontal="center" vertical="top" wrapText="1"/>
    </xf>
    <xf numFmtId="0" fontId="16" fillId="2" borderId="0" xfId="0" applyFont="1" applyFill="1" applyBorder="1" applyAlignment="1">
      <alignment horizontal="center" vertical="top" wrapText="1"/>
    </xf>
    <xf numFmtId="0" fontId="10" fillId="2" borderId="6" xfId="0" applyFont="1" applyFill="1" applyBorder="1" applyAlignment="1">
      <alignment horizontal="center" vertical="top" wrapText="1"/>
    </xf>
    <xf numFmtId="49" fontId="15" fillId="2" borderId="8" xfId="0" applyNumberFormat="1" applyFont="1" applyFill="1" applyBorder="1" applyAlignment="1">
      <alignment horizontal="left" vertical="top" wrapText="1"/>
    </xf>
    <xf numFmtId="49" fontId="25" fillId="2" borderId="12" xfId="0" applyNumberFormat="1" applyFont="1" applyFill="1" applyBorder="1" applyAlignment="1">
      <alignment horizontal="left" vertical="top" wrapText="1"/>
    </xf>
    <xf numFmtId="49" fontId="25" fillId="2" borderId="1" xfId="0" applyNumberFormat="1" applyFont="1" applyFill="1" applyBorder="1" applyAlignment="1">
      <alignment vertical="top" wrapText="1"/>
    </xf>
    <xf numFmtId="0" fontId="15" fillId="2" borderId="9" xfId="0" applyFont="1" applyFill="1" applyBorder="1" applyAlignment="1">
      <alignment vertical="top" wrapText="1"/>
    </xf>
    <xf numFmtId="0" fontId="18" fillId="2" borderId="9" xfId="0" applyFont="1" applyFill="1" applyBorder="1" applyAlignment="1">
      <alignment horizontal="center" vertical="top" wrapText="1"/>
    </xf>
    <xf numFmtId="0" fontId="10" fillId="2" borderId="1" xfId="0" applyFont="1" applyFill="1" applyBorder="1" applyAlignment="1">
      <alignment horizontal="center" wrapText="1"/>
    </xf>
    <xf numFmtId="0" fontId="10" fillId="2" borderId="6" xfId="0" applyFont="1" applyFill="1" applyBorder="1" applyAlignment="1">
      <alignment vertical="top" wrapText="1"/>
    </xf>
    <xf numFmtId="0" fontId="10" fillId="2" borderId="9" xfId="0" applyFont="1" applyFill="1" applyBorder="1" applyAlignment="1">
      <alignment horizontal="center" vertical="top" wrapText="1"/>
    </xf>
    <xf numFmtId="166" fontId="10" fillId="2" borderId="1" xfId="0" applyNumberFormat="1" applyFont="1" applyFill="1" applyBorder="1" applyAlignment="1">
      <alignment horizontal="center" vertical="top" wrapText="1"/>
    </xf>
    <xf numFmtId="166" fontId="19" fillId="2" borderId="6" xfId="0" applyNumberFormat="1" applyFont="1" applyFill="1" applyBorder="1" applyAlignment="1">
      <alignment horizontal="center" vertical="top" wrapText="1"/>
    </xf>
    <xf numFmtId="166" fontId="19" fillId="2" borderId="12" xfId="0" applyNumberFormat="1" applyFont="1" applyFill="1" applyBorder="1" applyAlignment="1">
      <alignment horizontal="center" vertical="top" wrapText="1"/>
    </xf>
    <xf numFmtId="0" fontId="19" fillId="2" borderId="12" xfId="0" applyFont="1" applyFill="1" applyBorder="1" applyAlignment="1">
      <alignment horizontal="center" vertical="top" wrapText="1"/>
    </xf>
    <xf numFmtId="0" fontId="15" fillId="2" borderId="3" xfId="0" applyFont="1" applyFill="1" applyBorder="1" applyAlignment="1">
      <alignment horizontal="center" vertical="top" wrapText="1"/>
    </xf>
    <xf numFmtId="0" fontId="19" fillId="2" borderId="9" xfId="0" applyFont="1" applyFill="1" applyBorder="1" applyAlignment="1">
      <alignment horizontal="center" vertical="top" wrapText="1"/>
    </xf>
    <xf numFmtId="0" fontId="16" fillId="2" borderId="6" xfId="0" applyFont="1" applyFill="1" applyBorder="1" applyAlignment="1">
      <alignment horizontal="center" vertical="center" wrapText="1"/>
    </xf>
    <xf numFmtId="164" fontId="21" fillId="2" borderId="0" xfId="0" applyNumberFormat="1" applyFont="1" applyFill="1" applyBorder="1" applyAlignment="1">
      <alignment horizontal="center" wrapText="1"/>
    </xf>
    <xf numFmtId="0" fontId="16" fillId="2" borderId="3" xfId="0" applyFont="1" applyFill="1" applyBorder="1" applyAlignment="1">
      <alignment horizontal="center" vertical="top" wrapText="1"/>
    </xf>
    <xf numFmtId="0" fontId="16" fillId="2" borderId="1" xfId="0" applyFont="1" applyFill="1" applyBorder="1" applyAlignment="1">
      <alignment vertical="top" wrapText="1"/>
    </xf>
    <xf numFmtId="0" fontId="16" fillId="2" borderId="6" xfId="0" applyFont="1" applyFill="1" applyBorder="1" applyAlignment="1">
      <alignment vertical="top" wrapText="1"/>
    </xf>
    <xf numFmtId="0" fontId="11" fillId="2" borderId="10" xfId="0" applyFont="1" applyFill="1" applyBorder="1" applyAlignment="1">
      <alignment horizontal="left" vertical="top" wrapText="1"/>
    </xf>
    <xf numFmtId="0" fontId="11" fillId="2" borderId="0" xfId="0" applyFont="1" applyFill="1" applyBorder="1" applyAlignment="1">
      <alignment horizontal="left" vertical="top" wrapText="1"/>
    </xf>
    <xf numFmtId="0" fontId="10" fillId="2" borderId="4" xfId="0" applyFont="1" applyFill="1" applyBorder="1" applyAlignment="1">
      <alignment horizontal="center" vertical="top" wrapText="1"/>
    </xf>
    <xf numFmtId="0" fontId="16" fillId="2" borderId="3" xfId="0" applyFont="1" applyFill="1" applyBorder="1" applyAlignment="1">
      <alignment horizontal="center" vertical="center"/>
    </xf>
    <xf numFmtId="0" fontId="16" fillId="2" borderId="4" xfId="0" applyFont="1" applyFill="1" applyBorder="1" applyAlignment="1">
      <alignment vertical="center"/>
    </xf>
    <xf numFmtId="0" fontId="10" fillId="2" borderId="9" xfId="0" applyFont="1" applyFill="1" applyBorder="1" applyAlignment="1">
      <alignment horizontal="center" vertical="center" wrapText="1"/>
    </xf>
    <xf numFmtId="0" fontId="23" fillId="2" borderId="3" xfId="0" applyFont="1" applyFill="1" applyBorder="1" applyAlignment="1">
      <alignment vertical="center"/>
    </xf>
    <xf numFmtId="0" fontId="22" fillId="2" borderId="4" xfId="0" applyFont="1" applyFill="1" applyBorder="1" applyAlignment="1">
      <alignment vertical="center"/>
    </xf>
    <xf numFmtId="166" fontId="19" fillId="2" borderId="0" xfId="0" applyNumberFormat="1" applyFont="1" applyFill="1" applyAlignment="1">
      <alignment horizontal="center" wrapText="1"/>
    </xf>
    <xf numFmtId="0" fontId="37" fillId="2" borderId="0" xfId="0" applyFont="1" applyFill="1" applyAlignment="1">
      <alignment vertical="top" wrapText="1"/>
    </xf>
    <xf numFmtId="0" fontId="25" fillId="2" borderId="1" xfId="0" applyFont="1" applyFill="1" applyBorder="1" applyAlignment="1">
      <alignment horizontal="left" vertical="top" wrapText="1"/>
    </xf>
    <xf numFmtId="3" fontId="15" fillId="2" borderId="1" xfId="0" applyNumberFormat="1" applyFont="1" applyFill="1" applyBorder="1" applyAlignment="1">
      <alignment horizontal="left" wrapText="1"/>
    </xf>
    <xf numFmtId="3" fontId="15" fillId="2" borderId="1" xfId="0" applyNumberFormat="1" applyFont="1" applyFill="1" applyBorder="1" applyAlignment="1">
      <alignment horizontal="left"/>
    </xf>
    <xf numFmtId="3" fontId="11" fillId="2" borderId="1" xfId="0" applyNumberFormat="1" applyFont="1" applyFill="1" applyBorder="1" applyAlignment="1">
      <alignment horizontal="center" vertical="center" wrapText="1"/>
    </xf>
    <xf numFmtId="3" fontId="11" fillId="2" borderId="1" xfId="0" applyNumberFormat="1" applyFont="1" applyFill="1" applyBorder="1" applyAlignment="1">
      <alignment horizontal="center" wrapText="1"/>
    </xf>
    <xf numFmtId="3" fontId="10" fillId="2" borderId="1" xfId="0" applyNumberFormat="1" applyFont="1" applyFill="1" applyBorder="1" applyAlignment="1">
      <alignment horizontal="right"/>
    </xf>
    <xf numFmtId="3" fontId="15" fillId="2" borderId="1" xfId="0" applyNumberFormat="1" applyFont="1" applyFill="1" applyBorder="1" applyAlignment="1">
      <alignment horizontal="center" wrapText="1"/>
    </xf>
    <xf numFmtId="3" fontId="10" fillId="2" borderId="1" xfId="0" applyNumberFormat="1" applyFont="1" applyFill="1" applyBorder="1" applyAlignment="1">
      <alignment horizontal="right" vertical="top" wrapText="1"/>
    </xf>
    <xf numFmtId="3" fontId="15" fillId="2" borderId="1" xfId="7" applyNumberFormat="1" applyFont="1" applyFill="1" applyBorder="1" applyAlignment="1">
      <alignment wrapText="1"/>
    </xf>
    <xf numFmtId="3" fontId="10" fillId="2" borderId="1" xfId="0" applyNumberFormat="1" applyFont="1" applyFill="1" applyBorder="1" applyAlignment="1">
      <alignment horizontal="left" wrapText="1"/>
    </xf>
    <xf numFmtId="3" fontId="10" fillId="2" borderId="1" xfId="0" applyNumberFormat="1" applyFont="1" applyFill="1" applyBorder="1" applyAlignment="1">
      <alignment horizontal="right" wrapText="1"/>
    </xf>
    <xf numFmtId="3" fontId="33" fillId="2" borderId="1" xfId="8" applyNumberFormat="1" applyFont="1" applyFill="1" applyBorder="1" applyAlignment="1">
      <alignment vertical="center" wrapText="1"/>
    </xf>
    <xf numFmtId="3" fontId="33" fillId="2" borderId="1" xfId="7" applyNumberFormat="1" applyFont="1" applyFill="1" applyBorder="1" applyAlignment="1">
      <alignment vertical="center" wrapText="1"/>
    </xf>
    <xf numFmtId="3" fontId="33" fillId="2" borderId="1" xfId="7" applyNumberFormat="1" applyFont="1" applyFill="1" applyBorder="1" applyAlignment="1">
      <alignment horizontal="left" vertical="center" wrapText="1"/>
    </xf>
    <xf numFmtId="3" fontId="15" fillId="2" borderId="1" xfId="0" applyNumberFormat="1" applyFont="1" applyFill="1" applyBorder="1" applyAlignment="1">
      <alignment horizontal="right" vertical="top" wrapText="1"/>
    </xf>
    <xf numFmtId="3" fontId="33" fillId="2" borderId="1" xfId="7" applyNumberFormat="1" applyFont="1" applyFill="1" applyBorder="1" applyAlignment="1">
      <alignment wrapText="1"/>
    </xf>
    <xf numFmtId="3" fontId="33" fillId="2" borderId="1" xfId="0" applyNumberFormat="1" applyFont="1" applyFill="1" applyBorder="1" applyAlignment="1">
      <alignment horizontal="justify" vertical="center" wrapText="1"/>
    </xf>
    <xf numFmtId="3" fontId="10" fillId="2" borderId="1" xfId="0" applyNumberFormat="1" applyFont="1" applyFill="1" applyBorder="1" applyAlignment="1">
      <alignment horizontal="center" wrapText="1"/>
    </xf>
    <xf numFmtId="3" fontId="10" fillId="2" borderId="1" xfId="0" applyNumberFormat="1" applyFont="1" applyFill="1" applyBorder="1" applyAlignment="1">
      <alignment wrapText="1"/>
    </xf>
    <xf numFmtId="3" fontId="15" fillId="2" borderId="1" xfId="0" applyNumberFormat="1" applyFont="1" applyFill="1" applyBorder="1" applyAlignment="1"/>
    <xf numFmtId="3" fontId="10" fillId="2" borderId="5" xfId="6" applyNumberFormat="1" applyFont="1" applyFill="1" applyBorder="1" applyAlignment="1">
      <alignment horizontal="left" vertical="top" wrapText="1"/>
    </xf>
    <xf numFmtId="3" fontId="10" fillId="2" borderId="6" xfId="0" applyNumberFormat="1" applyFont="1" applyFill="1" applyBorder="1"/>
    <xf numFmtId="3" fontId="10" fillId="2" borderId="6" xfId="7" applyNumberFormat="1" applyFont="1" applyFill="1" applyBorder="1" applyAlignment="1">
      <alignment horizontal="center" wrapText="1"/>
    </xf>
    <xf numFmtId="0" fontId="10" fillId="2" borderId="6" xfId="0" applyFont="1" applyFill="1" applyBorder="1" applyAlignment="1">
      <alignment horizontal="center" vertical="top" wrapText="1"/>
    </xf>
    <xf numFmtId="0" fontId="15" fillId="2" borderId="1" xfId="0" applyFont="1" applyFill="1" applyBorder="1" applyAlignment="1">
      <alignment horizontal="center" vertical="top" wrapText="1"/>
    </xf>
    <xf numFmtId="0" fontId="15" fillId="2" borderId="6" xfId="0" applyFont="1" applyFill="1" applyBorder="1" applyAlignment="1">
      <alignment horizontal="center" vertical="top" wrapText="1"/>
    </xf>
    <xf numFmtId="0" fontId="15" fillId="2" borderId="9" xfId="0" applyFont="1" applyFill="1" applyBorder="1" applyAlignment="1">
      <alignment horizontal="center" vertical="top" wrapText="1"/>
    </xf>
    <xf numFmtId="0" fontId="15" fillId="2" borderId="1" xfId="0" applyFont="1" applyFill="1" applyBorder="1" applyAlignment="1">
      <alignment horizontal="center" vertical="center" wrapText="1"/>
    </xf>
    <xf numFmtId="0" fontId="10" fillId="2" borderId="1" xfId="0" applyFont="1" applyFill="1" applyBorder="1" applyAlignment="1">
      <alignment horizontal="center" vertical="top" wrapText="1"/>
    </xf>
    <xf numFmtId="0" fontId="1" fillId="0" borderId="0" xfId="0" applyFont="1" applyAlignment="1">
      <alignment horizontal="center"/>
    </xf>
    <xf numFmtId="0" fontId="3" fillId="0" borderId="1" xfId="0" applyFont="1" applyBorder="1" applyAlignment="1">
      <alignment horizontal="left" vertical="top"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3" fillId="0" borderId="0" xfId="3" applyFont="1" applyFill="1" applyAlignment="1">
      <alignment horizontal="left"/>
    </xf>
    <xf numFmtId="0" fontId="3" fillId="0" borderId="0" xfId="0" applyFont="1" applyAlignment="1">
      <alignment horizontal="left" wrapText="1"/>
    </xf>
    <xf numFmtId="0" fontId="3" fillId="0" borderId="0" xfId="0" applyFont="1" applyAlignment="1">
      <alignment horizontal="left"/>
    </xf>
    <xf numFmtId="0" fontId="1" fillId="0" borderId="3" xfId="0" applyFont="1" applyBorder="1" applyAlignment="1">
      <alignment horizontal="center"/>
    </xf>
    <xf numFmtId="0" fontId="1" fillId="0" borderId="2" xfId="0" applyFont="1" applyBorder="1" applyAlignment="1">
      <alignment horizontal="center"/>
    </xf>
    <xf numFmtId="0" fontId="1" fillId="0" borderId="5" xfId="0" applyFont="1" applyBorder="1" applyAlignment="1">
      <alignment horizontal="center" wrapText="1"/>
    </xf>
    <xf numFmtId="0" fontId="1" fillId="0" borderId="13" xfId="0" applyFont="1" applyBorder="1" applyAlignment="1">
      <alignment horizontal="center" wrapText="1"/>
    </xf>
    <xf numFmtId="0" fontId="3" fillId="2" borderId="1" xfId="0" applyFont="1" applyFill="1" applyBorder="1" applyAlignment="1">
      <alignment horizontal="left" vertical="top" wrapText="1"/>
    </xf>
    <xf numFmtId="0" fontId="1" fillId="0" borderId="7" xfId="0" applyFont="1" applyBorder="1" applyAlignment="1">
      <alignment horizontal="center" vertical="top" wrapText="1"/>
    </xf>
    <xf numFmtId="0" fontId="1" fillId="0" borderId="8" xfId="0" applyFont="1" applyBorder="1" applyAlignment="1">
      <alignment horizontal="center" vertical="top" wrapText="1"/>
    </xf>
    <xf numFmtId="0" fontId="25" fillId="0" borderId="0" xfId="0" applyFont="1" applyFill="1" applyAlignment="1">
      <alignment horizontal="left" wrapText="1"/>
    </xf>
    <xf numFmtId="0" fontId="25" fillId="0" borderId="0" xfId="0" applyFont="1" applyAlignment="1">
      <alignment horizontal="left" wrapText="1"/>
    </xf>
    <xf numFmtId="0" fontId="16" fillId="0" borderId="0" xfId="0" applyFont="1" applyAlignment="1">
      <alignment horizontal="center"/>
    </xf>
    <xf numFmtId="0" fontId="16" fillId="0" borderId="0" xfId="0" applyFont="1" applyAlignment="1">
      <alignment horizontal="center" wrapText="1"/>
    </xf>
    <xf numFmtId="0" fontId="11" fillId="0" borderId="1" xfId="0" applyFont="1" applyBorder="1" applyAlignment="1">
      <alignment horizontal="center" vertical="center" wrapText="1"/>
    </xf>
    <xf numFmtId="0" fontId="11" fillId="0" borderId="5" xfId="0" applyFont="1" applyBorder="1" applyAlignment="1">
      <alignment horizontal="center" wrapText="1"/>
    </xf>
    <xf numFmtId="0" fontId="11" fillId="0" borderId="13" xfId="0" applyFont="1" applyBorder="1" applyAlignment="1">
      <alignment horizontal="center" wrapText="1"/>
    </xf>
    <xf numFmtId="0" fontId="11" fillId="0" borderId="7" xfId="0" applyFont="1" applyBorder="1" applyAlignment="1">
      <alignment horizontal="center" vertical="top" wrapText="1"/>
    </xf>
    <xf numFmtId="0" fontId="11" fillId="0" borderId="8" xfId="0" applyFont="1" applyBorder="1" applyAlignment="1">
      <alignment horizontal="center" vertical="top" wrapText="1"/>
    </xf>
    <xf numFmtId="0" fontId="1" fillId="0" borderId="9" xfId="0" applyFont="1" applyBorder="1" applyAlignment="1">
      <alignment horizontal="center"/>
    </xf>
    <xf numFmtId="0" fontId="25" fillId="2" borderId="6" xfId="0" applyFont="1" applyFill="1" applyBorder="1" applyAlignment="1">
      <alignment horizontal="left" vertical="top" wrapText="1"/>
    </xf>
    <xf numFmtId="0" fontId="25" fillId="2" borderId="9" xfId="0" applyFont="1" applyFill="1" applyBorder="1" applyAlignment="1">
      <alignment horizontal="lef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2" borderId="2" xfId="0" applyFont="1" applyFill="1" applyBorder="1" applyAlignment="1">
      <alignment horizontal="left" vertical="top" wrapText="1"/>
    </xf>
    <xf numFmtId="49" fontId="22" fillId="2" borderId="3" xfId="0" applyNumberFormat="1" applyFont="1" applyFill="1" applyBorder="1" applyAlignment="1">
      <alignment vertical="top" wrapText="1"/>
    </xf>
    <xf numFmtId="49" fontId="22" fillId="2" borderId="4" xfId="0" applyNumberFormat="1" applyFont="1" applyFill="1" applyBorder="1" applyAlignment="1">
      <alignment vertical="top" wrapText="1"/>
    </xf>
    <xf numFmtId="49" fontId="22" fillId="2" borderId="2" xfId="0" applyNumberFormat="1" applyFont="1" applyFill="1" applyBorder="1" applyAlignment="1">
      <alignment vertical="top" wrapText="1"/>
    </xf>
    <xf numFmtId="0" fontId="15" fillId="2" borderId="6" xfId="3" applyFont="1" applyFill="1" applyBorder="1" applyAlignment="1">
      <alignment horizontal="center" vertical="top" wrapText="1"/>
    </xf>
    <xf numFmtId="0" fontId="15" fillId="2" borderId="12" xfId="3" applyFont="1" applyFill="1" applyBorder="1" applyAlignment="1">
      <alignment horizontal="center" vertical="top" wrapText="1"/>
    </xf>
    <xf numFmtId="0" fontId="15" fillId="2" borderId="9" xfId="3" applyFont="1" applyFill="1" applyBorder="1" applyAlignment="1">
      <alignment horizontal="center" vertical="top" wrapText="1"/>
    </xf>
    <xf numFmtId="0" fontId="19" fillId="2" borderId="6" xfId="0" applyFont="1" applyFill="1" applyBorder="1" applyAlignment="1">
      <alignment horizontal="center" vertical="top" wrapText="1"/>
    </xf>
    <xf numFmtId="0" fontId="19" fillId="2" borderId="12" xfId="0" applyFont="1" applyFill="1" applyBorder="1" applyAlignment="1">
      <alignment horizontal="center" vertical="top" wrapText="1"/>
    </xf>
    <xf numFmtId="0" fontId="22" fillId="2" borderId="14" xfId="0" applyFont="1" applyFill="1" applyBorder="1" applyAlignment="1">
      <alignment horizontal="left" vertical="top"/>
    </xf>
    <xf numFmtId="0" fontId="22" fillId="2" borderId="13" xfId="0" applyFont="1" applyFill="1" applyBorder="1" applyAlignment="1">
      <alignment horizontal="left" vertical="top"/>
    </xf>
    <xf numFmtId="0" fontId="22" fillId="2" borderId="0" xfId="0" applyFont="1" applyFill="1" applyBorder="1" applyAlignment="1">
      <alignment horizontal="left" vertical="top"/>
    </xf>
    <xf numFmtId="0" fontId="22" fillId="2" borderId="11" xfId="0" applyFont="1" applyFill="1" applyBorder="1" applyAlignment="1">
      <alignment horizontal="left" vertical="top"/>
    </xf>
    <xf numFmtId="0" fontId="22" fillId="2" borderId="15" xfId="0" applyFont="1" applyFill="1" applyBorder="1" applyAlignment="1">
      <alignment horizontal="left" vertical="top"/>
    </xf>
    <xf numFmtId="0" fontId="22" fillId="2" borderId="8" xfId="0" applyFont="1" applyFill="1" applyBorder="1" applyAlignment="1">
      <alignment horizontal="left" vertical="top"/>
    </xf>
    <xf numFmtId="0" fontId="25" fillId="2" borderId="12" xfId="0" applyFont="1" applyFill="1" applyBorder="1" applyAlignment="1">
      <alignment horizontal="left" vertical="top" wrapText="1"/>
    </xf>
    <xf numFmtId="49" fontId="15" fillId="2" borderId="2" xfId="0" applyNumberFormat="1" applyFont="1" applyFill="1" applyBorder="1" applyAlignment="1">
      <alignment horizontal="left" vertical="top" wrapText="1"/>
    </xf>
    <xf numFmtId="0" fontId="11" fillId="2" borderId="6" xfId="0" applyFont="1" applyFill="1" applyBorder="1" applyAlignment="1">
      <alignment vertical="top"/>
    </xf>
    <xf numFmtId="0" fontId="11" fillId="2" borderId="9" xfId="0" applyFont="1" applyFill="1" applyBorder="1" applyAlignment="1">
      <alignment vertical="top"/>
    </xf>
    <xf numFmtId="0" fontId="19" fillId="2" borderId="1" xfId="0" applyFont="1" applyFill="1" applyBorder="1" applyAlignment="1">
      <alignment horizontal="left" vertical="top" wrapText="1"/>
    </xf>
    <xf numFmtId="0" fontId="22" fillId="2" borderId="6" xfId="0" applyFont="1" applyFill="1" applyBorder="1" applyAlignment="1">
      <alignment horizontal="left" vertical="top" wrapText="1"/>
    </xf>
    <xf numFmtId="0" fontId="22" fillId="2" borderId="12" xfId="0" applyFont="1" applyFill="1" applyBorder="1" applyAlignment="1">
      <alignment horizontal="left" vertical="top" wrapText="1"/>
    </xf>
    <xf numFmtId="0" fontId="22" fillId="2" borderId="9" xfId="0" applyFont="1" applyFill="1" applyBorder="1" applyAlignment="1">
      <alignment horizontal="left" vertical="top" wrapText="1"/>
    </xf>
    <xf numFmtId="0" fontId="10" fillId="2" borderId="6" xfId="0" applyFont="1" applyFill="1" applyBorder="1" applyAlignment="1">
      <alignment horizontal="center" vertical="top"/>
    </xf>
    <xf numFmtId="0" fontId="10" fillId="2" borderId="12" xfId="0" applyFont="1" applyFill="1" applyBorder="1" applyAlignment="1">
      <alignment horizontal="center" vertical="top"/>
    </xf>
    <xf numFmtId="0" fontId="10" fillId="2" borderId="9" xfId="0" applyFont="1" applyFill="1" applyBorder="1" applyAlignment="1">
      <alignment horizontal="center" vertical="top"/>
    </xf>
    <xf numFmtId="0" fontId="10" fillId="2" borderId="6"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6" xfId="0" applyFont="1" applyFill="1" applyBorder="1" applyAlignment="1">
      <alignment horizontal="center" vertical="top" wrapText="1"/>
    </xf>
    <xf numFmtId="0" fontId="10" fillId="2" borderId="12" xfId="0" applyFont="1" applyFill="1" applyBorder="1" applyAlignment="1">
      <alignment horizontal="center" vertical="top" wrapText="1"/>
    </xf>
    <xf numFmtId="0" fontId="10" fillId="2" borderId="9" xfId="0" applyFont="1" applyFill="1" applyBorder="1" applyAlignment="1">
      <alignment horizontal="center" vertical="top" wrapText="1"/>
    </xf>
    <xf numFmtId="0" fontId="25" fillId="2" borderId="5" xfId="3" applyFont="1" applyFill="1" applyBorder="1" applyAlignment="1">
      <alignment horizontal="left" vertical="top" wrapText="1"/>
    </xf>
    <xf numFmtId="0" fontId="25" fillId="2" borderId="10" xfId="3" applyFont="1" applyFill="1" applyBorder="1" applyAlignment="1">
      <alignment horizontal="left" vertical="top" wrapText="1"/>
    </xf>
    <xf numFmtId="0" fontId="25" fillId="2" borderId="7" xfId="3" applyFont="1" applyFill="1" applyBorder="1" applyAlignment="1">
      <alignment horizontal="left" vertical="top" wrapText="1"/>
    </xf>
    <xf numFmtId="0" fontId="25" fillId="2" borderId="1" xfId="3" applyFont="1" applyFill="1" applyBorder="1" applyAlignment="1">
      <alignment horizontal="left" vertical="top" wrapText="1"/>
    </xf>
    <xf numFmtId="49" fontId="25" fillId="2" borderId="1" xfId="0" applyNumberFormat="1" applyFont="1" applyFill="1" applyBorder="1" applyAlignment="1">
      <alignment horizontal="left" vertical="top" wrapText="1"/>
    </xf>
    <xf numFmtId="0" fontId="25" fillId="2" borderId="6" xfId="3" applyFont="1" applyFill="1" applyBorder="1" applyAlignment="1">
      <alignment horizontal="left" vertical="top" wrapText="1"/>
    </xf>
    <xf numFmtId="0" fontId="25" fillId="2" borderId="12" xfId="3" applyFont="1" applyFill="1" applyBorder="1" applyAlignment="1">
      <alignment horizontal="left" vertical="top" wrapText="1"/>
    </xf>
    <xf numFmtId="0" fontId="25" fillId="2" borderId="9" xfId="3" applyFont="1" applyFill="1" applyBorder="1" applyAlignment="1">
      <alignment horizontal="left" vertical="top" wrapText="1"/>
    </xf>
    <xf numFmtId="0" fontId="15" fillId="2" borderId="1" xfId="0" applyFont="1" applyFill="1" applyBorder="1" applyAlignment="1">
      <alignment horizontal="center" vertical="top" wrapText="1"/>
    </xf>
    <xf numFmtId="0" fontId="22" fillId="2" borderId="3" xfId="0" applyFont="1" applyFill="1" applyBorder="1" applyAlignment="1">
      <alignment horizontal="center" vertical="top" wrapText="1"/>
    </xf>
    <xf numFmtId="0" fontId="22" fillId="2" borderId="4" xfId="0" applyFont="1" applyFill="1" applyBorder="1" applyAlignment="1">
      <alignment horizontal="center" vertical="top" wrapText="1"/>
    </xf>
    <xf numFmtId="0" fontId="22" fillId="2" borderId="2" xfId="0" applyFont="1" applyFill="1" applyBorder="1" applyAlignment="1">
      <alignment horizontal="center" vertical="top" wrapText="1"/>
    </xf>
    <xf numFmtId="0" fontId="22" fillId="2" borderId="3" xfId="0" applyFont="1" applyFill="1" applyBorder="1" applyAlignment="1">
      <alignment horizontal="left" vertical="center" wrapText="1"/>
    </xf>
    <xf numFmtId="0" fontId="22" fillId="2" borderId="4" xfId="0" applyFont="1" applyFill="1" applyBorder="1" applyAlignment="1">
      <alignment horizontal="left" vertical="center" wrapText="1"/>
    </xf>
    <xf numFmtId="0" fontId="22" fillId="2" borderId="2" xfId="0" applyFont="1" applyFill="1" applyBorder="1" applyAlignment="1">
      <alignment horizontal="left" vertical="center" wrapText="1"/>
    </xf>
    <xf numFmtId="0" fontId="19" fillId="2" borderId="3" xfId="0" applyFont="1" applyFill="1" applyBorder="1" applyAlignment="1">
      <alignment horizontal="left" vertical="top" wrapText="1"/>
    </xf>
    <xf numFmtId="0" fontId="19" fillId="2" borderId="2" xfId="0" applyFont="1" applyFill="1" applyBorder="1" applyAlignment="1">
      <alignment horizontal="left" vertical="top" wrapText="1"/>
    </xf>
    <xf numFmtId="0" fontId="19" fillId="2" borderId="9" xfId="0" applyFont="1" applyFill="1" applyBorder="1" applyAlignment="1">
      <alignment horizontal="center" vertical="top" wrapText="1"/>
    </xf>
    <xf numFmtId="0" fontId="22" fillId="2" borderId="1" xfId="0" applyFont="1" applyFill="1" applyBorder="1" applyAlignment="1">
      <alignment horizontal="left" vertical="top" wrapText="1"/>
    </xf>
    <xf numFmtId="49" fontId="15" fillId="2" borderId="6" xfId="0" applyNumberFormat="1" applyFont="1" applyFill="1" applyBorder="1" applyAlignment="1">
      <alignment horizontal="left" vertical="top" wrapText="1"/>
    </xf>
    <xf numFmtId="49" fontId="15" fillId="2" borderId="9" xfId="0" applyNumberFormat="1" applyFont="1" applyFill="1" applyBorder="1" applyAlignment="1">
      <alignment horizontal="left" vertical="top" wrapText="1"/>
    </xf>
    <xf numFmtId="0" fontId="15" fillId="2" borderId="3" xfId="0" applyFont="1" applyFill="1" applyBorder="1" applyAlignment="1">
      <alignment horizontal="left" vertical="top" wrapText="1"/>
    </xf>
    <xf numFmtId="0" fontId="15" fillId="2" borderId="2" xfId="0" applyFont="1" applyFill="1" applyBorder="1" applyAlignment="1">
      <alignment horizontal="left" vertical="top" wrapText="1"/>
    </xf>
    <xf numFmtId="0" fontId="16" fillId="2" borderId="5" xfId="0" applyFont="1" applyFill="1" applyBorder="1" applyAlignment="1">
      <alignment horizontal="center" vertical="top"/>
    </xf>
    <xf numFmtId="0" fontId="16" fillId="2" borderId="14" xfId="0" applyFont="1" applyFill="1" applyBorder="1" applyAlignment="1">
      <alignment horizontal="center" vertical="top"/>
    </xf>
    <xf numFmtId="0" fontId="16" fillId="2" borderId="13" xfId="0" applyFont="1" applyFill="1" applyBorder="1" applyAlignment="1">
      <alignment horizontal="center" vertical="top"/>
    </xf>
    <xf numFmtId="0" fontId="16" fillId="2" borderId="10" xfId="0" applyFont="1" applyFill="1" applyBorder="1" applyAlignment="1">
      <alignment horizontal="center" vertical="top"/>
    </xf>
    <xf numFmtId="0" fontId="16" fillId="2" borderId="0" xfId="0" applyFont="1" applyFill="1" applyBorder="1" applyAlignment="1">
      <alignment horizontal="center" vertical="top"/>
    </xf>
    <xf numFmtId="0" fontId="16" fillId="2" borderId="11" xfId="0" applyFont="1" applyFill="1" applyBorder="1" applyAlignment="1">
      <alignment horizontal="center" vertical="top"/>
    </xf>
    <xf numFmtId="0" fontId="16" fillId="2" borderId="7" xfId="0" applyFont="1" applyFill="1" applyBorder="1" applyAlignment="1">
      <alignment horizontal="center" vertical="top"/>
    </xf>
    <xf numFmtId="0" fontId="16" fillId="2" borderId="15" xfId="0" applyFont="1" applyFill="1" applyBorder="1" applyAlignment="1">
      <alignment horizontal="center" vertical="top"/>
    </xf>
    <xf numFmtId="0" fontId="16" fillId="2" borderId="8" xfId="0" applyFont="1" applyFill="1" applyBorder="1" applyAlignment="1">
      <alignment horizontal="center" vertical="top"/>
    </xf>
    <xf numFmtId="0" fontId="15" fillId="2" borderId="1" xfId="3" applyFont="1" applyFill="1" applyBorder="1" applyAlignment="1">
      <alignment horizontal="center" vertical="top" wrapText="1"/>
    </xf>
    <xf numFmtId="49" fontId="22" fillId="2" borderId="3" xfId="0" applyNumberFormat="1" applyFont="1" applyFill="1" applyBorder="1" applyAlignment="1">
      <alignment horizontal="left" vertical="top" wrapText="1"/>
    </xf>
    <xf numFmtId="49" fontId="22" fillId="2" borderId="2" xfId="0" applyNumberFormat="1" applyFont="1" applyFill="1" applyBorder="1" applyAlignment="1">
      <alignment horizontal="left" vertical="top" wrapText="1"/>
    </xf>
    <xf numFmtId="0" fontId="15" fillId="2" borderId="6" xfId="0" applyFont="1" applyFill="1" applyBorder="1" applyAlignment="1">
      <alignment horizontal="center" vertical="top" wrapText="1"/>
    </xf>
    <xf numFmtId="0" fontId="15" fillId="2" borderId="12" xfId="0" applyFont="1" applyFill="1" applyBorder="1" applyAlignment="1">
      <alignment horizontal="center" vertical="top" wrapText="1"/>
    </xf>
    <xf numFmtId="0" fontId="15" fillId="2" borderId="9" xfId="0" applyFont="1" applyFill="1" applyBorder="1" applyAlignment="1">
      <alignment horizontal="center" vertical="top" wrapText="1"/>
    </xf>
    <xf numFmtId="0" fontId="22" fillId="2" borderId="1" xfId="0" applyFont="1" applyFill="1" applyBorder="1" applyAlignment="1">
      <alignment horizontal="left" vertical="center" wrapText="1"/>
    </xf>
    <xf numFmtId="0" fontId="11" fillId="2" borderId="1" xfId="0" applyFont="1" applyFill="1" applyBorder="1" applyAlignment="1">
      <alignment horizontal="center" vertical="top"/>
    </xf>
    <xf numFmtId="0" fontId="25" fillId="2" borderId="1" xfId="0" applyFont="1" applyFill="1" applyBorder="1" applyAlignment="1">
      <alignment horizontal="left" vertical="top" wrapText="1"/>
    </xf>
    <xf numFmtId="0" fontId="25" fillId="2" borderId="5" xfId="0" applyFont="1" applyFill="1" applyBorder="1" applyAlignment="1">
      <alignment horizontal="left" vertical="top" wrapText="1"/>
    </xf>
    <xf numFmtId="0" fontId="25" fillId="2" borderId="10" xfId="0" applyFont="1" applyFill="1" applyBorder="1" applyAlignment="1">
      <alignment horizontal="left" vertical="top" wrapText="1"/>
    </xf>
    <xf numFmtId="0" fontId="25" fillId="2" borderId="7" xfId="0" applyFont="1" applyFill="1" applyBorder="1" applyAlignment="1">
      <alignment horizontal="left" vertical="top" wrapText="1"/>
    </xf>
    <xf numFmtId="0" fontId="22" fillId="2" borderId="5" xfId="0" applyFont="1" applyFill="1" applyBorder="1" applyAlignment="1">
      <alignment horizontal="center" vertical="top" wrapText="1"/>
    </xf>
    <xf numFmtId="0" fontId="22" fillId="2" borderId="14" xfId="0" applyFont="1" applyFill="1" applyBorder="1" applyAlignment="1">
      <alignment horizontal="center" vertical="top" wrapText="1"/>
    </xf>
    <xf numFmtId="0" fontId="22" fillId="2" borderId="13" xfId="0" applyFont="1" applyFill="1" applyBorder="1" applyAlignment="1">
      <alignment horizontal="center" vertical="top" wrapText="1"/>
    </xf>
    <xf numFmtId="0" fontId="22" fillId="2" borderId="10" xfId="0" applyFont="1" applyFill="1" applyBorder="1" applyAlignment="1">
      <alignment horizontal="center" vertical="top" wrapText="1"/>
    </xf>
    <xf numFmtId="0" fontId="22" fillId="2" borderId="0" xfId="0" applyFont="1" applyFill="1" applyBorder="1" applyAlignment="1">
      <alignment horizontal="center" vertical="top" wrapText="1"/>
    </xf>
    <xf numFmtId="0" fontId="22" fillId="2" borderId="11" xfId="0" applyFont="1" applyFill="1" applyBorder="1" applyAlignment="1">
      <alignment horizontal="center" vertical="top" wrapText="1"/>
    </xf>
    <xf numFmtId="0" fontId="22" fillId="2" borderId="7" xfId="0" applyFont="1" applyFill="1" applyBorder="1" applyAlignment="1">
      <alignment horizontal="center" vertical="top" wrapText="1"/>
    </xf>
    <xf numFmtId="0" fontId="22" fillId="2" borderId="15" xfId="0" applyFont="1" applyFill="1" applyBorder="1" applyAlignment="1">
      <alignment horizontal="center" vertical="top" wrapText="1"/>
    </xf>
    <xf numFmtId="0" fontId="22" fillId="2" borderId="8" xfId="0" applyFont="1" applyFill="1" applyBorder="1" applyAlignment="1">
      <alignment horizontal="center" vertical="top" wrapText="1"/>
    </xf>
    <xf numFmtId="0" fontId="16" fillId="2" borderId="13" xfId="0" applyFont="1" applyFill="1" applyBorder="1" applyAlignment="1">
      <alignment horizontal="center" vertical="center" wrapText="1"/>
    </xf>
    <xf numFmtId="0" fontId="0" fillId="2" borderId="11" xfId="0" applyFill="1" applyBorder="1"/>
    <xf numFmtId="0" fontId="0" fillId="2" borderId="8" xfId="0" applyFill="1" applyBorder="1"/>
    <xf numFmtId="0" fontId="15" fillId="2" borderId="1" xfId="0" applyFont="1" applyFill="1" applyBorder="1" applyAlignment="1">
      <alignment horizontal="center"/>
    </xf>
    <xf numFmtId="49" fontId="15" fillId="2" borderId="6" xfId="0" applyNumberFormat="1" applyFont="1" applyFill="1" applyBorder="1" applyAlignment="1">
      <alignment horizontal="left" vertical="center" wrapText="1"/>
    </xf>
    <xf numFmtId="49" fontId="15" fillId="2" borderId="9" xfId="0" applyNumberFormat="1" applyFont="1" applyFill="1" applyBorder="1" applyAlignment="1">
      <alignment horizontal="left" vertical="center" wrapText="1"/>
    </xf>
    <xf numFmtId="0" fontId="16" fillId="2" borderId="1" xfId="0" applyFont="1" applyFill="1" applyBorder="1" applyAlignment="1">
      <alignment horizontal="center" vertical="top"/>
    </xf>
    <xf numFmtId="0" fontId="22" fillId="2" borderId="3" xfId="0" applyFont="1" applyFill="1" applyBorder="1" applyAlignment="1">
      <alignment horizontal="left" vertical="top" wrapText="1"/>
    </xf>
    <xf numFmtId="0" fontId="22" fillId="2" borderId="4" xfId="0" applyFont="1" applyFill="1" applyBorder="1" applyAlignment="1">
      <alignment horizontal="left" vertical="top" wrapText="1"/>
    </xf>
    <xf numFmtId="0" fontId="22" fillId="2" borderId="2" xfId="0" applyFont="1" applyFill="1" applyBorder="1" applyAlignment="1">
      <alignment horizontal="left" vertical="top" wrapText="1"/>
    </xf>
    <xf numFmtId="0" fontId="26" fillId="2" borderId="1" xfId="0" applyFont="1" applyFill="1" applyBorder="1" applyAlignment="1">
      <alignment horizontal="left"/>
    </xf>
    <xf numFmtId="0" fontId="29" fillId="2" borderId="1" xfId="0" applyFont="1" applyFill="1" applyBorder="1"/>
    <xf numFmtId="0" fontId="25" fillId="2" borderId="1" xfId="0" applyFont="1" applyFill="1" applyBorder="1" applyAlignment="1">
      <alignment horizontal="center" vertical="top" wrapText="1"/>
    </xf>
    <xf numFmtId="0" fontId="25" fillId="2" borderId="6" xfId="0" applyFont="1" applyFill="1" applyBorder="1" applyAlignment="1">
      <alignment horizontal="center" vertical="center"/>
    </xf>
    <xf numFmtId="0" fontId="25" fillId="2" borderId="12" xfId="0" applyFont="1" applyFill="1" applyBorder="1" applyAlignment="1">
      <alignment horizontal="center" vertical="center"/>
    </xf>
    <xf numFmtId="0" fontId="0" fillId="2" borderId="1" xfId="0" applyFill="1" applyBorder="1"/>
    <xf numFmtId="0" fontId="15" fillId="2" borderId="5" xfId="0" applyFont="1" applyFill="1" applyBorder="1" applyAlignment="1">
      <alignment horizontal="left" vertical="top" wrapText="1"/>
    </xf>
    <xf numFmtId="0" fontId="15" fillId="2" borderId="13" xfId="0" applyFont="1" applyFill="1" applyBorder="1" applyAlignment="1">
      <alignment horizontal="left" vertical="top" wrapText="1"/>
    </xf>
    <xf numFmtId="0" fontId="15" fillId="2" borderId="10" xfId="0" applyFont="1" applyFill="1" applyBorder="1" applyAlignment="1">
      <alignment horizontal="left" vertical="top" wrapText="1"/>
    </xf>
    <xf numFmtId="0" fontId="15" fillId="2" borderId="11" xfId="0" applyFont="1" applyFill="1" applyBorder="1" applyAlignment="1">
      <alignment horizontal="left" vertical="top" wrapText="1"/>
    </xf>
    <xf numFmtId="0" fontId="15" fillId="2" borderId="7" xfId="0" applyFont="1" applyFill="1" applyBorder="1" applyAlignment="1">
      <alignment horizontal="left" vertical="top" wrapText="1"/>
    </xf>
    <xf numFmtId="0" fontId="15" fillId="2" borderId="8" xfId="0" applyFont="1" applyFill="1" applyBorder="1" applyAlignment="1">
      <alignment horizontal="left" vertical="top" wrapText="1"/>
    </xf>
    <xf numFmtId="0" fontId="25" fillId="2" borderId="1" xfId="0" applyFont="1" applyFill="1" applyBorder="1" applyAlignment="1">
      <alignment vertical="top" wrapText="1"/>
    </xf>
    <xf numFmtId="0" fontId="10" fillId="2" borderId="5" xfId="0" applyFont="1" applyFill="1" applyBorder="1" applyAlignment="1">
      <alignment horizontal="left" vertical="top" wrapText="1"/>
    </xf>
    <xf numFmtId="0" fontId="10" fillId="2" borderId="14" xfId="0" applyFont="1" applyFill="1" applyBorder="1" applyAlignment="1">
      <alignment horizontal="left" vertical="top" wrapText="1"/>
    </xf>
    <xf numFmtId="0" fontId="10" fillId="2" borderId="10" xfId="0"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2" xfId="0" applyFont="1" applyFill="1" applyBorder="1" applyAlignment="1">
      <alignment horizontal="left" vertical="center" wrapText="1"/>
    </xf>
    <xf numFmtId="49" fontId="15" fillId="2" borderId="12" xfId="0" applyNumberFormat="1" applyFont="1" applyFill="1" applyBorder="1" applyAlignment="1">
      <alignment horizontal="center" vertical="center" wrapText="1"/>
    </xf>
    <xf numFmtId="49" fontId="15" fillId="2" borderId="9" xfId="0" applyNumberFormat="1" applyFont="1" applyFill="1" applyBorder="1" applyAlignment="1">
      <alignment horizontal="center" vertical="center" wrapText="1"/>
    </xf>
    <xf numFmtId="0" fontId="16" fillId="2" borderId="6" xfId="0" applyFont="1" applyFill="1" applyBorder="1" applyAlignment="1">
      <alignment horizontal="center" vertical="top"/>
    </xf>
    <xf numFmtId="0" fontId="16" fillId="2" borderId="12" xfId="0" applyFont="1" applyFill="1" applyBorder="1" applyAlignment="1">
      <alignment horizontal="center" vertical="top"/>
    </xf>
    <xf numFmtId="0" fontId="16" fillId="2" borderId="5" xfId="0" applyFont="1" applyFill="1" applyBorder="1" applyAlignment="1">
      <alignment horizontal="left" vertical="top" wrapText="1"/>
    </xf>
    <xf numFmtId="0" fontId="16" fillId="2" borderId="13" xfId="0" applyFont="1" applyFill="1" applyBorder="1" applyAlignment="1">
      <alignment horizontal="left" vertical="top" wrapText="1"/>
    </xf>
    <xf numFmtId="0" fontId="16" fillId="2" borderId="10" xfId="0" applyFont="1" applyFill="1" applyBorder="1" applyAlignment="1">
      <alignment horizontal="left" vertical="top" wrapText="1"/>
    </xf>
    <xf numFmtId="0" fontId="16" fillId="2" borderId="11" xfId="0" applyFont="1" applyFill="1" applyBorder="1" applyAlignment="1">
      <alignment horizontal="left" vertical="top" wrapText="1"/>
    </xf>
    <xf numFmtId="0" fontId="16" fillId="2" borderId="7" xfId="0" applyFont="1" applyFill="1" applyBorder="1" applyAlignment="1">
      <alignment horizontal="left" vertical="top" wrapText="1"/>
    </xf>
    <xf numFmtId="0" fontId="16" fillId="2" borderId="8" xfId="0" applyFont="1" applyFill="1" applyBorder="1" applyAlignment="1">
      <alignment horizontal="left" vertical="top" wrapText="1"/>
    </xf>
    <xf numFmtId="0" fontId="35" fillId="2" borderId="0" xfId="0" applyFont="1" applyFill="1" applyAlignment="1">
      <alignment horizontal="center" vertical="center"/>
    </xf>
    <xf numFmtId="0" fontId="22"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3" fillId="2" borderId="3" xfId="0" applyFont="1" applyFill="1" applyBorder="1" applyAlignment="1">
      <alignment horizontal="left" wrapText="1"/>
    </xf>
    <xf numFmtId="0" fontId="23" fillId="2" borderId="4" xfId="0" applyFont="1" applyFill="1" applyBorder="1" applyAlignment="1">
      <alignment horizontal="left" wrapText="1"/>
    </xf>
    <xf numFmtId="0" fontId="23" fillId="2" borderId="2" xfId="0" applyFont="1" applyFill="1" applyBorder="1" applyAlignment="1">
      <alignment horizontal="left" wrapText="1"/>
    </xf>
    <xf numFmtId="0" fontId="16" fillId="2" borderId="1" xfId="0" applyFont="1" applyFill="1" applyBorder="1" applyAlignment="1">
      <alignment horizontal="center" wrapText="1"/>
    </xf>
    <xf numFmtId="49" fontId="22" fillId="2" borderId="3" xfId="0" applyNumberFormat="1" applyFont="1" applyFill="1" applyBorder="1" applyAlignment="1">
      <alignment horizontal="left" vertical="center" wrapText="1"/>
    </xf>
    <xf numFmtId="49" fontId="22" fillId="2" borderId="2" xfId="0" applyNumberFormat="1" applyFont="1" applyFill="1" applyBorder="1" applyAlignment="1">
      <alignment horizontal="left" vertical="center" wrapText="1"/>
    </xf>
    <xf numFmtId="0" fontId="26" fillId="2" borderId="12" xfId="0" applyFont="1" applyFill="1" applyBorder="1" applyAlignment="1">
      <alignment horizontal="left"/>
    </xf>
    <xf numFmtId="0" fontId="26" fillId="2" borderId="9" xfId="0" applyFont="1" applyFill="1" applyBorder="1" applyAlignment="1">
      <alignment horizontal="left"/>
    </xf>
    <xf numFmtId="49" fontId="15" fillId="2" borderId="1" xfId="0" applyNumberFormat="1" applyFont="1" applyFill="1" applyBorder="1" applyAlignment="1">
      <alignment horizontal="left" vertical="top" wrapText="1"/>
    </xf>
    <xf numFmtId="0" fontId="15" fillId="2" borderId="1" xfId="0" applyFont="1" applyFill="1" applyBorder="1" applyAlignment="1">
      <alignment horizontal="center" vertical="center" wrapText="1"/>
    </xf>
    <xf numFmtId="0" fontId="22" fillId="2" borderId="6" xfId="0" applyFont="1" applyFill="1" applyBorder="1" applyAlignment="1">
      <alignment horizontal="center" vertical="top" wrapText="1"/>
    </xf>
    <xf numFmtId="0" fontId="22" fillId="2" borderId="12" xfId="0" applyFont="1" applyFill="1" applyBorder="1" applyAlignment="1">
      <alignment horizontal="center" vertical="top" wrapText="1"/>
    </xf>
    <xf numFmtId="0" fontId="22" fillId="2" borderId="9" xfId="0" applyFont="1" applyFill="1" applyBorder="1" applyAlignment="1">
      <alignment horizontal="center" vertical="top" wrapText="1"/>
    </xf>
    <xf numFmtId="0" fontId="11" fillId="2" borderId="6" xfId="0" applyFont="1" applyFill="1" applyBorder="1" applyAlignment="1">
      <alignment horizontal="center" vertical="top"/>
    </xf>
    <xf numFmtId="0" fontId="11" fillId="2" borderId="12" xfId="0" applyFont="1" applyFill="1" applyBorder="1" applyAlignment="1">
      <alignment horizontal="center" vertical="top"/>
    </xf>
    <xf numFmtId="0" fontId="11" fillId="2" borderId="9" xfId="0" applyFont="1" applyFill="1" applyBorder="1" applyAlignment="1">
      <alignment horizontal="center" vertical="top"/>
    </xf>
    <xf numFmtId="0" fontId="25" fillId="2" borderId="6" xfId="3" applyFont="1" applyFill="1" applyBorder="1" applyAlignment="1">
      <alignment horizontal="center" vertical="top" wrapText="1"/>
    </xf>
    <xf numFmtId="0" fontId="25" fillId="2" borderId="12" xfId="3" applyFont="1" applyFill="1" applyBorder="1" applyAlignment="1">
      <alignment horizontal="center" vertical="top" wrapText="1"/>
    </xf>
    <xf numFmtId="0" fontId="25" fillId="2" borderId="9" xfId="3" applyFont="1" applyFill="1" applyBorder="1" applyAlignment="1">
      <alignment horizontal="center" vertical="top" wrapText="1"/>
    </xf>
    <xf numFmtId="0" fontId="20" fillId="2" borderId="4" xfId="0" applyFont="1" applyFill="1" applyBorder="1" applyAlignment="1">
      <alignment horizontal="center" vertical="top"/>
    </xf>
    <xf numFmtId="0" fontId="20" fillId="2" borderId="2" xfId="0" applyFont="1" applyFill="1" applyBorder="1" applyAlignment="1">
      <alignment horizontal="center" vertical="top"/>
    </xf>
    <xf numFmtId="0" fontId="23" fillId="2" borderId="3" xfId="0" applyFont="1" applyFill="1" applyBorder="1" applyAlignment="1">
      <alignment horizontal="left" vertical="top" wrapText="1"/>
    </xf>
    <xf numFmtId="0" fontId="23" fillId="2" borderId="4" xfId="0" applyFont="1" applyFill="1" applyBorder="1" applyAlignment="1">
      <alignment horizontal="left" vertical="top" wrapText="1"/>
    </xf>
    <xf numFmtId="0" fontId="23" fillId="2" borderId="2" xfId="0" applyFont="1" applyFill="1" applyBorder="1" applyAlignment="1">
      <alignment horizontal="left" vertical="top" wrapText="1"/>
    </xf>
    <xf numFmtId="0" fontId="22" fillId="2" borderId="3" xfId="0" applyFont="1" applyFill="1" applyBorder="1" applyAlignment="1">
      <alignment horizontal="left" vertical="top"/>
    </xf>
    <xf numFmtId="0" fontId="22" fillId="2" borderId="4" xfId="0" applyFont="1" applyFill="1" applyBorder="1" applyAlignment="1">
      <alignment horizontal="left" vertical="top"/>
    </xf>
    <xf numFmtId="0" fontId="22" fillId="2" borderId="2" xfId="0" applyFont="1" applyFill="1" applyBorder="1" applyAlignment="1">
      <alignment horizontal="left" vertical="top"/>
    </xf>
    <xf numFmtId="0" fontId="19" fillId="2" borderId="1" xfId="0" applyFont="1" applyFill="1" applyBorder="1" applyAlignment="1">
      <alignment horizontal="center" vertical="top" wrapText="1"/>
    </xf>
    <xf numFmtId="0" fontId="16" fillId="2" borderId="14" xfId="0" applyFont="1" applyFill="1" applyBorder="1" applyAlignment="1">
      <alignment horizontal="left" vertical="top" wrapText="1"/>
    </xf>
    <xf numFmtId="0" fontId="16" fillId="2" borderId="0" xfId="0" applyFont="1" applyFill="1" applyBorder="1" applyAlignment="1">
      <alignment horizontal="left" vertical="top" wrapText="1"/>
    </xf>
    <xf numFmtId="0" fontId="16" fillId="2" borderId="15" xfId="0" applyFont="1" applyFill="1" applyBorder="1" applyAlignment="1">
      <alignment horizontal="left" vertical="top" wrapText="1"/>
    </xf>
    <xf numFmtId="0" fontId="10" fillId="2" borderId="1" xfId="0" applyFont="1" applyFill="1" applyBorder="1" applyAlignment="1">
      <alignment horizontal="center" vertical="top" wrapText="1"/>
    </xf>
    <xf numFmtId="0" fontId="22" fillId="2" borderId="3" xfId="0" applyFont="1" applyFill="1" applyBorder="1" applyAlignment="1">
      <alignment horizontal="left" vertical="center"/>
    </xf>
    <xf numFmtId="0" fontId="22" fillId="2" borderId="4" xfId="0" applyFont="1" applyFill="1" applyBorder="1" applyAlignment="1">
      <alignment horizontal="left" vertical="center"/>
    </xf>
    <xf numFmtId="0" fontId="10" fillId="2" borderId="5" xfId="0" applyFont="1" applyFill="1" applyBorder="1" applyAlignment="1">
      <alignment horizontal="left" vertical="top"/>
    </xf>
    <xf numFmtId="0" fontId="10" fillId="2" borderId="14" xfId="0" applyFont="1" applyFill="1" applyBorder="1" applyAlignment="1">
      <alignment horizontal="left" vertical="top"/>
    </xf>
    <xf numFmtId="0" fontId="10" fillId="2" borderId="13" xfId="0" applyFont="1" applyFill="1" applyBorder="1" applyAlignment="1">
      <alignment horizontal="left" vertical="top"/>
    </xf>
    <xf numFmtId="0" fontId="10" fillId="2" borderId="10" xfId="0" applyFont="1" applyFill="1" applyBorder="1" applyAlignment="1">
      <alignment horizontal="left" vertical="top"/>
    </xf>
    <xf numFmtId="0" fontId="10" fillId="2" borderId="0" xfId="0" applyFont="1" applyFill="1" applyBorder="1" applyAlignment="1">
      <alignment horizontal="left" vertical="top"/>
    </xf>
    <xf numFmtId="0" fontId="10" fillId="2" borderId="11" xfId="0" applyFont="1" applyFill="1" applyBorder="1" applyAlignment="1">
      <alignment horizontal="left" vertical="top"/>
    </xf>
    <xf numFmtId="0" fontId="10" fillId="2" borderId="7" xfId="0" applyFont="1" applyFill="1" applyBorder="1" applyAlignment="1">
      <alignment horizontal="left" vertical="top"/>
    </xf>
    <xf numFmtId="0" fontId="10" fillId="2" borderId="15" xfId="0" applyFont="1" applyFill="1" applyBorder="1" applyAlignment="1">
      <alignment horizontal="left" vertical="top"/>
    </xf>
    <xf numFmtId="0" fontId="10" fillId="2" borderId="8" xfId="0" applyFont="1" applyFill="1" applyBorder="1" applyAlignment="1">
      <alignment horizontal="left" vertical="top"/>
    </xf>
    <xf numFmtId="0" fontId="11" fillId="2" borderId="5" xfId="0" applyFont="1" applyFill="1" applyBorder="1" applyAlignment="1">
      <alignment horizontal="left" vertical="top" wrapText="1"/>
    </xf>
    <xf numFmtId="0" fontId="11" fillId="2" borderId="14" xfId="0" applyFont="1" applyFill="1" applyBorder="1" applyAlignment="1">
      <alignment horizontal="left" vertical="top" wrapText="1"/>
    </xf>
    <xf numFmtId="0" fontId="11" fillId="2" borderId="10" xfId="0" applyFont="1" applyFill="1" applyBorder="1" applyAlignment="1">
      <alignment horizontal="left" vertical="top" wrapText="1"/>
    </xf>
    <xf numFmtId="0" fontId="11" fillId="2" borderId="0" xfId="0" applyFont="1" applyFill="1" applyBorder="1" applyAlignment="1">
      <alignment horizontal="left" vertical="top" wrapText="1"/>
    </xf>
    <xf numFmtId="0" fontId="11" fillId="2" borderId="1" xfId="0" applyFont="1" applyFill="1" applyBorder="1" applyAlignment="1">
      <alignment horizontal="center" vertical="top" wrapText="1"/>
    </xf>
    <xf numFmtId="0" fontId="22" fillId="2" borderId="5" xfId="0" applyFont="1" applyFill="1" applyBorder="1" applyAlignment="1">
      <alignment horizontal="left" vertical="top"/>
    </xf>
    <xf numFmtId="0" fontId="22" fillId="2" borderId="10" xfId="0" applyFont="1" applyFill="1" applyBorder="1" applyAlignment="1">
      <alignment horizontal="left" vertical="top"/>
    </xf>
    <xf numFmtId="0" fontId="22" fillId="2" borderId="7" xfId="0" applyFont="1" applyFill="1" applyBorder="1" applyAlignment="1">
      <alignment horizontal="left" vertical="top"/>
    </xf>
    <xf numFmtId="0" fontId="10" fillId="2" borderId="0" xfId="0" applyFont="1" applyFill="1" applyBorder="1" applyAlignment="1">
      <alignment horizontal="center" vertical="center"/>
    </xf>
    <xf numFmtId="0" fontId="10" fillId="2" borderId="15" xfId="0" applyFont="1" applyFill="1" applyBorder="1" applyAlignment="1">
      <alignment horizontal="center" vertical="center"/>
    </xf>
    <xf numFmtId="0" fontId="16" fillId="2" borderId="5" xfId="0" applyFont="1" applyFill="1" applyBorder="1" applyAlignment="1">
      <alignment horizontal="left" vertical="top"/>
    </xf>
    <xf numFmtId="0" fontId="16" fillId="2" borderId="14" xfId="0" applyFont="1" applyFill="1" applyBorder="1" applyAlignment="1">
      <alignment horizontal="left" vertical="top"/>
    </xf>
    <xf numFmtId="0" fontId="16" fillId="2" borderId="13" xfId="0" applyFont="1" applyFill="1" applyBorder="1" applyAlignment="1">
      <alignment horizontal="left" vertical="top"/>
    </xf>
    <xf numFmtId="0" fontId="16" fillId="2" borderId="10" xfId="0" applyFont="1" applyFill="1" applyBorder="1" applyAlignment="1">
      <alignment horizontal="left" vertical="top"/>
    </xf>
    <xf numFmtId="0" fontId="16" fillId="2" borderId="0" xfId="0" applyFont="1" applyFill="1" applyBorder="1" applyAlignment="1">
      <alignment horizontal="left" vertical="top"/>
    </xf>
    <xf numFmtId="0" fontId="16" fillId="2" borderId="11" xfId="0" applyFont="1" applyFill="1" applyBorder="1" applyAlignment="1">
      <alignment horizontal="left" vertical="top"/>
    </xf>
    <xf numFmtId="0" fontId="16" fillId="2" borderId="7" xfId="0" applyFont="1" applyFill="1" applyBorder="1" applyAlignment="1">
      <alignment horizontal="left" vertical="top"/>
    </xf>
    <xf numFmtId="0" fontId="16" fillId="2" borderId="15" xfId="0" applyFont="1" applyFill="1" applyBorder="1" applyAlignment="1">
      <alignment horizontal="left" vertical="top"/>
    </xf>
    <xf numFmtId="0" fontId="16" fillId="2" borderId="8" xfId="0" applyFont="1" applyFill="1" applyBorder="1" applyAlignment="1">
      <alignment horizontal="left" vertical="top"/>
    </xf>
    <xf numFmtId="0" fontId="22" fillId="2" borderId="5" xfId="0" applyFont="1" applyFill="1" applyBorder="1" applyAlignment="1">
      <alignment horizontal="left" vertical="top" wrapText="1"/>
    </xf>
    <xf numFmtId="0" fontId="22" fillId="2" borderId="14" xfId="0" applyFont="1" applyFill="1" applyBorder="1" applyAlignment="1">
      <alignment horizontal="left" vertical="top" wrapText="1"/>
    </xf>
    <xf numFmtId="0" fontId="22" fillId="2" borderId="13" xfId="0" applyFont="1" applyFill="1" applyBorder="1" applyAlignment="1">
      <alignment horizontal="left" vertical="top" wrapText="1"/>
    </xf>
    <xf numFmtId="0" fontId="22" fillId="2" borderId="10" xfId="0" applyFont="1" applyFill="1" applyBorder="1" applyAlignment="1">
      <alignment horizontal="left" vertical="top" wrapText="1"/>
    </xf>
    <xf numFmtId="0" fontId="22" fillId="2" borderId="0" xfId="0" applyFont="1" applyFill="1" applyBorder="1" applyAlignment="1">
      <alignment horizontal="left" vertical="top" wrapText="1"/>
    </xf>
    <xf numFmtId="0" fontId="22" fillId="2" borderId="11" xfId="0" applyFont="1" applyFill="1" applyBorder="1" applyAlignment="1">
      <alignment horizontal="left" vertical="top" wrapText="1"/>
    </xf>
    <xf numFmtId="0" fontId="22" fillId="2" borderId="7" xfId="0" applyFont="1" applyFill="1" applyBorder="1" applyAlignment="1">
      <alignment horizontal="left" vertical="top" wrapText="1"/>
    </xf>
    <xf numFmtId="0" fontId="22" fillId="2" borderId="15" xfId="0" applyFont="1" applyFill="1" applyBorder="1" applyAlignment="1">
      <alignment horizontal="left" vertical="top" wrapText="1"/>
    </xf>
    <xf numFmtId="0" fontId="22" fillId="2" borderId="8" xfId="0" applyFont="1" applyFill="1" applyBorder="1" applyAlignment="1">
      <alignment horizontal="left" vertical="top" wrapText="1"/>
    </xf>
    <xf numFmtId="0" fontId="26" fillId="2" borderId="1" xfId="0" applyFont="1" applyFill="1" applyBorder="1"/>
    <xf numFmtId="0" fontId="16" fillId="2" borderId="1" xfId="0" applyFont="1" applyFill="1" applyBorder="1" applyAlignment="1">
      <alignment horizontal="center" vertical="top" wrapText="1"/>
    </xf>
    <xf numFmtId="49" fontId="22" fillId="2" borderId="6" xfId="0" applyNumberFormat="1" applyFont="1" applyFill="1" applyBorder="1" applyAlignment="1">
      <alignment horizontal="left" vertical="top" wrapText="1"/>
    </xf>
    <xf numFmtId="49" fontId="22" fillId="2" borderId="12" xfId="0" applyNumberFormat="1" applyFont="1" applyFill="1" applyBorder="1" applyAlignment="1">
      <alignment horizontal="left" vertical="top" wrapText="1"/>
    </xf>
    <xf numFmtId="49" fontId="22" fillId="2" borderId="9" xfId="0" applyNumberFormat="1" applyFont="1" applyFill="1" applyBorder="1" applyAlignment="1">
      <alignment horizontal="left" vertical="top" wrapText="1"/>
    </xf>
    <xf numFmtId="49" fontId="25" fillId="2" borderId="6" xfId="0" applyNumberFormat="1" applyFont="1" applyFill="1" applyBorder="1" applyAlignment="1">
      <alignment horizontal="left" vertical="top" wrapText="1"/>
    </xf>
    <xf numFmtId="49" fontId="25" fillId="2" borderId="12" xfId="0" applyNumberFormat="1" applyFont="1" applyFill="1" applyBorder="1" applyAlignment="1">
      <alignment horizontal="left" vertical="top" wrapText="1"/>
    </xf>
    <xf numFmtId="49" fontId="25" fillId="2" borderId="9" xfId="0" applyNumberFormat="1" applyFont="1" applyFill="1" applyBorder="1" applyAlignment="1">
      <alignment horizontal="left" vertical="top" wrapText="1"/>
    </xf>
    <xf numFmtId="0" fontId="19" fillId="2" borderId="6" xfId="0" applyFont="1" applyFill="1" applyBorder="1" applyAlignment="1">
      <alignment horizontal="left" vertical="top" wrapText="1"/>
    </xf>
    <xf numFmtId="0" fontId="19" fillId="2" borderId="12" xfId="0" applyFont="1" applyFill="1" applyBorder="1" applyAlignment="1">
      <alignment horizontal="left" vertical="top" wrapText="1"/>
    </xf>
    <xf numFmtId="0" fontId="19" fillId="2" borderId="9" xfId="0" applyFont="1" applyFill="1" applyBorder="1" applyAlignment="1">
      <alignment horizontal="left" vertical="top" wrapText="1"/>
    </xf>
    <xf numFmtId="0" fontId="23" fillId="2" borderId="3" xfId="0" applyFont="1" applyFill="1" applyBorder="1" applyAlignment="1">
      <alignment horizontal="left" vertical="center" wrapText="1"/>
    </xf>
    <xf numFmtId="0" fontId="23" fillId="2" borderId="4" xfId="0" applyFont="1" applyFill="1" applyBorder="1" applyAlignment="1">
      <alignment horizontal="left" vertical="center" wrapText="1"/>
    </xf>
    <xf numFmtId="0" fontId="23" fillId="2" borderId="2" xfId="0" applyFont="1" applyFill="1" applyBorder="1" applyAlignment="1">
      <alignment horizontal="left" vertical="center" wrapText="1"/>
    </xf>
    <xf numFmtId="0" fontId="23" fillId="2" borderId="3" xfId="0" applyFont="1" applyFill="1" applyBorder="1" applyAlignment="1">
      <alignment horizontal="left" vertical="top"/>
    </xf>
    <xf numFmtId="0" fontId="23" fillId="2" borderId="4" xfId="0" applyFont="1" applyFill="1" applyBorder="1" applyAlignment="1">
      <alignment horizontal="left" vertical="top"/>
    </xf>
    <xf numFmtId="0" fontId="23" fillId="2" borderId="2" xfId="0" applyFont="1" applyFill="1" applyBorder="1" applyAlignment="1">
      <alignment horizontal="left" vertical="top"/>
    </xf>
    <xf numFmtId="0" fontId="22" fillId="2" borderId="1" xfId="0" applyFont="1" applyFill="1" applyBorder="1" applyAlignment="1">
      <alignment horizontal="center" vertical="top" wrapText="1"/>
    </xf>
    <xf numFmtId="0" fontId="11" fillId="2" borderId="1" xfId="0" applyFont="1" applyFill="1" applyBorder="1" applyAlignment="1">
      <alignment horizontal="left" vertical="top"/>
    </xf>
    <xf numFmtId="0" fontId="11" fillId="2" borderId="5" xfId="0" applyFont="1" applyFill="1" applyBorder="1" applyAlignment="1">
      <alignment horizontal="center" vertical="top"/>
    </xf>
    <xf numFmtId="0" fontId="11" fillId="2" borderId="14" xfId="0" applyFont="1" applyFill="1" applyBorder="1" applyAlignment="1">
      <alignment horizontal="center" vertical="top"/>
    </xf>
    <xf numFmtId="0" fontId="11" fillId="2" borderId="13" xfId="0" applyFont="1" applyFill="1" applyBorder="1" applyAlignment="1">
      <alignment horizontal="center" vertical="top"/>
    </xf>
    <xf numFmtId="0" fontId="11" fillId="2" borderId="7" xfId="0" applyFont="1" applyFill="1" applyBorder="1" applyAlignment="1">
      <alignment horizontal="center" vertical="top"/>
    </xf>
    <xf numFmtId="0" fontId="11" fillId="2" borderId="15" xfId="0" applyFont="1" applyFill="1" applyBorder="1" applyAlignment="1">
      <alignment horizontal="center" vertical="top"/>
    </xf>
    <xf numFmtId="0" fontId="11" fillId="2" borderId="8" xfId="0" applyFont="1" applyFill="1" applyBorder="1" applyAlignment="1">
      <alignment horizontal="center" vertical="top"/>
    </xf>
    <xf numFmtId="49" fontId="22" fillId="2" borderId="1" xfId="0" applyNumberFormat="1" applyFont="1" applyFill="1" applyBorder="1" applyAlignment="1">
      <alignment horizontal="left" vertical="center" wrapText="1"/>
    </xf>
    <xf numFmtId="3" fontId="15" fillId="2" borderId="1" xfId="0" applyNumberFormat="1" applyFont="1" applyFill="1" applyBorder="1" applyAlignment="1">
      <alignment horizontal="left" wrapText="1"/>
    </xf>
    <xf numFmtId="3" fontId="10" fillId="2" borderId="3" xfId="0" applyNumberFormat="1" applyFont="1" applyFill="1" applyBorder="1" applyAlignment="1">
      <alignment horizontal="left" wrapText="1"/>
    </xf>
    <xf numFmtId="3" fontId="10" fillId="2" borderId="4" xfId="0" applyNumberFormat="1" applyFont="1" applyFill="1" applyBorder="1" applyAlignment="1">
      <alignment horizontal="left" wrapText="1"/>
    </xf>
    <xf numFmtId="3" fontId="10" fillId="2" borderId="2" xfId="0" applyNumberFormat="1" applyFont="1" applyFill="1" applyBorder="1" applyAlignment="1">
      <alignment horizontal="left" wrapText="1"/>
    </xf>
    <xf numFmtId="3" fontId="15" fillId="2" borderId="1" xfId="0" applyNumberFormat="1" applyFont="1" applyFill="1" applyBorder="1" applyAlignment="1">
      <alignment horizontal="left"/>
    </xf>
    <xf numFmtId="3" fontId="15" fillId="2" borderId="3" xfId="0" applyNumberFormat="1" applyFont="1" applyFill="1" applyBorder="1" applyAlignment="1">
      <alignment horizontal="left" wrapText="1"/>
    </xf>
    <xf numFmtId="3" fontId="15" fillId="2" borderId="4" xfId="0" applyNumberFormat="1" applyFont="1" applyFill="1" applyBorder="1" applyAlignment="1">
      <alignment horizontal="left" wrapText="1"/>
    </xf>
    <xf numFmtId="3" fontId="15" fillId="2" borderId="2" xfId="0" applyNumberFormat="1" applyFont="1" applyFill="1" applyBorder="1" applyAlignment="1">
      <alignment horizontal="left" wrapText="1"/>
    </xf>
    <xf numFmtId="3" fontId="10" fillId="2" borderId="1" xfId="0" applyNumberFormat="1" applyFont="1" applyFill="1" applyBorder="1" applyAlignment="1">
      <alignment horizontal="left"/>
    </xf>
    <xf numFmtId="3" fontId="10" fillId="2" borderId="3" xfId="0" applyNumberFormat="1" applyFont="1" applyFill="1" applyBorder="1" applyAlignment="1">
      <alignment horizontal="center" vertical="top" wrapText="1"/>
    </xf>
    <xf numFmtId="3" fontId="10" fillId="2" borderId="4" xfId="0" applyNumberFormat="1" applyFont="1" applyFill="1" applyBorder="1" applyAlignment="1">
      <alignment horizontal="center" vertical="top" wrapText="1"/>
    </xf>
    <xf numFmtId="3" fontId="10" fillId="2" borderId="2" xfId="0" applyNumberFormat="1" applyFont="1" applyFill="1" applyBorder="1" applyAlignment="1">
      <alignment horizontal="center" vertical="top" wrapText="1"/>
    </xf>
    <xf numFmtId="3" fontId="10" fillId="2" borderId="1" xfId="0" applyNumberFormat="1" applyFont="1" applyFill="1" applyBorder="1" applyAlignment="1">
      <alignment horizontal="left" vertical="top" wrapText="1"/>
    </xf>
    <xf numFmtId="3" fontId="10" fillId="2" borderId="3" xfId="0" applyNumberFormat="1" applyFont="1" applyFill="1" applyBorder="1" applyAlignment="1">
      <alignment horizontal="left"/>
    </xf>
    <xf numFmtId="3" fontId="10" fillId="2" borderId="4" xfId="0" applyNumberFormat="1" applyFont="1" applyFill="1" applyBorder="1" applyAlignment="1">
      <alignment horizontal="left"/>
    </xf>
    <xf numFmtId="3" fontId="10" fillId="2" borderId="2" xfId="0" applyNumberFormat="1" applyFont="1" applyFill="1" applyBorder="1" applyAlignment="1">
      <alignment horizontal="left"/>
    </xf>
    <xf numFmtId="3" fontId="10" fillId="2" borderId="1" xfId="0" applyNumberFormat="1" applyFont="1" applyFill="1" applyBorder="1" applyAlignment="1">
      <alignment horizontal="left" wrapText="1"/>
    </xf>
    <xf numFmtId="3" fontId="15" fillId="2" borderId="1" xfId="0" applyNumberFormat="1" applyFont="1" applyFill="1" applyBorder="1" applyAlignment="1">
      <alignment horizontal="left" vertical="center"/>
    </xf>
    <xf numFmtId="3" fontId="25" fillId="2" borderId="0" xfId="0" applyNumberFormat="1" applyFont="1" applyFill="1" applyAlignment="1">
      <alignment horizontal="left" wrapText="1"/>
    </xf>
    <xf numFmtId="3" fontId="24" fillId="2" borderId="0" xfId="0" applyNumberFormat="1" applyFont="1" applyFill="1" applyAlignment="1">
      <alignment horizontal="center" vertical="center" wrapText="1"/>
    </xf>
    <xf numFmtId="3" fontId="11" fillId="2" borderId="1" xfId="0" applyNumberFormat="1" applyFont="1" applyFill="1" applyBorder="1" applyAlignment="1">
      <alignment horizontal="center" vertical="center" wrapText="1"/>
    </xf>
    <xf numFmtId="3" fontId="11" fillId="2" borderId="1" xfId="0" applyNumberFormat="1" applyFont="1" applyFill="1" applyBorder="1" applyAlignment="1">
      <alignment horizontal="center" wrapText="1"/>
    </xf>
    <xf numFmtId="3" fontId="15" fillId="2" borderId="3" xfId="0" applyNumberFormat="1" applyFont="1" applyFill="1" applyBorder="1" applyAlignment="1">
      <alignment horizontal="left" vertical="center"/>
    </xf>
    <xf numFmtId="3" fontId="15" fillId="2" borderId="4" xfId="0" applyNumberFormat="1" applyFont="1" applyFill="1" applyBorder="1" applyAlignment="1">
      <alignment horizontal="left" vertical="center"/>
    </xf>
    <xf numFmtId="3" fontId="15" fillId="2" borderId="2" xfId="0" applyNumberFormat="1" applyFont="1" applyFill="1" applyBorder="1" applyAlignment="1">
      <alignment horizontal="left" vertical="center"/>
    </xf>
  </cellXfs>
  <cellStyles count="9">
    <cellStyle name="Обычный" xfId="0" builtinId="0"/>
    <cellStyle name="Обычный 2" xfId="1"/>
    <cellStyle name="Обычный 3" xfId="2"/>
    <cellStyle name="Обычный 4" xfId="8"/>
    <cellStyle name="Обычный_Dnepr" xfId="6"/>
    <cellStyle name="Обычный_Запит ПЦМ 2012 свод4 по уоз" xfId="7"/>
    <cellStyle name="Обычный_Лист1" xfId="3"/>
    <cellStyle name="Процентный 2" xfId="4"/>
    <cellStyle name="Стиль 1"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Downloads/2020/&#1055;&#1088;&#1086;&#1075;&#1088;&#1072;&#1084;&#1080;/&#1055;&#1088;&#1086;&#1075;&#1088;&#1072;&#1084;&#1072;%20&#1086;&#1093;&#1086;&#1088;&#1086;&#1085;&#1072;%20&#1079;&#1076;&#1086;&#1088;&#1086;&#1074;'&#1103;/&#1047;&#1084;&#1110;&#1085;&#1080;%20&#1055;&#1088;&#1086;&#1075;&#1088;&#1072;&#1084;&#1080;%20&#1054;&#1093;&#1086;&#1088;&#1086;&#1085;&#1072;%20&#1079;&#1076;&#1086;&#1088;&#1086;&#1074;'&#1103;/06.2020/&#1087;&#1086;%20&#1085;&#1086;&#1074;&#1086;&#1084;&#1091;/&#1044;&#1086;&#1076;&#1072;&#1090;&#1086;&#1082;%203-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Додаток 1"/>
      <sheetName val="Додаток 1 "/>
      <sheetName val="Додаток 2"/>
      <sheetName val="Додаток 3"/>
    </sheetNames>
    <sheetDataSet>
      <sheetData sheetId="0"/>
      <sheetData sheetId="1"/>
      <sheetData sheetId="2">
        <row r="5">
          <cell r="I5">
            <v>0</v>
          </cell>
        </row>
      </sheetData>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92D050"/>
  </sheetPr>
  <dimension ref="A1:M28"/>
  <sheetViews>
    <sheetView view="pageBreakPreview" topLeftCell="A19" zoomScale="84" zoomScaleSheetLayoutView="84" workbookViewId="0">
      <selection activeCell="A29" sqref="A29:IV29"/>
    </sheetView>
  </sheetViews>
  <sheetFormatPr defaultColWidth="9.140625" defaultRowHeight="18.75"/>
  <cols>
    <col min="1" max="1" width="40.85546875" style="1" customWidth="1"/>
    <col min="2" max="2" width="38.85546875" style="1" customWidth="1"/>
    <col min="3" max="3" width="52.140625" style="1" customWidth="1"/>
    <col min="4" max="4" width="9.140625" style="1"/>
    <col min="5" max="5" width="37.42578125" style="1" customWidth="1"/>
    <col min="6" max="16384" width="9.140625" style="1"/>
  </cols>
  <sheetData>
    <row r="1" spans="1:13">
      <c r="C1" s="1" t="s">
        <v>0</v>
      </c>
    </row>
    <row r="2" spans="1:13" ht="114" customHeight="1">
      <c r="C2" s="4" t="s">
        <v>40</v>
      </c>
      <c r="F2" s="274"/>
      <c r="G2" s="274"/>
      <c r="H2" s="274"/>
      <c r="I2" s="2"/>
      <c r="J2" s="2"/>
      <c r="K2" s="2"/>
      <c r="L2" s="16"/>
      <c r="M2" s="16"/>
    </row>
    <row r="3" spans="1:13" ht="24" customHeight="1">
      <c r="C3" s="4" t="s">
        <v>43</v>
      </c>
      <c r="E3" s="18"/>
      <c r="F3" s="275"/>
      <c r="G3" s="275"/>
      <c r="H3" s="275"/>
      <c r="J3" s="16"/>
      <c r="K3" s="16"/>
      <c r="L3" s="16"/>
      <c r="M3" s="16"/>
    </row>
    <row r="4" spans="1:13" ht="30" customHeight="1">
      <c r="C4" s="4"/>
      <c r="E4" s="18"/>
      <c r="F4" s="17"/>
      <c r="G4" s="17"/>
      <c r="H4" s="17"/>
      <c r="J4" s="16"/>
      <c r="K4" s="16"/>
      <c r="L4" s="16"/>
      <c r="M4" s="16"/>
    </row>
    <row r="5" spans="1:13" ht="17.25" customHeight="1">
      <c r="A5" s="270" t="s">
        <v>7</v>
      </c>
      <c r="B5" s="270"/>
      <c r="C5" s="270"/>
      <c r="F5" s="276"/>
      <c r="G5" s="276"/>
      <c r="H5" s="276"/>
      <c r="I5" s="276"/>
      <c r="J5" s="276"/>
      <c r="K5" s="276"/>
      <c r="L5" s="276"/>
      <c r="M5" s="276"/>
    </row>
    <row r="6" spans="1:13" ht="17.25" customHeight="1">
      <c r="A6" s="270" t="s">
        <v>19</v>
      </c>
      <c r="B6" s="270"/>
      <c r="C6" s="270"/>
    </row>
    <row r="7" spans="1:13" ht="17.25" customHeight="1">
      <c r="A7" s="270" t="s">
        <v>14</v>
      </c>
      <c r="B7" s="270"/>
      <c r="C7" s="270"/>
    </row>
    <row r="8" spans="1:13" ht="22.5" customHeight="1"/>
    <row r="9" spans="1:13" ht="37.5" customHeight="1">
      <c r="A9" s="272" t="s">
        <v>6</v>
      </c>
      <c r="B9" s="279" t="s">
        <v>8</v>
      </c>
      <c r="C9" s="280"/>
    </row>
    <row r="10" spans="1:13" ht="37.5" customHeight="1">
      <c r="A10" s="273"/>
      <c r="B10" s="282" t="s">
        <v>9</v>
      </c>
      <c r="C10" s="283"/>
    </row>
    <row r="11" spans="1:13">
      <c r="A11" s="7">
        <v>1</v>
      </c>
      <c r="B11" s="277">
        <v>2</v>
      </c>
      <c r="C11" s="278"/>
    </row>
    <row r="12" spans="1:13" ht="49.5" customHeight="1">
      <c r="A12" s="21" t="s">
        <v>29</v>
      </c>
      <c r="B12" s="271" t="s">
        <v>10</v>
      </c>
      <c r="C12" s="271"/>
    </row>
    <row r="13" spans="1:13" ht="49.5" customHeight="1">
      <c r="A13" s="21" t="s">
        <v>30</v>
      </c>
      <c r="B13" s="271" t="s">
        <v>13</v>
      </c>
      <c r="C13" s="271"/>
    </row>
    <row r="14" spans="1:13" ht="49.5" customHeight="1">
      <c r="A14" s="21" t="s">
        <v>31</v>
      </c>
      <c r="B14" s="271" t="s">
        <v>11</v>
      </c>
      <c r="C14" s="271"/>
    </row>
    <row r="15" spans="1:13" ht="49.5" customHeight="1">
      <c r="A15" s="21" t="s">
        <v>32</v>
      </c>
      <c r="B15" s="271" t="s">
        <v>22</v>
      </c>
      <c r="C15" s="271"/>
    </row>
    <row r="16" spans="1:13" ht="49.5" customHeight="1">
      <c r="A16" s="21" t="s">
        <v>33</v>
      </c>
      <c r="B16" s="271" t="s">
        <v>21</v>
      </c>
      <c r="C16" s="271"/>
    </row>
    <row r="17" spans="1:11" ht="49.5" customHeight="1">
      <c r="A17" s="21" t="s">
        <v>34</v>
      </c>
      <c r="B17" s="281" t="s">
        <v>42</v>
      </c>
      <c r="C17" s="281"/>
    </row>
    <row r="18" spans="1:11" ht="55.5" customHeight="1">
      <c r="A18" s="21" t="s">
        <v>35</v>
      </c>
      <c r="B18" s="281" t="s">
        <v>41</v>
      </c>
      <c r="C18" s="281"/>
    </row>
    <row r="19" spans="1:11" ht="57" customHeight="1">
      <c r="A19" s="21" t="s">
        <v>36</v>
      </c>
      <c r="B19" s="271" t="s">
        <v>12</v>
      </c>
      <c r="C19" s="271"/>
    </row>
    <row r="20" spans="1:11" ht="41.25" customHeight="1">
      <c r="A20" s="21" t="s">
        <v>37</v>
      </c>
      <c r="B20" s="281" t="s">
        <v>23</v>
      </c>
      <c r="C20" s="281"/>
    </row>
    <row r="21" spans="1:11" ht="41.25" customHeight="1">
      <c r="A21" s="21" t="s">
        <v>38</v>
      </c>
      <c r="B21" s="281" t="s">
        <v>24</v>
      </c>
      <c r="C21" s="281"/>
    </row>
    <row r="22" spans="1:11" ht="41.25" customHeight="1">
      <c r="A22" s="21" t="s">
        <v>39</v>
      </c>
      <c r="B22" s="281" t="s">
        <v>25</v>
      </c>
      <c r="C22" s="281"/>
    </row>
    <row r="23" spans="1:11" ht="14.25" customHeight="1">
      <c r="A23" s="20"/>
      <c r="B23" s="12"/>
      <c r="C23" s="12"/>
    </row>
    <row r="24" spans="1:11" ht="14.25" customHeight="1">
      <c r="A24" s="20"/>
      <c r="B24" s="12"/>
      <c r="C24" s="12"/>
    </row>
    <row r="25" spans="1:11" ht="14.25" customHeight="1">
      <c r="A25" s="20"/>
      <c r="B25" s="12"/>
      <c r="C25" s="12"/>
    </row>
    <row r="26" spans="1:11" ht="14.25" customHeight="1"/>
    <row r="27" spans="1:11" ht="22.5" customHeight="1">
      <c r="A27" s="8" t="s">
        <v>26</v>
      </c>
      <c r="B27" s="11"/>
      <c r="C27" s="9" t="s">
        <v>27</v>
      </c>
      <c r="D27" s="11"/>
      <c r="E27" s="13"/>
      <c r="F27" s="11"/>
      <c r="G27" s="14"/>
      <c r="H27" s="14"/>
      <c r="I27" s="14"/>
      <c r="J27" s="15"/>
      <c r="K27" s="14"/>
    </row>
    <row r="28" spans="1:11" ht="20.25" customHeight="1">
      <c r="A28" s="19" t="s">
        <v>28</v>
      </c>
      <c r="B28"/>
      <c r="C28" s="5"/>
      <c r="D28" s="3"/>
      <c r="F28" s="4"/>
      <c r="H28" s="6"/>
    </row>
  </sheetData>
  <mergeCells count="21">
    <mergeCell ref="B22:C22"/>
    <mergeCell ref="B10:C10"/>
    <mergeCell ref="B16:C16"/>
    <mergeCell ref="B20:C20"/>
    <mergeCell ref="B19:C19"/>
    <mergeCell ref="B13:C13"/>
    <mergeCell ref="B21:C21"/>
    <mergeCell ref="B14:C14"/>
    <mergeCell ref="B18:C18"/>
    <mergeCell ref="B17:C17"/>
    <mergeCell ref="B15:C15"/>
    <mergeCell ref="A7:C7"/>
    <mergeCell ref="B12:C12"/>
    <mergeCell ref="A6:C6"/>
    <mergeCell ref="A9:A10"/>
    <mergeCell ref="F2:H2"/>
    <mergeCell ref="F3:H3"/>
    <mergeCell ref="F5:M5"/>
    <mergeCell ref="B11:C11"/>
    <mergeCell ref="A5:C5"/>
    <mergeCell ref="B9:C9"/>
  </mergeCells>
  <pageMargins left="0.70866141732283472" right="0.51181102362204722" top="0.94488188976377963" bottom="0.55118110236220474" header="0.31496062992125984" footer="0.31496062992125984"/>
  <pageSetup paperSize="9" scale="69" orientation="portrait" verticalDpi="300" r:id="rId1"/>
</worksheet>
</file>

<file path=xl/worksheets/sheet2.xml><?xml version="1.0" encoding="utf-8"?>
<worksheet xmlns="http://schemas.openxmlformats.org/spreadsheetml/2006/main" xmlns:r="http://schemas.openxmlformats.org/officeDocument/2006/relationships">
  <sheetPr>
    <pageSetUpPr fitToPage="1"/>
  </sheetPr>
  <dimension ref="A1:H29"/>
  <sheetViews>
    <sheetView view="pageBreakPreview" topLeftCell="A13" zoomScale="50" zoomScaleSheetLayoutView="50" workbookViewId="0">
      <selection activeCell="C25" sqref="C25"/>
    </sheetView>
  </sheetViews>
  <sheetFormatPr defaultRowHeight="18.75"/>
  <cols>
    <col min="1" max="1" width="29.42578125" style="1" customWidth="1"/>
    <col min="2" max="2" width="38.85546875" style="1" customWidth="1"/>
    <col min="3" max="3" width="52.140625" style="1" customWidth="1"/>
    <col min="4" max="4" width="7.7109375" style="1" customWidth="1"/>
    <col min="5" max="5" width="1.7109375" style="1" customWidth="1"/>
    <col min="6" max="256" width="9.140625" style="1"/>
    <col min="257" max="257" width="32" style="1" customWidth="1"/>
    <col min="258" max="258" width="38.85546875" style="1" customWidth="1"/>
    <col min="259" max="259" width="52.140625" style="1" customWidth="1"/>
    <col min="260" max="512" width="9.140625" style="1"/>
    <col min="513" max="513" width="32" style="1" customWidth="1"/>
    <col min="514" max="514" width="38.85546875" style="1" customWidth="1"/>
    <col min="515" max="515" width="52.140625" style="1" customWidth="1"/>
    <col min="516" max="768" width="9.140625" style="1"/>
    <col min="769" max="769" width="32" style="1" customWidth="1"/>
    <col min="770" max="770" width="38.85546875" style="1" customWidth="1"/>
    <col min="771" max="771" width="52.140625" style="1" customWidth="1"/>
    <col min="772" max="1024" width="9.140625" style="1"/>
    <col min="1025" max="1025" width="32" style="1" customWidth="1"/>
    <col min="1026" max="1026" width="38.85546875" style="1" customWidth="1"/>
    <col min="1027" max="1027" width="52.140625" style="1" customWidth="1"/>
    <col min="1028" max="1280" width="9.140625" style="1"/>
    <col min="1281" max="1281" width="32" style="1" customWidth="1"/>
    <col min="1282" max="1282" width="38.85546875" style="1" customWidth="1"/>
    <col min="1283" max="1283" width="52.140625" style="1" customWidth="1"/>
    <col min="1284" max="1536" width="9.140625" style="1"/>
    <col min="1537" max="1537" width="32" style="1" customWidth="1"/>
    <col min="1538" max="1538" width="38.85546875" style="1" customWidth="1"/>
    <col min="1539" max="1539" width="52.140625" style="1" customWidth="1"/>
    <col min="1540" max="1792" width="9.140625" style="1"/>
    <col min="1793" max="1793" width="32" style="1" customWidth="1"/>
    <col min="1794" max="1794" width="38.85546875" style="1" customWidth="1"/>
    <col min="1795" max="1795" width="52.140625" style="1" customWidth="1"/>
    <col min="1796" max="2048" width="9.140625" style="1"/>
    <col min="2049" max="2049" width="32" style="1" customWidth="1"/>
    <col min="2050" max="2050" width="38.85546875" style="1" customWidth="1"/>
    <col min="2051" max="2051" width="52.140625" style="1" customWidth="1"/>
    <col min="2052" max="2304" width="9.140625" style="1"/>
    <col min="2305" max="2305" width="32" style="1" customWidth="1"/>
    <col min="2306" max="2306" width="38.85546875" style="1" customWidth="1"/>
    <col min="2307" max="2307" width="52.140625" style="1" customWidth="1"/>
    <col min="2308" max="2560" width="9.140625" style="1"/>
    <col min="2561" max="2561" width="32" style="1" customWidth="1"/>
    <col min="2562" max="2562" width="38.85546875" style="1" customWidth="1"/>
    <col min="2563" max="2563" width="52.140625" style="1" customWidth="1"/>
    <col min="2564" max="2816" width="9.140625" style="1"/>
    <col min="2817" max="2817" width="32" style="1" customWidth="1"/>
    <col min="2818" max="2818" width="38.85546875" style="1" customWidth="1"/>
    <col min="2819" max="2819" width="52.140625" style="1" customWidth="1"/>
    <col min="2820" max="3072" width="9.140625" style="1"/>
    <col min="3073" max="3073" width="32" style="1" customWidth="1"/>
    <col min="3074" max="3074" width="38.85546875" style="1" customWidth="1"/>
    <col min="3075" max="3075" width="52.140625" style="1" customWidth="1"/>
    <col min="3076" max="3328" width="9.140625" style="1"/>
    <col min="3329" max="3329" width="32" style="1" customWidth="1"/>
    <col min="3330" max="3330" width="38.85546875" style="1" customWidth="1"/>
    <col min="3331" max="3331" width="52.140625" style="1" customWidth="1"/>
    <col min="3332" max="3584" width="9.140625" style="1"/>
    <col min="3585" max="3585" width="32" style="1" customWidth="1"/>
    <col min="3586" max="3586" width="38.85546875" style="1" customWidth="1"/>
    <col min="3587" max="3587" width="52.140625" style="1" customWidth="1"/>
    <col min="3588" max="3840" width="9.140625" style="1"/>
    <col min="3841" max="3841" width="32" style="1" customWidth="1"/>
    <col min="3842" max="3842" width="38.85546875" style="1" customWidth="1"/>
    <col min="3843" max="3843" width="52.140625" style="1" customWidth="1"/>
    <col min="3844" max="4096" width="9.140625" style="1"/>
    <col min="4097" max="4097" width="32" style="1" customWidth="1"/>
    <col min="4098" max="4098" width="38.85546875" style="1" customWidth="1"/>
    <col min="4099" max="4099" width="52.140625" style="1" customWidth="1"/>
    <col min="4100" max="4352" width="9.140625" style="1"/>
    <col min="4353" max="4353" width="32" style="1" customWidth="1"/>
    <col min="4354" max="4354" width="38.85546875" style="1" customWidth="1"/>
    <col min="4355" max="4355" width="52.140625" style="1" customWidth="1"/>
    <col min="4356" max="4608" width="9.140625" style="1"/>
    <col min="4609" max="4609" width="32" style="1" customWidth="1"/>
    <col min="4610" max="4610" width="38.85546875" style="1" customWidth="1"/>
    <col min="4611" max="4611" width="52.140625" style="1" customWidth="1"/>
    <col min="4612" max="4864" width="9.140625" style="1"/>
    <col min="4865" max="4865" width="32" style="1" customWidth="1"/>
    <col min="4866" max="4866" width="38.85546875" style="1" customWidth="1"/>
    <col min="4867" max="4867" width="52.140625" style="1" customWidth="1"/>
    <col min="4868" max="5120" width="9.140625" style="1"/>
    <col min="5121" max="5121" width="32" style="1" customWidth="1"/>
    <col min="5122" max="5122" width="38.85546875" style="1" customWidth="1"/>
    <col min="5123" max="5123" width="52.140625" style="1" customWidth="1"/>
    <col min="5124" max="5376" width="9.140625" style="1"/>
    <col min="5377" max="5377" width="32" style="1" customWidth="1"/>
    <col min="5378" max="5378" width="38.85546875" style="1" customWidth="1"/>
    <col min="5379" max="5379" width="52.140625" style="1" customWidth="1"/>
    <col min="5380" max="5632" width="9.140625" style="1"/>
    <col min="5633" max="5633" width="32" style="1" customWidth="1"/>
    <col min="5634" max="5634" width="38.85546875" style="1" customWidth="1"/>
    <col min="5635" max="5635" width="52.140625" style="1" customWidth="1"/>
    <col min="5636" max="5888" width="9.140625" style="1"/>
    <col min="5889" max="5889" width="32" style="1" customWidth="1"/>
    <col min="5890" max="5890" width="38.85546875" style="1" customWidth="1"/>
    <col min="5891" max="5891" width="52.140625" style="1" customWidth="1"/>
    <col min="5892" max="6144" width="9.140625" style="1"/>
    <col min="6145" max="6145" width="32" style="1" customWidth="1"/>
    <col min="6146" max="6146" width="38.85546875" style="1" customWidth="1"/>
    <col min="6147" max="6147" width="52.140625" style="1" customWidth="1"/>
    <col min="6148" max="6400" width="9.140625" style="1"/>
    <col min="6401" max="6401" width="32" style="1" customWidth="1"/>
    <col min="6402" max="6402" width="38.85546875" style="1" customWidth="1"/>
    <col min="6403" max="6403" width="52.140625" style="1" customWidth="1"/>
    <col min="6404" max="6656" width="9.140625" style="1"/>
    <col min="6657" max="6657" width="32" style="1" customWidth="1"/>
    <col min="6658" max="6658" width="38.85546875" style="1" customWidth="1"/>
    <col min="6659" max="6659" width="52.140625" style="1" customWidth="1"/>
    <col min="6660" max="6912" width="9.140625" style="1"/>
    <col min="6913" max="6913" width="32" style="1" customWidth="1"/>
    <col min="6914" max="6914" width="38.85546875" style="1" customWidth="1"/>
    <col min="6915" max="6915" width="52.140625" style="1" customWidth="1"/>
    <col min="6916" max="7168" width="9.140625" style="1"/>
    <col min="7169" max="7169" width="32" style="1" customWidth="1"/>
    <col min="7170" max="7170" width="38.85546875" style="1" customWidth="1"/>
    <col min="7171" max="7171" width="52.140625" style="1" customWidth="1"/>
    <col min="7172" max="7424" width="9.140625" style="1"/>
    <col min="7425" max="7425" width="32" style="1" customWidth="1"/>
    <col min="7426" max="7426" width="38.85546875" style="1" customWidth="1"/>
    <col min="7427" max="7427" width="52.140625" style="1" customWidth="1"/>
    <col min="7428" max="7680" width="9.140625" style="1"/>
    <col min="7681" max="7681" width="32" style="1" customWidth="1"/>
    <col min="7682" max="7682" width="38.85546875" style="1" customWidth="1"/>
    <col min="7683" max="7683" width="52.140625" style="1" customWidth="1"/>
    <col min="7684" max="7936" width="9.140625" style="1"/>
    <col min="7937" max="7937" width="32" style="1" customWidth="1"/>
    <col min="7938" max="7938" width="38.85546875" style="1" customWidth="1"/>
    <col min="7939" max="7939" width="52.140625" style="1" customWidth="1"/>
    <col min="7940" max="8192" width="9.140625" style="1"/>
    <col min="8193" max="8193" width="32" style="1" customWidth="1"/>
    <col min="8194" max="8194" width="38.85546875" style="1" customWidth="1"/>
    <col min="8195" max="8195" width="52.140625" style="1" customWidth="1"/>
    <col min="8196" max="8448" width="9.140625" style="1"/>
    <col min="8449" max="8449" width="32" style="1" customWidth="1"/>
    <col min="8450" max="8450" width="38.85546875" style="1" customWidth="1"/>
    <col min="8451" max="8451" width="52.140625" style="1" customWidth="1"/>
    <col min="8452" max="8704" width="9.140625" style="1"/>
    <col min="8705" max="8705" width="32" style="1" customWidth="1"/>
    <col min="8706" max="8706" width="38.85546875" style="1" customWidth="1"/>
    <col min="8707" max="8707" width="52.140625" style="1" customWidth="1"/>
    <col min="8708" max="8960" width="9.140625" style="1"/>
    <col min="8961" max="8961" width="32" style="1" customWidth="1"/>
    <col min="8962" max="8962" width="38.85546875" style="1" customWidth="1"/>
    <col min="8963" max="8963" width="52.140625" style="1" customWidth="1"/>
    <col min="8964" max="9216" width="9.140625" style="1"/>
    <col min="9217" max="9217" width="32" style="1" customWidth="1"/>
    <col min="9218" max="9218" width="38.85546875" style="1" customWidth="1"/>
    <col min="9219" max="9219" width="52.140625" style="1" customWidth="1"/>
    <col min="9220" max="9472" width="9.140625" style="1"/>
    <col min="9473" max="9473" width="32" style="1" customWidth="1"/>
    <col min="9474" max="9474" width="38.85546875" style="1" customWidth="1"/>
    <col min="9475" max="9475" width="52.140625" style="1" customWidth="1"/>
    <col min="9476" max="9728" width="9.140625" style="1"/>
    <col min="9729" max="9729" width="32" style="1" customWidth="1"/>
    <col min="9730" max="9730" width="38.85546875" style="1" customWidth="1"/>
    <col min="9731" max="9731" width="52.140625" style="1" customWidth="1"/>
    <col min="9732" max="9984" width="9.140625" style="1"/>
    <col min="9985" max="9985" width="32" style="1" customWidth="1"/>
    <col min="9986" max="9986" width="38.85546875" style="1" customWidth="1"/>
    <col min="9987" max="9987" width="52.140625" style="1" customWidth="1"/>
    <col min="9988" max="10240" width="9.140625" style="1"/>
    <col min="10241" max="10241" width="32" style="1" customWidth="1"/>
    <col min="10242" max="10242" width="38.85546875" style="1" customWidth="1"/>
    <col min="10243" max="10243" width="52.140625" style="1" customWidth="1"/>
    <col min="10244" max="10496" width="9.140625" style="1"/>
    <col min="10497" max="10497" width="32" style="1" customWidth="1"/>
    <col min="10498" max="10498" width="38.85546875" style="1" customWidth="1"/>
    <col min="10499" max="10499" width="52.140625" style="1" customWidth="1"/>
    <col min="10500" max="10752" width="9.140625" style="1"/>
    <col min="10753" max="10753" width="32" style="1" customWidth="1"/>
    <col min="10754" max="10754" width="38.85546875" style="1" customWidth="1"/>
    <col min="10755" max="10755" width="52.140625" style="1" customWidth="1"/>
    <col min="10756" max="11008" width="9.140625" style="1"/>
    <col min="11009" max="11009" width="32" style="1" customWidth="1"/>
    <col min="11010" max="11010" width="38.85546875" style="1" customWidth="1"/>
    <col min="11011" max="11011" width="52.140625" style="1" customWidth="1"/>
    <col min="11012" max="11264" width="9.140625" style="1"/>
    <col min="11265" max="11265" width="32" style="1" customWidth="1"/>
    <col min="11266" max="11266" width="38.85546875" style="1" customWidth="1"/>
    <col min="11267" max="11267" width="52.140625" style="1" customWidth="1"/>
    <col min="11268" max="11520" width="9.140625" style="1"/>
    <col min="11521" max="11521" width="32" style="1" customWidth="1"/>
    <col min="11522" max="11522" width="38.85546875" style="1" customWidth="1"/>
    <col min="11523" max="11523" width="52.140625" style="1" customWidth="1"/>
    <col min="11524" max="11776" width="9.140625" style="1"/>
    <col min="11777" max="11777" width="32" style="1" customWidth="1"/>
    <col min="11778" max="11778" width="38.85546875" style="1" customWidth="1"/>
    <col min="11779" max="11779" width="52.140625" style="1" customWidth="1"/>
    <col min="11780" max="12032" width="9.140625" style="1"/>
    <col min="12033" max="12033" width="32" style="1" customWidth="1"/>
    <col min="12034" max="12034" width="38.85546875" style="1" customWidth="1"/>
    <col min="12035" max="12035" width="52.140625" style="1" customWidth="1"/>
    <col min="12036" max="12288" width="9.140625" style="1"/>
    <col min="12289" max="12289" width="32" style="1" customWidth="1"/>
    <col min="12290" max="12290" width="38.85546875" style="1" customWidth="1"/>
    <col min="12291" max="12291" width="52.140625" style="1" customWidth="1"/>
    <col min="12292" max="12544" width="9.140625" style="1"/>
    <col min="12545" max="12545" width="32" style="1" customWidth="1"/>
    <col min="12546" max="12546" width="38.85546875" style="1" customWidth="1"/>
    <col min="12547" max="12547" width="52.140625" style="1" customWidth="1"/>
    <col min="12548" max="12800" width="9.140625" style="1"/>
    <col min="12801" max="12801" width="32" style="1" customWidth="1"/>
    <col min="12802" max="12802" width="38.85546875" style="1" customWidth="1"/>
    <col min="12803" max="12803" width="52.140625" style="1" customWidth="1"/>
    <col min="12804" max="13056" width="9.140625" style="1"/>
    <col min="13057" max="13057" width="32" style="1" customWidth="1"/>
    <col min="13058" max="13058" width="38.85546875" style="1" customWidth="1"/>
    <col min="13059" max="13059" width="52.140625" style="1" customWidth="1"/>
    <col min="13060" max="13312" width="9.140625" style="1"/>
    <col min="13313" max="13313" width="32" style="1" customWidth="1"/>
    <col min="13314" max="13314" width="38.85546875" style="1" customWidth="1"/>
    <col min="13315" max="13315" width="52.140625" style="1" customWidth="1"/>
    <col min="13316" max="13568" width="9.140625" style="1"/>
    <col min="13569" max="13569" width="32" style="1" customWidth="1"/>
    <col min="13570" max="13570" width="38.85546875" style="1" customWidth="1"/>
    <col min="13571" max="13571" width="52.140625" style="1" customWidth="1"/>
    <col min="13572" max="13824" width="9.140625" style="1"/>
    <col min="13825" max="13825" width="32" style="1" customWidth="1"/>
    <col min="13826" max="13826" width="38.85546875" style="1" customWidth="1"/>
    <col min="13827" max="13827" width="52.140625" style="1" customWidth="1"/>
    <col min="13828" max="14080" width="9.140625" style="1"/>
    <col min="14081" max="14081" width="32" style="1" customWidth="1"/>
    <col min="14082" max="14082" width="38.85546875" style="1" customWidth="1"/>
    <col min="14083" max="14083" width="52.140625" style="1" customWidth="1"/>
    <col min="14084" max="14336" width="9.140625" style="1"/>
    <col min="14337" max="14337" width="32" style="1" customWidth="1"/>
    <col min="14338" max="14338" width="38.85546875" style="1" customWidth="1"/>
    <col min="14339" max="14339" width="52.140625" style="1" customWidth="1"/>
    <col min="14340" max="14592" width="9.140625" style="1"/>
    <col min="14593" max="14593" width="32" style="1" customWidth="1"/>
    <col min="14594" max="14594" width="38.85546875" style="1" customWidth="1"/>
    <col min="14595" max="14595" width="52.140625" style="1" customWidth="1"/>
    <col min="14596" max="14848" width="9.140625" style="1"/>
    <col min="14849" max="14849" width="32" style="1" customWidth="1"/>
    <col min="14850" max="14850" width="38.85546875" style="1" customWidth="1"/>
    <col min="14851" max="14851" width="52.140625" style="1" customWidth="1"/>
    <col min="14852" max="15104" width="9.140625" style="1"/>
    <col min="15105" max="15105" width="32" style="1" customWidth="1"/>
    <col min="15106" max="15106" width="38.85546875" style="1" customWidth="1"/>
    <col min="15107" max="15107" width="52.140625" style="1" customWidth="1"/>
    <col min="15108" max="15360" width="9.140625" style="1"/>
    <col min="15361" max="15361" width="32" style="1" customWidth="1"/>
    <col min="15362" max="15362" width="38.85546875" style="1" customWidth="1"/>
    <col min="15363" max="15363" width="52.140625" style="1" customWidth="1"/>
    <col min="15364" max="15616" width="9.140625" style="1"/>
    <col min="15617" max="15617" width="32" style="1" customWidth="1"/>
    <col min="15618" max="15618" width="38.85546875" style="1" customWidth="1"/>
    <col min="15619" max="15619" width="52.140625" style="1" customWidth="1"/>
    <col min="15620" max="15872" width="9.140625" style="1"/>
    <col min="15873" max="15873" width="32" style="1" customWidth="1"/>
    <col min="15874" max="15874" width="38.85546875" style="1" customWidth="1"/>
    <col min="15875" max="15875" width="52.140625" style="1" customWidth="1"/>
    <col min="15876" max="16128" width="9.140625" style="1"/>
    <col min="16129" max="16129" width="32" style="1" customWidth="1"/>
    <col min="16130" max="16130" width="38.85546875" style="1" customWidth="1"/>
    <col min="16131" max="16131" width="52.140625" style="1" customWidth="1"/>
    <col min="16132" max="16384" width="9.140625" style="1"/>
  </cols>
  <sheetData>
    <row r="1" spans="1:6" ht="244.5" customHeight="1">
      <c r="C1" s="284" t="s">
        <v>458</v>
      </c>
      <c r="D1" s="284"/>
      <c r="E1" s="34"/>
      <c r="F1" s="34"/>
    </row>
    <row r="2" spans="1:6" ht="29.25" customHeight="1">
      <c r="C2" s="285" t="s">
        <v>459</v>
      </c>
      <c r="D2" s="285"/>
      <c r="E2" s="285"/>
      <c r="F2" s="285"/>
    </row>
    <row r="3" spans="1:6" ht="15.75" customHeight="1">
      <c r="C3" s="4"/>
    </row>
    <row r="4" spans="1:6" ht="25.5">
      <c r="A4" s="286" t="s">
        <v>7</v>
      </c>
      <c r="B4" s="286"/>
      <c r="C4" s="286"/>
    </row>
    <row r="5" spans="1:6" ht="49.5" customHeight="1">
      <c r="A5" s="287" t="s">
        <v>436</v>
      </c>
      <c r="B5" s="287"/>
      <c r="C5" s="287"/>
    </row>
    <row r="6" spans="1:6" ht="17.25" customHeight="1"/>
    <row r="7" spans="1:6" ht="66" customHeight="1">
      <c r="A7" s="288" t="s">
        <v>6</v>
      </c>
      <c r="B7" s="289" t="s">
        <v>8</v>
      </c>
      <c r="C7" s="290"/>
    </row>
    <row r="8" spans="1:6" ht="87" customHeight="1">
      <c r="A8" s="288"/>
      <c r="B8" s="291" t="s">
        <v>9</v>
      </c>
      <c r="C8" s="292"/>
    </row>
    <row r="9" spans="1:6">
      <c r="A9" s="7">
        <v>1</v>
      </c>
      <c r="B9" s="293">
        <v>2</v>
      </c>
      <c r="C9" s="293"/>
    </row>
    <row r="10" spans="1:6" ht="45" customHeight="1">
      <c r="A10" s="22" t="s">
        <v>29</v>
      </c>
      <c r="B10" s="271" t="s">
        <v>10</v>
      </c>
      <c r="C10" s="271"/>
    </row>
    <row r="11" spans="1:6" ht="45" customHeight="1">
      <c r="A11" s="22" t="s">
        <v>423</v>
      </c>
      <c r="B11" s="271" t="s">
        <v>424</v>
      </c>
      <c r="C11" s="271"/>
    </row>
    <row r="12" spans="1:6" ht="43.5" customHeight="1">
      <c r="A12" s="22" t="s">
        <v>30</v>
      </c>
      <c r="B12" s="271" t="s">
        <v>13</v>
      </c>
      <c r="C12" s="271"/>
    </row>
    <row r="13" spans="1:6" ht="42.75" customHeight="1">
      <c r="A13" s="23" t="s">
        <v>31</v>
      </c>
      <c r="B13" s="271" t="s">
        <v>11</v>
      </c>
      <c r="C13" s="271"/>
    </row>
    <row r="14" spans="1:6" ht="41.25" customHeight="1">
      <c r="A14" s="23" t="s">
        <v>211</v>
      </c>
      <c r="B14" s="271" t="s">
        <v>212</v>
      </c>
      <c r="C14" s="271"/>
    </row>
    <row r="15" spans="1:6" ht="39.75" customHeight="1">
      <c r="A15" s="23" t="s">
        <v>32</v>
      </c>
      <c r="B15" s="271" t="s">
        <v>22</v>
      </c>
      <c r="C15" s="271"/>
    </row>
    <row r="16" spans="1:6" ht="42.75" customHeight="1">
      <c r="A16" s="23" t="s">
        <v>33</v>
      </c>
      <c r="B16" s="271" t="s">
        <v>213</v>
      </c>
      <c r="C16" s="271"/>
    </row>
    <row r="17" spans="1:8" ht="42" customHeight="1">
      <c r="A17" s="23" t="s">
        <v>214</v>
      </c>
      <c r="B17" s="281" t="s">
        <v>215</v>
      </c>
      <c r="C17" s="281"/>
    </row>
    <row r="18" spans="1:8" ht="42.75" customHeight="1">
      <c r="A18" s="23" t="s">
        <v>34</v>
      </c>
      <c r="B18" s="281" t="s">
        <v>297</v>
      </c>
      <c r="C18" s="281"/>
    </row>
    <row r="19" spans="1:8" ht="64.5" customHeight="1">
      <c r="A19" s="23" t="s">
        <v>36</v>
      </c>
      <c r="B19" s="271" t="s">
        <v>216</v>
      </c>
      <c r="C19" s="271"/>
    </row>
    <row r="20" spans="1:8" ht="42.75" customHeight="1">
      <c r="A20" s="97" t="s">
        <v>183</v>
      </c>
      <c r="B20" s="271" t="s">
        <v>218</v>
      </c>
      <c r="C20" s="271"/>
    </row>
    <row r="21" spans="1:8" ht="64.5" customHeight="1">
      <c r="A21" s="97" t="s">
        <v>68</v>
      </c>
      <c r="B21" s="271" t="s">
        <v>217</v>
      </c>
      <c r="C21" s="271"/>
    </row>
    <row r="22" spans="1:8" ht="63.75" customHeight="1">
      <c r="A22" s="97" t="s">
        <v>37</v>
      </c>
      <c r="B22" s="271" t="s">
        <v>220</v>
      </c>
      <c r="C22" s="271"/>
    </row>
    <row r="23" spans="1:8" ht="44.25" customHeight="1">
      <c r="A23" s="97" t="s">
        <v>420</v>
      </c>
      <c r="B23" s="271" t="s">
        <v>421</v>
      </c>
      <c r="C23" s="271"/>
    </row>
    <row r="24" spans="1:8" ht="9.75" customHeight="1"/>
    <row r="25" spans="1:8" ht="24" customHeight="1">
      <c r="A25" s="93" t="s">
        <v>460</v>
      </c>
      <c r="B25" s="94"/>
      <c r="C25" s="95" t="s">
        <v>461</v>
      </c>
      <c r="D25" s="3"/>
      <c r="F25" s="4"/>
      <c r="H25" s="6"/>
    </row>
    <row r="26" spans="1:8" ht="21" customHeight="1">
      <c r="B26"/>
      <c r="C26" s="24"/>
      <c r="D26" s="3"/>
      <c r="F26" s="4"/>
      <c r="H26" s="6"/>
    </row>
    <row r="27" spans="1:8" ht="20.25" customHeight="1">
      <c r="A27" s="96" t="s">
        <v>28</v>
      </c>
      <c r="B27" s="90"/>
      <c r="C27" s="5"/>
      <c r="D27" s="3"/>
      <c r="F27" s="4"/>
      <c r="H27" s="6"/>
    </row>
    <row r="28" spans="1:8" ht="20.25" customHeight="1">
      <c r="A28" s="96"/>
      <c r="B28" s="90"/>
      <c r="C28" s="5"/>
      <c r="D28" s="3"/>
      <c r="F28" s="4"/>
      <c r="H28" s="6"/>
    </row>
    <row r="29" spans="1:8" ht="20.25">
      <c r="A29" s="89" t="s">
        <v>219</v>
      </c>
      <c r="B29" s="89"/>
    </row>
  </sheetData>
  <mergeCells count="22">
    <mergeCell ref="B11:C11"/>
    <mergeCell ref="B23:C23"/>
    <mergeCell ref="B21:C21"/>
    <mergeCell ref="B22:C22"/>
    <mergeCell ref="B16:C16"/>
    <mergeCell ref="B15:C15"/>
    <mergeCell ref="C1:D1"/>
    <mergeCell ref="B17:C17"/>
    <mergeCell ref="B18:C18"/>
    <mergeCell ref="B19:C19"/>
    <mergeCell ref="B20:C20"/>
    <mergeCell ref="C2:F2"/>
    <mergeCell ref="A4:C4"/>
    <mergeCell ref="A5:C5"/>
    <mergeCell ref="A7:A8"/>
    <mergeCell ref="B7:C7"/>
    <mergeCell ref="B8:C8"/>
    <mergeCell ref="B9:C9"/>
    <mergeCell ref="B10:C10"/>
    <mergeCell ref="B12:C12"/>
    <mergeCell ref="B13:C13"/>
    <mergeCell ref="B14:C14"/>
  </mergeCells>
  <pageMargins left="0.78740157480314965" right="0.39370078740157483" top="0.39370078740157483" bottom="0.39370078740157483" header="0.31496062992125984" footer="0.31496062992125984"/>
  <pageSetup paperSize="9" scale="60" orientation="portrait" r:id="rId1"/>
</worksheet>
</file>

<file path=xl/worksheets/sheet3.xml><?xml version="1.0" encoding="utf-8"?>
<worksheet xmlns="http://schemas.openxmlformats.org/spreadsheetml/2006/main" xmlns:r="http://schemas.openxmlformats.org/officeDocument/2006/relationships">
  <sheetPr filterMode="1">
    <tabColor rgb="FF92D050"/>
  </sheetPr>
  <dimension ref="A1:R444"/>
  <sheetViews>
    <sheetView tabSelected="1" view="pageBreakPreview" topLeftCell="A430" zoomScale="36" zoomScaleSheetLayoutView="36" workbookViewId="0">
      <selection activeCell="E435" sqref="E435"/>
    </sheetView>
  </sheetViews>
  <sheetFormatPr defaultColWidth="9.140625" defaultRowHeight="75" customHeight="1"/>
  <cols>
    <col min="1" max="1" width="8.42578125" style="145" customWidth="1"/>
    <col min="2" max="2" width="38.85546875" style="8" customWidth="1"/>
    <col min="3" max="3" width="51.28515625" style="36" customWidth="1"/>
    <col min="4" max="4" width="18.28515625" style="146" customWidth="1"/>
    <col min="5" max="5" width="69.42578125" style="147" customWidth="1"/>
    <col min="6" max="6" width="22.7109375" style="148" customWidth="1"/>
    <col min="7" max="7" width="43" style="150" customWidth="1"/>
    <col min="8" max="8" width="32.28515625" style="121" customWidth="1"/>
    <col min="9" max="9" width="25.140625" style="121" customWidth="1"/>
    <col min="10" max="10" width="21.7109375" style="121" customWidth="1"/>
    <col min="11" max="11" width="22.140625" style="121" customWidth="1"/>
    <col min="12" max="12" width="75.85546875" style="154" customWidth="1"/>
    <col min="13" max="13" width="20.85546875" style="8" customWidth="1"/>
    <col min="14" max="14" width="21.140625" style="8" customWidth="1"/>
    <col min="15" max="15" width="9.140625" style="8" customWidth="1"/>
    <col min="16" max="16" width="9.140625" style="8"/>
    <col min="17" max="17" width="11.140625" style="8" bestFit="1" customWidth="1"/>
    <col min="18" max="16384" width="9.140625" style="8"/>
  </cols>
  <sheetData>
    <row r="1" spans="1:13" ht="33" customHeight="1">
      <c r="G1" s="149"/>
      <c r="H1" s="120"/>
      <c r="I1" s="120"/>
      <c r="J1" s="120"/>
      <c r="K1" s="120"/>
      <c r="L1" s="34"/>
    </row>
    <row r="2" spans="1:13" ht="218.25" customHeight="1">
      <c r="L2" s="151" t="s">
        <v>448</v>
      </c>
    </row>
    <row r="3" spans="1:13" ht="68.25" customHeight="1">
      <c r="A3" s="152"/>
      <c r="L3" s="153" t="s">
        <v>455</v>
      </c>
    </row>
    <row r="4" spans="1:13" ht="75" customHeight="1">
      <c r="A4" s="152"/>
    </row>
    <row r="5" spans="1:13" ht="75" customHeight="1">
      <c r="A5" s="423" t="s">
        <v>437</v>
      </c>
      <c r="B5" s="423"/>
      <c r="C5" s="423"/>
      <c r="D5" s="423"/>
      <c r="E5" s="423"/>
      <c r="F5" s="423"/>
      <c r="G5" s="423"/>
      <c r="H5" s="423"/>
      <c r="I5" s="423"/>
      <c r="J5" s="423"/>
      <c r="K5" s="423"/>
      <c r="L5" s="423"/>
    </row>
    <row r="6" spans="1:13" ht="75" customHeight="1">
      <c r="H6" s="155" t="s">
        <v>20</v>
      </c>
      <c r="I6" s="156" t="e">
        <f>#REF!+#REF!+#REF!+#REF!</f>
        <v>#REF!</v>
      </c>
    </row>
    <row r="7" spans="1:13" ht="75" customHeight="1">
      <c r="A7" s="424" t="s">
        <v>1</v>
      </c>
      <c r="B7" s="425" t="s">
        <v>2</v>
      </c>
      <c r="C7" s="425" t="s">
        <v>3</v>
      </c>
      <c r="D7" s="424" t="s">
        <v>50</v>
      </c>
      <c r="E7" s="426" t="s">
        <v>48</v>
      </c>
      <c r="F7" s="429" t="s">
        <v>45</v>
      </c>
      <c r="G7" s="425" t="s">
        <v>4</v>
      </c>
      <c r="H7" s="430" t="s">
        <v>15</v>
      </c>
      <c r="I7" s="431"/>
      <c r="J7" s="431"/>
      <c r="K7" s="432"/>
      <c r="L7" s="425" t="s">
        <v>5</v>
      </c>
    </row>
    <row r="8" spans="1:13" ht="75" customHeight="1">
      <c r="A8" s="424"/>
      <c r="B8" s="425"/>
      <c r="C8" s="425"/>
      <c r="D8" s="424"/>
      <c r="E8" s="427"/>
      <c r="F8" s="429"/>
      <c r="G8" s="425"/>
      <c r="H8" s="425" t="s">
        <v>85</v>
      </c>
      <c r="I8" s="433" t="s">
        <v>16</v>
      </c>
      <c r="J8" s="433"/>
      <c r="K8" s="433"/>
      <c r="L8" s="425"/>
    </row>
    <row r="9" spans="1:13" s="157" customFormat="1" ht="75" customHeight="1">
      <c r="A9" s="424"/>
      <c r="B9" s="425"/>
      <c r="C9" s="425"/>
      <c r="D9" s="424"/>
      <c r="E9" s="428"/>
      <c r="F9" s="429"/>
      <c r="G9" s="425"/>
      <c r="H9" s="425"/>
      <c r="I9" s="141" t="s">
        <v>44</v>
      </c>
      <c r="J9" s="141" t="s">
        <v>434</v>
      </c>
      <c r="K9" s="141" t="s">
        <v>49</v>
      </c>
      <c r="L9" s="425"/>
    </row>
    <row r="10" spans="1:13" s="157" customFormat="1" ht="75" customHeight="1">
      <c r="A10" s="26">
        <v>1</v>
      </c>
      <c r="B10" s="26">
        <v>2</v>
      </c>
      <c r="C10" s="158">
        <v>3</v>
      </c>
      <c r="D10" s="159">
        <v>4</v>
      </c>
      <c r="E10" s="158">
        <v>5</v>
      </c>
      <c r="F10" s="159">
        <v>6</v>
      </c>
      <c r="G10" s="159">
        <v>7</v>
      </c>
      <c r="H10" s="122">
        <v>8</v>
      </c>
      <c r="I10" s="122">
        <v>9</v>
      </c>
      <c r="J10" s="122">
        <v>10</v>
      </c>
      <c r="K10" s="122">
        <v>11</v>
      </c>
      <c r="L10" s="122">
        <v>12</v>
      </c>
      <c r="M10" s="119"/>
    </row>
    <row r="11" spans="1:13" s="157" customFormat="1" ht="75" customHeight="1">
      <c r="A11" s="342" t="s">
        <v>279</v>
      </c>
      <c r="B11" s="343"/>
      <c r="C11" s="343"/>
      <c r="D11" s="343"/>
      <c r="E11" s="343"/>
      <c r="F11" s="343"/>
      <c r="G11" s="343"/>
      <c r="H11" s="343"/>
      <c r="I11" s="343"/>
      <c r="J11" s="343"/>
      <c r="K11" s="343"/>
      <c r="L11" s="344"/>
      <c r="M11" s="119"/>
    </row>
    <row r="12" spans="1:13" s="11" customFormat="1" ht="75" customHeight="1">
      <c r="A12" s="443" t="s">
        <v>228</v>
      </c>
      <c r="B12" s="440" t="s">
        <v>221</v>
      </c>
      <c r="C12" s="405" t="s">
        <v>229</v>
      </c>
      <c r="D12" s="390" t="s">
        <v>346</v>
      </c>
      <c r="E12" s="391"/>
      <c r="F12" s="391"/>
      <c r="G12" s="392"/>
      <c r="H12" s="106">
        <f>H13+H14</f>
        <v>240</v>
      </c>
      <c r="I12" s="106">
        <f>I13+I14</f>
        <v>240</v>
      </c>
      <c r="J12" s="106">
        <f>J13+J14</f>
        <v>0</v>
      </c>
      <c r="K12" s="106">
        <f>K13+K14</f>
        <v>0</v>
      </c>
      <c r="L12" s="294" t="s">
        <v>273</v>
      </c>
    </row>
    <row r="13" spans="1:13" ht="75" customHeight="1">
      <c r="A13" s="444"/>
      <c r="B13" s="441"/>
      <c r="C13" s="405"/>
      <c r="D13" s="25" t="s">
        <v>36</v>
      </c>
      <c r="E13" s="139" t="s">
        <v>80</v>
      </c>
      <c r="F13" s="338" t="s">
        <v>223</v>
      </c>
      <c r="G13" s="338" t="s">
        <v>450</v>
      </c>
      <c r="H13" s="106">
        <f>I13+J13+K13</f>
        <v>60</v>
      </c>
      <c r="I13" s="107">
        <f>60</f>
        <v>60</v>
      </c>
      <c r="J13" s="107">
        <v>0</v>
      </c>
      <c r="K13" s="107">
        <v>0</v>
      </c>
      <c r="L13" s="313"/>
    </row>
    <row r="14" spans="1:13" ht="75" customHeight="1">
      <c r="A14" s="444"/>
      <c r="B14" s="441"/>
      <c r="C14" s="405"/>
      <c r="D14" s="25" t="s">
        <v>36</v>
      </c>
      <c r="E14" s="139" t="s">
        <v>81</v>
      </c>
      <c r="F14" s="338"/>
      <c r="G14" s="338"/>
      <c r="H14" s="106">
        <f>I14+J14+K14</f>
        <v>180</v>
      </c>
      <c r="I14" s="107">
        <f>150+30</f>
        <v>180</v>
      </c>
      <c r="J14" s="107">
        <v>0</v>
      </c>
      <c r="K14" s="107">
        <v>0</v>
      </c>
      <c r="L14" s="313"/>
    </row>
    <row r="15" spans="1:13" ht="75" customHeight="1">
      <c r="A15" s="444"/>
      <c r="B15" s="441"/>
      <c r="C15" s="405" t="s">
        <v>230</v>
      </c>
      <c r="D15" s="390" t="s">
        <v>354</v>
      </c>
      <c r="E15" s="391"/>
      <c r="F15" s="391"/>
      <c r="G15" s="392"/>
      <c r="H15" s="106">
        <f>H16+H17</f>
        <v>7016.41</v>
      </c>
      <c r="I15" s="106">
        <f>I16+I17</f>
        <v>1577.81</v>
      </c>
      <c r="J15" s="106">
        <f>J16+J17</f>
        <v>2614.6999999999998</v>
      </c>
      <c r="K15" s="106">
        <f>K16+K17</f>
        <v>2823.8999999999996</v>
      </c>
      <c r="L15" s="313"/>
    </row>
    <row r="16" spans="1:13" ht="75" customHeight="1">
      <c r="A16" s="444"/>
      <c r="B16" s="441"/>
      <c r="C16" s="405"/>
      <c r="D16" s="25" t="s">
        <v>36</v>
      </c>
      <c r="E16" s="139" t="s">
        <v>80</v>
      </c>
      <c r="F16" s="338" t="s">
        <v>223</v>
      </c>
      <c r="G16" s="338" t="s">
        <v>450</v>
      </c>
      <c r="H16" s="106">
        <f>I16+J16+K16</f>
        <v>3883.6000000000004</v>
      </c>
      <c r="I16" s="107">
        <v>919</v>
      </c>
      <c r="J16" s="107">
        <v>1425.3</v>
      </c>
      <c r="K16" s="107">
        <v>1539.3</v>
      </c>
      <c r="L16" s="313"/>
    </row>
    <row r="17" spans="1:13" ht="75" customHeight="1">
      <c r="A17" s="444"/>
      <c r="B17" s="441"/>
      <c r="C17" s="405"/>
      <c r="D17" s="25" t="s">
        <v>36</v>
      </c>
      <c r="E17" s="139" t="s">
        <v>81</v>
      </c>
      <c r="F17" s="338"/>
      <c r="G17" s="338"/>
      <c r="H17" s="106">
        <f>I17+J17+K17</f>
        <v>3132.81</v>
      </c>
      <c r="I17" s="107">
        <f>753.5-43.38-51.31</f>
        <v>658.81</v>
      </c>
      <c r="J17" s="107">
        <v>1189.4000000000001</v>
      </c>
      <c r="K17" s="107">
        <v>1284.5999999999999</v>
      </c>
      <c r="L17" s="295"/>
    </row>
    <row r="18" spans="1:13" ht="75" customHeight="1">
      <c r="A18" s="444"/>
      <c r="B18" s="441"/>
      <c r="C18" s="405" t="s">
        <v>231</v>
      </c>
      <c r="D18" s="390" t="s">
        <v>355</v>
      </c>
      <c r="E18" s="391"/>
      <c r="F18" s="391"/>
      <c r="G18" s="392"/>
      <c r="H18" s="111">
        <f>H19+H20</f>
        <v>3495.1</v>
      </c>
      <c r="I18" s="111">
        <f>I19+I20</f>
        <v>1081.8</v>
      </c>
      <c r="J18" s="111">
        <f>J19+J20</f>
        <v>1169.3</v>
      </c>
      <c r="K18" s="111">
        <f>K19+K20</f>
        <v>1244</v>
      </c>
      <c r="L18" s="370" t="s">
        <v>47</v>
      </c>
    </row>
    <row r="19" spans="1:13" ht="75" customHeight="1">
      <c r="A19" s="444"/>
      <c r="B19" s="441"/>
      <c r="C19" s="405"/>
      <c r="D19" s="25" t="s">
        <v>33</v>
      </c>
      <c r="E19" s="139" t="s">
        <v>80</v>
      </c>
      <c r="F19" s="338" t="s">
        <v>223</v>
      </c>
      <c r="G19" s="338" t="s">
        <v>450</v>
      </c>
      <c r="H19" s="106">
        <f>I19+J19+K19</f>
        <v>1721.1</v>
      </c>
      <c r="I19" s="107">
        <v>532</v>
      </c>
      <c r="J19" s="107">
        <v>575.29999999999995</v>
      </c>
      <c r="K19" s="107">
        <v>613.79999999999995</v>
      </c>
      <c r="L19" s="370"/>
    </row>
    <row r="20" spans="1:13" ht="75" customHeight="1">
      <c r="A20" s="444"/>
      <c r="B20" s="441"/>
      <c r="C20" s="405"/>
      <c r="D20" s="25" t="s">
        <v>33</v>
      </c>
      <c r="E20" s="160" t="s">
        <v>81</v>
      </c>
      <c r="F20" s="338"/>
      <c r="G20" s="338"/>
      <c r="H20" s="106">
        <f>I20+J20+K20</f>
        <v>1774</v>
      </c>
      <c r="I20" s="107">
        <v>549.79999999999995</v>
      </c>
      <c r="J20" s="107">
        <v>594</v>
      </c>
      <c r="K20" s="107">
        <v>630.20000000000005</v>
      </c>
      <c r="L20" s="370"/>
    </row>
    <row r="21" spans="1:13" ht="75" customHeight="1">
      <c r="A21" s="444"/>
      <c r="B21" s="441"/>
      <c r="C21" s="395" t="s">
        <v>447</v>
      </c>
      <c r="D21" s="390" t="s">
        <v>446</v>
      </c>
      <c r="E21" s="391"/>
      <c r="F21" s="391"/>
      <c r="G21" s="392"/>
      <c r="H21" s="106">
        <f t="shared" ref="H21:H22" si="0">I21+J21+K21</f>
        <v>1522</v>
      </c>
      <c r="I21" s="106">
        <f>I22+I23</f>
        <v>0</v>
      </c>
      <c r="J21" s="106">
        <f t="shared" ref="J21:K21" si="1">J22+J23</f>
        <v>813.80000000000007</v>
      </c>
      <c r="K21" s="106">
        <f t="shared" si="1"/>
        <v>708.2</v>
      </c>
      <c r="L21" s="133"/>
    </row>
    <row r="22" spans="1:13" ht="75" customHeight="1">
      <c r="A22" s="444"/>
      <c r="B22" s="441"/>
      <c r="C22" s="395"/>
      <c r="D22" s="25" t="s">
        <v>33</v>
      </c>
      <c r="E22" s="139" t="s">
        <v>80</v>
      </c>
      <c r="F22" s="338" t="s">
        <v>223</v>
      </c>
      <c r="G22" s="338" t="s">
        <v>450</v>
      </c>
      <c r="H22" s="106">
        <f t="shared" si="0"/>
        <v>251.29999999999998</v>
      </c>
      <c r="I22" s="107"/>
      <c r="J22" s="107">
        <v>121.6</v>
      </c>
      <c r="K22" s="107">
        <v>129.69999999999999</v>
      </c>
      <c r="L22" s="133"/>
    </row>
    <row r="23" spans="1:13" ht="112.5" customHeight="1">
      <c r="A23" s="445"/>
      <c r="B23" s="442"/>
      <c r="C23" s="395"/>
      <c r="D23" s="25" t="s">
        <v>33</v>
      </c>
      <c r="E23" s="160" t="s">
        <v>81</v>
      </c>
      <c r="F23" s="338"/>
      <c r="G23" s="338"/>
      <c r="H23" s="106">
        <f t="shared" ref="H23" si="2">I23+J23+K23</f>
        <v>1270.7</v>
      </c>
      <c r="I23" s="107"/>
      <c r="J23" s="107">
        <v>692.2</v>
      </c>
      <c r="K23" s="107">
        <v>578.5</v>
      </c>
      <c r="L23" s="241"/>
    </row>
    <row r="24" spans="1:13" s="157" customFormat="1" ht="75" customHeight="1">
      <c r="A24" s="406"/>
      <c r="B24" s="407"/>
      <c r="C24" s="407"/>
      <c r="D24" s="407"/>
      <c r="E24" s="410" t="s">
        <v>280</v>
      </c>
      <c r="F24" s="411"/>
      <c r="G24" s="412"/>
      <c r="H24" s="111">
        <f>H12+H15+H18+H21</f>
        <v>12273.51</v>
      </c>
      <c r="I24" s="111">
        <f>I12+I15+I18+I21</f>
        <v>2899.6099999999997</v>
      </c>
      <c r="J24" s="111">
        <f>J12+J15+J18+J21</f>
        <v>4597.8</v>
      </c>
      <c r="K24" s="111">
        <f t="shared" ref="K24" si="3">K12+K15+K18+K21</f>
        <v>4776.0999999999995</v>
      </c>
      <c r="L24" s="396"/>
      <c r="M24" s="119"/>
    </row>
    <row r="25" spans="1:13" s="157" customFormat="1" ht="75" customHeight="1">
      <c r="A25" s="408"/>
      <c r="B25" s="409"/>
      <c r="C25" s="409"/>
      <c r="D25" s="409"/>
      <c r="E25" s="139" t="s">
        <v>80</v>
      </c>
      <c r="F25" s="324"/>
      <c r="G25" s="327" t="s">
        <v>450</v>
      </c>
      <c r="H25" s="111">
        <f t="shared" ref="H25:H26" si="4">H13+H16+H19+H22</f>
        <v>5916.0000000000009</v>
      </c>
      <c r="I25" s="111">
        <f t="shared" ref="I25" si="5">I13+I16+I19</f>
        <v>1511</v>
      </c>
      <c r="J25" s="111">
        <f>J13+J16+J19+J22</f>
        <v>2122.1999999999998</v>
      </c>
      <c r="K25" s="111">
        <f>K13+K16+K19+K22</f>
        <v>2282.7999999999997</v>
      </c>
      <c r="L25" s="397"/>
      <c r="M25" s="119"/>
    </row>
    <row r="26" spans="1:13" s="157" customFormat="1" ht="75" customHeight="1">
      <c r="A26" s="408"/>
      <c r="B26" s="409"/>
      <c r="C26" s="409"/>
      <c r="D26" s="409"/>
      <c r="E26" s="161" t="s">
        <v>81</v>
      </c>
      <c r="F26" s="325"/>
      <c r="G26" s="328"/>
      <c r="H26" s="111">
        <f t="shared" si="4"/>
        <v>6357.5099999999993</v>
      </c>
      <c r="I26" s="162">
        <f>I14+I17+I20</f>
        <v>1388.61</v>
      </c>
      <c r="J26" s="111">
        <f>J14+J17+J20+J23</f>
        <v>2475.6000000000004</v>
      </c>
      <c r="K26" s="111">
        <f>K14+K17+K20+K23</f>
        <v>2493.3000000000002</v>
      </c>
      <c r="L26" s="397"/>
      <c r="M26" s="119"/>
    </row>
    <row r="27" spans="1:13" s="157" customFormat="1" ht="75" customHeight="1">
      <c r="A27" s="389" t="s">
        <v>234</v>
      </c>
      <c r="B27" s="318" t="s">
        <v>222</v>
      </c>
      <c r="C27" s="370" t="s">
        <v>232</v>
      </c>
      <c r="D27" s="390" t="s">
        <v>347</v>
      </c>
      <c r="E27" s="391"/>
      <c r="F27" s="391"/>
      <c r="G27" s="392"/>
      <c r="H27" s="111">
        <f>H28+H33+H34+H35</f>
        <v>73841.53</v>
      </c>
      <c r="I27" s="111">
        <f>I28+I33+I34+I35</f>
        <v>72841.53</v>
      </c>
      <c r="J27" s="111">
        <f>J28+J33+J34+J35</f>
        <v>1000</v>
      </c>
      <c r="K27" s="111">
        <f t="shared" ref="K27" si="6">K28+K33+K34+K35</f>
        <v>0</v>
      </c>
      <c r="L27" s="370" t="s">
        <v>348</v>
      </c>
      <c r="M27" s="119"/>
    </row>
    <row r="28" spans="1:13" s="157" customFormat="1" ht="75" customHeight="1">
      <c r="A28" s="389"/>
      <c r="B28" s="436"/>
      <c r="C28" s="393"/>
      <c r="D28" s="163" t="s">
        <v>98</v>
      </c>
      <c r="E28" s="164"/>
      <c r="F28" s="164"/>
      <c r="G28" s="165"/>
      <c r="H28" s="111">
        <f>SUM(H29:H32)</f>
        <v>28277.03</v>
      </c>
      <c r="I28" s="111">
        <f>SUM(I29:I32)</f>
        <v>27277.03</v>
      </c>
      <c r="J28" s="111">
        <f>SUM(J29:J32)</f>
        <v>1000</v>
      </c>
      <c r="K28" s="111">
        <f t="shared" ref="K28" si="7">SUM(K29:K32)</f>
        <v>0</v>
      </c>
      <c r="L28" s="370"/>
      <c r="M28" s="119"/>
    </row>
    <row r="29" spans="1:13" s="157" customFormat="1" ht="75" customHeight="1">
      <c r="A29" s="389"/>
      <c r="B29" s="436"/>
      <c r="C29" s="393"/>
      <c r="D29" s="25" t="s">
        <v>29</v>
      </c>
      <c r="E29" s="139" t="s">
        <v>82</v>
      </c>
      <c r="F29" s="362" t="s">
        <v>223</v>
      </c>
      <c r="G29" s="338" t="s">
        <v>450</v>
      </c>
      <c r="H29" s="107">
        <f t="shared" ref="H29:H34" si="8">I29+J29+K29</f>
        <v>7149.1299999999992</v>
      </c>
      <c r="I29" s="107">
        <f>8727.9-76-1021.1-481.67</f>
        <v>7149.1299999999992</v>
      </c>
      <c r="J29" s="107">
        <v>0</v>
      </c>
      <c r="K29" s="107">
        <v>0</v>
      </c>
      <c r="L29" s="370"/>
      <c r="M29" s="119"/>
    </row>
    <row r="30" spans="1:13" s="157" customFormat="1" ht="75" customHeight="1">
      <c r="A30" s="389"/>
      <c r="B30" s="436"/>
      <c r="C30" s="393"/>
      <c r="D30" s="25" t="s">
        <v>29</v>
      </c>
      <c r="E30" s="139" t="s">
        <v>76</v>
      </c>
      <c r="F30" s="398"/>
      <c r="G30" s="394"/>
      <c r="H30" s="107">
        <f t="shared" si="8"/>
        <v>2619.9</v>
      </c>
      <c r="I30" s="107">
        <f>3419.9-800</f>
        <v>2619.9</v>
      </c>
      <c r="J30" s="107"/>
      <c r="K30" s="107">
        <v>0</v>
      </c>
      <c r="L30" s="370"/>
      <c r="M30" s="119"/>
    </row>
    <row r="31" spans="1:13" s="157" customFormat="1" ht="75" customHeight="1">
      <c r="A31" s="389"/>
      <c r="B31" s="436"/>
      <c r="C31" s="393"/>
      <c r="D31" s="25" t="s">
        <v>29</v>
      </c>
      <c r="E31" s="139" t="s">
        <v>77</v>
      </c>
      <c r="F31" s="398"/>
      <c r="G31" s="394"/>
      <c r="H31" s="107">
        <f t="shared" si="8"/>
        <v>7191.2</v>
      </c>
      <c r="I31" s="107">
        <f>7232.7-41.5</f>
        <v>7191.2</v>
      </c>
      <c r="J31" s="107"/>
      <c r="K31" s="107">
        <v>0</v>
      </c>
      <c r="L31" s="370"/>
      <c r="M31" s="119"/>
    </row>
    <row r="32" spans="1:13" s="157" customFormat="1" ht="75" customHeight="1">
      <c r="A32" s="389"/>
      <c r="B32" s="436"/>
      <c r="C32" s="393"/>
      <c r="D32" s="25" t="s">
        <v>29</v>
      </c>
      <c r="E32" s="139" t="s">
        <v>75</v>
      </c>
      <c r="F32" s="398"/>
      <c r="G32" s="394"/>
      <c r="H32" s="107">
        <f t="shared" si="8"/>
        <v>11316.8</v>
      </c>
      <c r="I32" s="107">
        <v>10316.799999999999</v>
      </c>
      <c r="J32" s="107">
        <v>1000</v>
      </c>
      <c r="K32" s="107">
        <v>0</v>
      </c>
      <c r="L32" s="370"/>
      <c r="M32" s="119"/>
    </row>
    <row r="33" spans="1:13" s="157" customFormat="1" ht="170.25" customHeight="1">
      <c r="A33" s="389"/>
      <c r="B33" s="436"/>
      <c r="C33" s="393"/>
      <c r="D33" s="25" t="s">
        <v>29</v>
      </c>
      <c r="E33" s="139" t="s">
        <v>82</v>
      </c>
      <c r="F33" s="398"/>
      <c r="G33" s="135" t="s">
        <v>99</v>
      </c>
      <c r="H33" s="106">
        <f>I33+J33+K33</f>
        <v>144.6</v>
      </c>
      <c r="I33" s="106">
        <v>144.6</v>
      </c>
      <c r="J33" s="106">
        <v>0</v>
      </c>
      <c r="K33" s="106">
        <v>0</v>
      </c>
      <c r="L33" s="370"/>
      <c r="M33" s="119"/>
    </row>
    <row r="34" spans="1:13" s="157" customFormat="1" ht="87.75" customHeight="1">
      <c r="A34" s="389"/>
      <c r="B34" s="436"/>
      <c r="C34" s="393"/>
      <c r="D34" s="25" t="s">
        <v>29</v>
      </c>
      <c r="E34" s="139" t="s">
        <v>82</v>
      </c>
      <c r="F34" s="398"/>
      <c r="G34" s="166" t="s">
        <v>345</v>
      </c>
      <c r="H34" s="106">
        <f t="shared" si="8"/>
        <v>60</v>
      </c>
      <c r="I34" s="106">
        <v>60</v>
      </c>
      <c r="J34" s="106">
        <v>0</v>
      </c>
      <c r="K34" s="106">
        <v>0</v>
      </c>
      <c r="L34" s="370"/>
      <c r="M34" s="119"/>
    </row>
    <row r="35" spans="1:13" s="157" customFormat="1" ht="75" customHeight="1">
      <c r="A35" s="389"/>
      <c r="B35" s="436"/>
      <c r="C35" s="393"/>
      <c r="D35" s="434" t="s">
        <v>98</v>
      </c>
      <c r="E35" s="435"/>
      <c r="F35" s="398"/>
      <c r="G35" s="439" t="s">
        <v>96</v>
      </c>
      <c r="H35" s="106">
        <f>SUM(H36:H39)</f>
        <v>45359.9</v>
      </c>
      <c r="I35" s="106">
        <f t="shared" ref="I35:K35" si="9">SUM(I36:I39)</f>
        <v>45359.9</v>
      </c>
      <c r="J35" s="106">
        <f>SUM(J36:J39)</f>
        <v>0</v>
      </c>
      <c r="K35" s="106">
        <f t="shared" si="9"/>
        <v>0</v>
      </c>
      <c r="L35" s="370"/>
      <c r="M35" s="119"/>
    </row>
    <row r="36" spans="1:13" s="157" customFormat="1" ht="75" customHeight="1">
      <c r="A36" s="389"/>
      <c r="B36" s="436"/>
      <c r="C36" s="393"/>
      <c r="D36" s="25" t="s">
        <v>29</v>
      </c>
      <c r="E36" s="139" t="s">
        <v>82</v>
      </c>
      <c r="F36" s="398"/>
      <c r="G36" s="394"/>
      <c r="H36" s="107">
        <f>I36+J36+K36</f>
        <v>12485.6</v>
      </c>
      <c r="I36" s="107">
        <v>12485.6</v>
      </c>
      <c r="J36" s="107">
        <v>0</v>
      </c>
      <c r="K36" s="107">
        <v>0</v>
      </c>
      <c r="L36" s="370"/>
      <c r="M36" s="119"/>
    </row>
    <row r="37" spans="1:13" s="157" customFormat="1" ht="75" customHeight="1">
      <c r="A37" s="389"/>
      <c r="B37" s="436"/>
      <c r="C37" s="393"/>
      <c r="D37" s="25" t="s">
        <v>29</v>
      </c>
      <c r="E37" s="139" t="s">
        <v>76</v>
      </c>
      <c r="F37" s="398"/>
      <c r="G37" s="394"/>
      <c r="H37" s="107">
        <f>I37+J37+K37</f>
        <v>8160.1</v>
      </c>
      <c r="I37" s="107">
        <v>8160.1</v>
      </c>
      <c r="J37" s="107">
        <v>0</v>
      </c>
      <c r="K37" s="107">
        <v>0</v>
      </c>
      <c r="L37" s="370"/>
      <c r="M37" s="119"/>
    </row>
    <row r="38" spans="1:13" s="157" customFormat="1" ht="75" customHeight="1">
      <c r="A38" s="389"/>
      <c r="B38" s="436"/>
      <c r="C38" s="393"/>
      <c r="D38" s="25" t="s">
        <v>29</v>
      </c>
      <c r="E38" s="139" t="s">
        <v>77</v>
      </c>
      <c r="F38" s="398"/>
      <c r="G38" s="394"/>
      <c r="H38" s="107">
        <f>I38+J38+K38</f>
        <v>12866.2</v>
      </c>
      <c r="I38" s="107">
        <v>12866.2</v>
      </c>
      <c r="J38" s="107">
        <v>0</v>
      </c>
      <c r="K38" s="107">
        <v>0</v>
      </c>
      <c r="L38" s="370"/>
      <c r="M38" s="119"/>
    </row>
    <row r="39" spans="1:13" s="157" customFormat="1" ht="75" customHeight="1">
      <c r="A39" s="389"/>
      <c r="B39" s="436"/>
      <c r="C39" s="393"/>
      <c r="D39" s="25" t="s">
        <v>29</v>
      </c>
      <c r="E39" s="139" t="s">
        <v>75</v>
      </c>
      <c r="F39" s="398"/>
      <c r="G39" s="394"/>
      <c r="H39" s="107">
        <f>I39+J39+K39</f>
        <v>11848</v>
      </c>
      <c r="I39" s="107">
        <v>11848</v>
      </c>
      <c r="J39" s="107">
        <v>0</v>
      </c>
      <c r="K39" s="107">
        <v>0</v>
      </c>
      <c r="L39" s="370"/>
      <c r="M39" s="119"/>
    </row>
    <row r="40" spans="1:13" s="168" customFormat="1" ht="75" customHeight="1">
      <c r="A40" s="389"/>
      <c r="B40" s="436"/>
      <c r="C40" s="370" t="s">
        <v>235</v>
      </c>
      <c r="D40" s="390" t="s">
        <v>356</v>
      </c>
      <c r="E40" s="391"/>
      <c r="F40" s="391"/>
      <c r="G40" s="392"/>
      <c r="H40" s="106">
        <f>SUM(H41:H44)</f>
        <v>55261.611999999994</v>
      </c>
      <c r="I40" s="106">
        <f>SUM(I41:I44)</f>
        <v>18688</v>
      </c>
      <c r="J40" s="106">
        <f>SUM(J41:J44)</f>
        <v>17583.48</v>
      </c>
      <c r="K40" s="106">
        <f>SUM(K41:K44)</f>
        <v>18990.131999999998</v>
      </c>
      <c r="L40" s="370" t="s">
        <v>273</v>
      </c>
      <c r="M40" s="167"/>
    </row>
    <row r="41" spans="1:13" ht="75" customHeight="1">
      <c r="A41" s="389"/>
      <c r="B41" s="436"/>
      <c r="C41" s="370"/>
      <c r="D41" s="25" t="s">
        <v>29</v>
      </c>
      <c r="E41" s="139" t="s">
        <v>82</v>
      </c>
      <c r="F41" s="338" t="s">
        <v>223</v>
      </c>
      <c r="G41" s="338" t="s">
        <v>450</v>
      </c>
      <c r="H41" s="107">
        <f t="shared" ref="H41:H53" si="10">I41+J41+K41</f>
        <v>10965.8</v>
      </c>
      <c r="I41" s="107">
        <v>3629.9</v>
      </c>
      <c r="J41" s="107">
        <v>3526.9</v>
      </c>
      <c r="K41" s="107">
        <v>3809</v>
      </c>
      <c r="L41" s="370"/>
    </row>
    <row r="42" spans="1:13" ht="75" customHeight="1">
      <c r="A42" s="389"/>
      <c r="B42" s="436"/>
      <c r="C42" s="370"/>
      <c r="D42" s="25" t="s">
        <v>29</v>
      </c>
      <c r="E42" s="139" t="s">
        <v>76</v>
      </c>
      <c r="F42" s="398"/>
      <c r="G42" s="394"/>
      <c r="H42" s="107">
        <f t="shared" si="10"/>
        <v>13403.4</v>
      </c>
      <c r="I42" s="107">
        <v>4524.8999999999996</v>
      </c>
      <c r="J42" s="107">
        <v>4268.5</v>
      </c>
      <c r="K42" s="107">
        <v>4610</v>
      </c>
      <c r="L42" s="370"/>
    </row>
    <row r="43" spans="1:13" s="157" customFormat="1" ht="75" customHeight="1">
      <c r="A43" s="389"/>
      <c r="B43" s="436"/>
      <c r="C43" s="370"/>
      <c r="D43" s="25" t="s">
        <v>29</v>
      </c>
      <c r="E43" s="139" t="s">
        <v>77</v>
      </c>
      <c r="F43" s="398"/>
      <c r="G43" s="394"/>
      <c r="H43" s="107">
        <f t="shared" si="10"/>
        <v>17752.25</v>
      </c>
      <c r="I43" s="107">
        <f>5671.7+326.2+422.4</f>
        <v>6420.2999999999993</v>
      </c>
      <c r="J43" s="107">
        <v>5448.05</v>
      </c>
      <c r="K43" s="107">
        <v>5883.9</v>
      </c>
      <c r="L43" s="370"/>
      <c r="M43" s="119"/>
    </row>
    <row r="44" spans="1:13" s="157" customFormat="1" ht="75" customHeight="1">
      <c r="A44" s="389"/>
      <c r="B44" s="436"/>
      <c r="C44" s="370"/>
      <c r="D44" s="25" t="s">
        <v>29</v>
      </c>
      <c r="E44" s="139" t="s">
        <v>75</v>
      </c>
      <c r="F44" s="398"/>
      <c r="G44" s="394"/>
      <c r="H44" s="107">
        <f t="shared" si="10"/>
        <v>13140.162</v>
      </c>
      <c r="I44" s="107">
        <v>4112.8999999999996</v>
      </c>
      <c r="J44" s="107">
        <v>4340.03</v>
      </c>
      <c r="K44" s="107">
        <v>4687.232</v>
      </c>
      <c r="L44" s="370"/>
      <c r="M44" s="119"/>
    </row>
    <row r="45" spans="1:13" s="157" customFormat="1" ht="75" customHeight="1">
      <c r="A45" s="389"/>
      <c r="B45" s="436"/>
      <c r="C45" s="333" t="s">
        <v>281</v>
      </c>
      <c r="D45" s="390" t="s">
        <v>357</v>
      </c>
      <c r="E45" s="391"/>
      <c r="F45" s="391"/>
      <c r="G45" s="392"/>
      <c r="H45" s="106">
        <f>SUM(H46:H50)</f>
        <v>9972.6550000000007</v>
      </c>
      <c r="I45" s="106">
        <f>SUM(I46:I50)</f>
        <v>4584.2129999999997</v>
      </c>
      <c r="J45" s="106">
        <f>SUM(J46:J50)</f>
        <v>2606.9</v>
      </c>
      <c r="K45" s="106">
        <f t="shared" ref="K45" si="11">SUM(K46:K50)</f>
        <v>2781.5419999999999</v>
      </c>
      <c r="L45" s="294" t="s">
        <v>274</v>
      </c>
      <c r="M45" s="119"/>
    </row>
    <row r="46" spans="1:13" ht="75" customHeight="1">
      <c r="A46" s="389"/>
      <c r="B46" s="436"/>
      <c r="C46" s="333"/>
      <c r="D46" s="438" t="s">
        <v>29</v>
      </c>
      <c r="E46" s="370" t="s">
        <v>82</v>
      </c>
      <c r="F46" s="362" t="s">
        <v>223</v>
      </c>
      <c r="G46" s="265" t="s">
        <v>450</v>
      </c>
      <c r="H46" s="106">
        <f>I46+J46+K46</f>
        <v>2156</v>
      </c>
      <c r="I46" s="107">
        <f>1060.5</f>
        <v>1060.5</v>
      </c>
      <c r="J46" s="107">
        <v>530</v>
      </c>
      <c r="K46" s="107">
        <v>565.5</v>
      </c>
      <c r="L46" s="313"/>
    </row>
    <row r="47" spans="1:13" ht="172.5" customHeight="1">
      <c r="A47" s="389"/>
      <c r="B47" s="436"/>
      <c r="C47" s="333"/>
      <c r="D47" s="438"/>
      <c r="E47" s="370"/>
      <c r="F47" s="362"/>
      <c r="G47" s="135" t="s">
        <v>99</v>
      </c>
      <c r="H47" s="106">
        <f t="shared" si="10"/>
        <v>2.6</v>
      </c>
      <c r="I47" s="107">
        <v>2.6</v>
      </c>
      <c r="J47" s="107">
        <v>0</v>
      </c>
      <c r="K47" s="107">
        <v>0</v>
      </c>
      <c r="L47" s="313"/>
    </row>
    <row r="48" spans="1:13" s="157" customFormat="1" ht="75" customHeight="1">
      <c r="A48" s="389"/>
      <c r="B48" s="436"/>
      <c r="C48" s="333"/>
      <c r="D48" s="25" t="s">
        <v>29</v>
      </c>
      <c r="E48" s="139" t="s">
        <v>76</v>
      </c>
      <c r="F48" s="362"/>
      <c r="G48" s="338" t="s">
        <v>450</v>
      </c>
      <c r="H48" s="106">
        <f>I48+J48+K48</f>
        <v>1349.4</v>
      </c>
      <c r="I48" s="107">
        <v>667.3</v>
      </c>
      <c r="J48" s="107">
        <v>330</v>
      </c>
      <c r="K48" s="107">
        <v>352.1</v>
      </c>
      <c r="L48" s="313"/>
      <c r="M48" s="119"/>
    </row>
    <row r="49" spans="1:13" s="157" customFormat="1" ht="75" customHeight="1">
      <c r="A49" s="389"/>
      <c r="B49" s="436"/>
      <c r="C49" s="333"/>
      <c r="D49" s="25" t="s">
        <v>29</v>
      </c>
      <c r="E49" s="139" t="s">
        <v>77</v>
      </c>
      <c r="F49" s="362"/>
      <c r="G49" s="338"/>
      <c r="H49" s="106">
        <f t="shared" si="10"/>
        <v>2322.19</v>
      </c>
      <c r="I49" s="107">
        <v>1144</v>
      </c>
      <c r="J49" s="107">
        <v>570</v>
      </c>
      <c r="K49" s="107">
        <v>608.19000000000005</v>
      </c>
      <c r="L49" s="313"/>
      <c r="M49" s="119"/>
    </row>
    <row r="50" spans="1:13" s="157" customFormat="1" ht="75" customHeight="1">
      <c r="A50" s="389"/>
      <c r="B50" s="436"/>
      <c r="C50" s="333"/>
      <c r="D50" s="25" t="s">
        <v>29</v>
      </c>
      <c r="E50" s="139" t="s">
        <v>75</v>
      </c>
      <c r="F50" s="362"/>
      <c r="G50" s="338"/>
      <c r="H50" s="106">
        <f t="shared" si="10"/>
        <v>4142.4650000000001</v>
      </c>
      <c r="I50" s="107">
        <f>2748.919-253.468-420-365.638</f>
        <v>1709.8130000000001</v>
      </c>
      <c r="J50" s="107">
        <v>1176.9000000000001</v>
      </c>
      <c r="K50" s="107">
        <v>1255.752</v>
      </c>
      <c r="L50" s="295"/>
      <c r="M50" s="119"/>
    </row>
    <row r="51" spans="1:13" ht="108" customHeight="1">
      <c r="A51" s="389"/>
      <c r="B51" s="436"/>
      <c r="C51" s="139" t="s">
        <v>275</v>
      </c>
      <c r="D51" s="29" t="s">
        <v>29</v>
      </c>
      <c r="E51" s="139" t="s">
        <v>82</v>
      </c>
      <c r="F51" s="135" t="s">
        <v>223</v>
      </c>
      <c r="G51" s="265" t="s">
        <v>450</v>
      </c>
      <c r="H51" s="106">
        <f t="shared" si="10"/>
        <v>1307.3</v>
      </c>
      <c r="I51" s="107">
        <v>690</v>
      </c>
      <c r="J51" s="107">
        <v>300</v>
      </c>
      <c r="K51" s="107">
        <v>317.3</v>
      </c>
      <c r="L51" s="169" t="s">
        <v>59</v>
      </c>
      <c r="M51" s="117"/>
    </row>
    <row r="52" spans="1:13" ht="312.75" customHeight="1">
      <c r="A52" s="389"/>
      <c r="B52" s="436"/>
      <c r="C52" s="139" t="s">
        <v>350</v>
      </c>
      <c r="D52" s="29" t="s">
        <v>29</v>
      </c>
      <c r="E52" s="139" t="s">
        <v>82</v>
      </c>
      <c r="F52" s="135" t="s">
        <v>223</v>
      </c>
      <c r="G52" s="265" t="s">
        <v>450</v>
      </c>
      <c r="H52" s="106">
        <f t="shared" si="10"/>
        <v>1200</v>
      </c>
      <c r="I52" s="107">
        <v>1200</v>
      </c>
      <c r="J52" s="107"/>
      <c r="K52" s="107">
        <f>J52*1.051</f>
        <v>0</v>
      </c>
      <c r="L52" s="169" t="s">
        <v>60</v>
      </c>
      <c r="M52" s="117"/>
    </row>
    <row r="53" spans="1:13" ht="156.75" customHeight="1">
      <c r="A53" s="389"/>
      <c r="B53" s="436"/>
      <c r="C53" s="139" t="s">
        <v>351</v>
      </c>
      <c r="D53" s="29" t="s">
        <v>29</v>
      </c>
      <c r="E53" s="139" t="s">
        <v>82</v>
      </c>
      <c r="F53" s="135" t="s">
        <v>223</v>
      </c>
      <c r="G53" s="265" t="s">
        <v>450</v>
      </c>
      <c r="H53" s="106">
        <f t="shared" si="10"/>
        <v>1300</v>
      </c>
      <c r="I53" s="107">
        <v>1000</v>
      </c>
      <c r="J53" s="107">
        <v>300</v>
      </c>
      <c r="K53" s="107"/>
      <c r="L53" s="169" t="s">
        <v>62</v>
      </c>
      <c r="M53" s="117"/>
    </row>
    <row r="54" spans="1:13" ht="75" customHeight="1">
      <c r="A54" s="389"/>
      <c r="B54" s="436"/>
      <c r="C54" s="333" t="s">
        <v>358</v>
      </c>
      <c r="D54" s="348" t="s">
        <v>359</v>
      </c>
      <c r="E54" s="348"/>
      <c r="F54" s="348"/>
      <c r="G54" s="348"/>
      <c r="H54" s="106">
        <f>H55+H56</f>
        <v>3883</v>
      </c>
      <c r="I54" s="106">
        <f>I55+I56</f>
        <v>3883</v>
      </c>
      <c r="J54" s="106">
        <f>J55+J56</f>
        <v>0</v>
      </c>
      <c r="K54" s="106">
        <f>K55+K56</f>
        <v>0</v>
      </c>
      <c r="L54" s="139"/>
      <c r="M54" s="117"/>
    </row>
    <row r="55" spans="1:13" ht="178.5" customHeight="1">
      <c r="A55" s="389"/>
      <c r="B55" s="436"/>
      <c r="C55" s="333"/>
      <c r="D55" s="413" t="s">
        <v>29</v>
      </c>
      <c r="E55" s="313" t="s">
        <v>77</v>
      </c>
      <c r="F55" s="303" t="s">
        <v>223</v>
      </c>
      <c r="G55" s="170" t="s">
        <v>99</v>
      </c>
      <c r="H55" s="106">
        <f>I55+J55+K55</f>
        <v>2680.3</v>
      </c>
      <c r="I55" s="107">
        <v>2680.3</v>
      </c>
      <c r="J55" s="107">
        <v>0</v>
      </c>
      <c r="K55" s="107">
        <v>0</v>
      </c>
      <c r="L55" s="333" t="s">
        <v>364</v>
      </c>
      <c r="M55" s="117"/>
    </row>
    <row r="56" spans="1:13" ht="75" customHeight="1">
      <c r="A56" s="389"/>
      <c r="B56" s="436"/>
      <c r="C56" s="333"/>
      <c r="D56" s="414"/>
      <c r="E56" s="295"/>
      <c r="F56" s="304"/>
      <c r="G56" s="265" t="s">
        <v>450</v>
      </c>
      <c r="H56" s="106">
        <f>I56+J56+K56</f>
        <v>1202.7</v>
      </c>
      <c r="I56" s="107">
        <v>1202.7</v>
      </c>
      <c r="J56" s="107">
        <v>0</v>
      </c>
      <c r="K56" s="107">
        <f>J56*1.051</f>
        <v>0</v>
      </c>
      <c r="L56" s="333"/>
    </row>
    <row r="57" spans="1:13" ht="75" customHeight="1">
      <c r="A57" s="389"/>
      <c r="B57" s="436"/>
      <c r="C57" s="334" t="s">
        <v>360</v>
      </c>
      <c r="D57" s="348" t="s">
        <v>361</v>
      </c>
      <c r="E57" s="348"/>
      <c r="F57" s="348"/>
      <c r="G57" s="348"/>
      <c r="H57" s="106">
        <f>H58+H59+H60</f>
        <v>850</v>
      </c>
      <c r="I57" s="106">
        <f>I58+I59+I60</f>
        <v>850</v>
      </c>
      <c r="J57" s="106">
        <f>J58+J59+J60</f>
        <v>0</v>
      </c>
      <c r="K57" s="106">
        <f>K58+K59+K60</f>
        <v>0</v>
      </c>
      <c r="L57" s="370" t="s">
        <v>67</v>
      </c>
    </row>
    <row r="58" spans="1:13" ht="102" customHeight="1">
      <c r="A58" s="389"/>
      <c r="B58" s="436"/>
      <c r="C58" s="334"/>
      <c r="D58" s="25" t="s">
        <v>29</v>
      </c>
      <c r="E58" s="139" t="s">
        <v>82</v>
      </c>
      <c r="F58" s="365" t="s">
        <v>223</v>
      </c>
      <c r="G58" s="338" t="s">
        <v>55</v>
      </c>
      <c r="H58" s="106">
        <f>I58+J58+K58</f>
        <v>400</v>
      </c>
      <c r="I58" s="107">
        <v>400</v>
      </c>
      <c r="J58" s="107">
        <v>0</v>
      </c>
      <c r="K58" s="107">
        <v>0</v>
      </c>
      <c r="L58" s="501"/>
      <c r="M58" s="10"/>
    </row>
    <row r="59" spans="1:13" ht="93.75" customHeight="1">
      <c r="A59" s="389"/>
      <c r="B59" s="436"/>
      <c r="C59" s="334"/>
      <c r="D59" s="25" t="s">
        <v>29</v>
      </c>
      <c r="E59" s="139" t="s">
        <v>76</v>
      </c>
      <c r="F59" s="366"/>
      <c r="G59" s="394"/>
      <c r="H59" s="106">
        <f>I59+J59+K59</f>
        <v>150</v>
      </c>
      <c r="I59" s="107">
        <v>150</v>
      </c>
      <c r="J59" s="107">
        <v>0</v>
      </c>
      <c r="K59" s="107">
        <v>0</v>
      </c>
      <c r="L59" s="501"/>
      <c r="M59" s="10"/>
    </row>
    <row r="60" spans="1:13" ht="75" customHeight="1">
      <c r="A60" s="389"/>
      <c r="B60" s="436"/>
      <c r="C60" s="334"/>
      <c r="D60" s="25" t="s">
        <v>29</v>
      </c>
      <c r="E60" s="139" t="s">
        <v>77</v>
      </c>
      <c r="F60" s="367"/>
      <c r="G60" s="394"/>
      <c r="H60" s="106">
        <f>I60+J60+K60</f>
        <v>300</v>
      </c>
      <c r="I60" s="107">
        <v>300</v>
      </c>
      <c r="J60" s="107">
        <v>0</v>
      </c>
      <c r="K60" s="107">
        <v>0</v>
      </c>
      <c r="L60" s="501"/>
      <c r="M60" s="10"/>
    </row>
    <row r="61" spans="1:13" s="157" customFormat="1" ht="75" customHeight="1">
      <c r="A61" s="389"/>
      <c r="B61" s="436"/>
      <c r="C61" s="334" t="s">
        <v>236</v>
      </c>
      <c r="D61" s="348" t="s">
        <v>362</v>
      </c>
      <c r="E61" s="348"/>
      <c r="F61" s="348"/>
      <c r="G61" s="348"/>
      <c r="H61" s="106">
        <f>SUM(H62:H65)</f>
        <v>5412.3880000000008</v>
      </c>
      <c r="I61" s="106">
        <f>SUM(I62:I65)</f>
        <v>2536.1000000000004</v>
      </c>
      <c r="J61" s="106">
        <f>SUM(J62:J65)</f>
        <v>1388.8000000000002</v>
      </c>
      <c r="K61" s="106">
        <f>SUM(K62:K65)</f>
        <v>1487.4879999999998</v>
      </c>
      <c r="L61" s="370" t="s">
        <v>63</v>
      </c>
      <c r="M61" s="119"/>
    </row>
    <row r="62" spans="1:13" s="157" customFormat="1" ht="75" customHeight="1">
      <c r="A62" s="389"/>
      <c r="B62" s="436"/>
      <c r="C62" s="334"/>
      <c r="D62" s="25" t="s">
        <v>29</v>
      </c>
      <c r="E62" s="139" t="s">
        <v>82</v>
      </c>
      <c r="F62" s="338" t="s">
        <v>17</v>
      </c>
      <c r="G62" s="338" t="s">
        <v>450</v>
      </c>
      <c r="H62" s="106">
        <f t="shared" ref="H62:H68" si="12">I62+J62+K62</f>
        <v>764.6</v>
      </c>
      <c r="I62" s="107">
        <v>324.10000000000002</v>
      </c>
      <c r="J62" s="107">
        <v>213.1</v>
      </c>
      <c r="K62" s="107">
        <v>227.4</v>
      </c>
      <c r="L62" s="501"/>
      <c r="M62" s="119"/>
    </row>
    <row r="63" spans="1:13" s="157" customFormat="1" ht="75" customHeight="1">
      <c r="A63" s="389"/>
      <c r="B63" s="436"/>
      <c r="C63" s="334"/>
      <c r="D63" s="25" t="s">
        <v>29</v>
      </c>
      <c r="E63" s="139" t="s">
        <v>76</v>
      </c>
      <c r="F63" s="338"/>
      <c r="G63" s="338"/>
      <c r="H63" s="106">
        <f t="shared" si="12"/>
        <v>302.98</v>
      </c>
      <c r="I63" s="107">
        <v>125.3</v>
      </c>
      <c r="J63" s="107">
        <v>85.78</v>
      </c>
      <c r="K63" s="107">
        <v>91.9</v>
      </c>
      <c r="L63" s="501"/>
      <c r="M63" s="119"/>
    </row>
    <row r="64" spans="1:13" s="157" customFormat="1" ht="75" customHeight="1">
      <c r="A64" s="389"/>
      <c r="B64" s="436"/>
      <c r="C64" s="334"/>
      <c r="D64" s="25" t="s">
        <v>29</v>
      </c>
      <c r="E64" s="139" t="s">
        <v>77</v>
      </c>
      <c r="F64" s="338"/>
      <c r="G64" s="338"/>
      <c r="H64" s="106">
        <f t="shared" si="12"/>
        <v>3348.27</v>
      </c>
      <c r="I64" s="107">
        <v>1528</v>
      </c>
      <c r="J64" s="107">
        <v>878.52</v>
      </c>
      <c r="K64" s="107">
        <v>941.75</v>
      </c>
      <c r="L64" s="501"/>
      <c r="M64" s="119"/>
    </row>
    <row r="65" spans="1:14" s="157" customFormat="1" ht="75" customHeight="1">
      <c r="A65" s="389"/>
      <c r="B65" s="436"/>
      <c r="C65" s="334"/>
      <c r="D65" s="25" t="s">
        <v>29</v>
      </c>
      <c r="E65" s="139" t="s">
        <v>75</v>
      </c>
      <c r="F65" s="338"/>
      <c r="G65" s="338"/>
      <c r="H65" s="106">
        <f t="shared" si="12"/>
        <v>996.53800000000001</v>
      </c>
      <c r="I65" s="107">
        <v>558.70000000000005</v>
      </c>
      <c r="J65" s="107">
        <v>211.4</v>
      </c>
      <c r="K65" s="107">
        <v>226.43799999999999</v>
      </c>
      <c r="L65" s="501"/>
      <c r="M65" s="119"/>
    </row>
    <row r="66" spans="1:14" ht="306.75" customHeight="1">
      <c r="A66" s="389"/>
      <c r="B66" s="436"/>
      <c r="C66" s="169" t="s">
        <v>237</v>
      </c>
      <c r="D66" s="29" t="s">
        <v>33</v>
      </c>
      <c r="E66" s="139" t="s">
        <v>76</v>
      </c>
      <c r="F66" s="171" t="s">
        <v>17</v>
      </c>
      <c r="G66" s="265" t="s">
        <v>451</v>
      </c>
      <c r="H66" s="106">
        <f t="shared" si="12"/>
        <v>5834</v>
      </c>
      <c r="I66" s="107">
        <f>2500-800</f>
        <v>1700</v>
      </c>
      <c r="J66" s="107">
        <v>2000</v>
      </c>
      <c r="K66" s="112">
        <v>2134</v>
      </c>
      <c r="L66" s="169" t="s">
        <v>363</v>
      </c>
    </row>
    <row r="67" spans="1:14" ht="158.25" customHeight="1">
      <c r="A67" s="389"/>
      <c r="B67" s="436"/>
      <c r="C67" s="169" t="s">
        <v>425</v>
      </c>
      <c r="D67" s="29" t="s">
        <v>423</v>
      </c>
      <c r="E67" s="139" t="s">
        <v>426</v>
      </c>
      <c r="F67" s="171" t="s">
        <v>17</v>
      </c>
      <c r="G67" s="265" t="s">
        <v>451</v>
      </c>
      <c r="H67" s="106">
        <f>I67+J67+K67</f>
        <v>3000</v>
      </c>
      <c r="I67" s="107">
        <v>3000</v>
      </c>
      <c r="J67" s="107">
        <v>0</v>
      </c>
      <c r="K67" s="112">
        <v>0</v>
      </c>
      <c r="L67" s="169" t="s">
        <v>431</v>
      </c>
    </row>
    <row r="68" spans="1:14" ht="123" customHeight="1">
      <c r="A68" s="389"/>
      <c r="B68" s="436"/>
      <c r="C68" s="39" t="s">
        <v>427</v>
      </c>
      <c r="D68" s="29" t="s">
        <v>29</v>
      </c>
      <c r="E68" s="139" t="s">
        <v>75</v>
      </c>
      <c r="F68" s="135" t="s">
        <v>223</v>
      </c>
      <c r="G68" s="265" t="s">
        <v>452</v>
      </c>
      <c r="H68" s="106">
        <f t="shared" si="12"/>
        <v>2173.5</v>
      </c>
      <c r="I68" s="107">
        <v>1867.7</v>
      </c>
      <c r="J68" s="107">
        <v>305.8</v>
      </c>
      <c r="K68" s="107"/>
      <c r="L68" s="39" t="s">
        <v>282</v>
      </c>
      <c r="M68" s="117"/>
    </row>
    <row r="69" spans="1:14" ht="231.75" customHeight="1">
      <c r="A69" s="389"/>
      <c r="B69" s="436"/>
      <c r="C69" s="172" t="s">
        <v>428</v>
      </c>
      <c r="D69" s="29" t="s">
        <v>29</v>
      </c>
      <c r="E69" s="139" t="s">
        <v>75</v>
      </c>
      <c r="F69" s="135" t="s">
        <v>223</v>
      </c>
      <c r="G69" s="265" t="s">
        <v>452</v>
      </c>
      <c r="H69" s="106">
        <f>I69+J69+K69</f>
        <v>3716.54</v>
      </c>
      <c r="I69" s="107">
        <v>946.27</v>
      </c>
      <c r="J69" s="107">
        <v>1337.3</v>
      </c>
      <c r="K69" s="107">
        <v>1432.97</v>
      </c>
      <c r="L69" s="172" t="s">
        <v>106</v>
      </c>
      <c r="M69" s="117"/>
    </row>
    <row r="70" spans="1:14" ht="114.75" customHeight="1">
      <c r="A70" s="389"/>
      <c r="B70" s="436"/>
      <c r="C70" s="333" t="s">
        <v>429</v>
      </c>
      <c r="D70" s="348" t="s">
        <v>430</v>
      </c>
      <c r="E70" s="348"/>
      <c r="F70" s="348"/>
      <c r="G70" s="348"/>
      <c r="H70" s="106">
        <f>H71+H72+H73</f>
        <v>6073.8</v>
      </c>
      <c r="I70" s="106">
        <f t="shared" ref="I70:K70" si="13">I71+I72+I73</f>
        <v>1217.8</v>
      </c>
      <c r="J70" s="106">
        <f t="shared" si="13"/>
        <v>2344</v>
      </c>
      <c r="K70" s="106">
        <f t="shared" si="13"/>
        <v>2512</v>
      </c>
      <c r="L70" s="333" t="s">
        <v>74</v>
      </c>
      <c r="M70" s="117"/>
    </row>
    <row r="71" spans="1:14" ht="75" customHeight="1">
      <c r="A71" s="389"/>
      <c r="B71" s="436"/>
      <c r="C71" s="333"/>
      <c r="D71" s="25" t="s">
        <v>29</v>
      </c>
      <c r="E71" s="173" t="s">
        <v>82</v>
      </c>
      <c r="F71" s="365" t="s">
        <v>223</v>
      </c>
      <c r="G71" s="365" t="s">
        <v>452</v>
      </c>
      <c r="H71" s="106">
        <f>I71+J71+K71</f>
        <v>144</v>
      </c>
      <c r="I71" s="107">
        <v>144</v>
      </c>
      <c r="J71" s="107"/>
      <c r="K71" s="107"/>
      <c r="L71" s="501"/>
      <c r="M71" s="117"/>
    </row>
    <row r="72" spans="1:14" ht="75" customHeight="1">
      <c r="A72" s="389"/>
      <c r="B72" s="437"/>
      <c r="C72" s="333"/>
      <c r="D72" s="25" t="s">
        <v>29</v>
      </c>
      <c r="E72" s="173" t="s">
        <v>76</v>
      </c>
      <c r="F72" s="366"/>
      <c r="G72" s="366"/>
      <c r="H72" s="106">
        <f>I72+J72+K72</f>
        <v>5723.1</v>
      </c>
      <c r="I72" s="107">
        <v>1073.8</v>
      </c>
      <c r="J72" s="107">
        <v>2244</v>
      </c>
      <c r="K72" s="107">
        <v>2405.3000000000002</v>
      </c>
      <c r="L72" s="501"/>
      <c r="M72" s="118"/>
      <c r="N72" s="174"/>
    </row>
    <row r="73" spans="1:14" ht="75" customHeight="1">
      <c r="A73" s="175"/>
      <c r="B73" s="176"/>
      <c r="C73" s="177"/>
      <c r="D73" s="25" t="s">
        <v>33</v>
      </c>
      <c r="E73" s="173" t="s">
        <v>82</v>
      </c>
      <c r="F73" s="366"/>
      <c r="G73" s="366"/>
      <c r="H73" s="106">
        <f>I73+J73+K73</f>
        <v>206.7</v>
      </c>
      <c r="I73" s="107"/>
      <c r="J73" s="107">
        <v>100</v>
      </c>
      <c r="K73" s="107">
        <v>106.7</v>
      </c>
      <c r="L73" s="178"/>
      <c r="M73" s="118"/>
      <c r="N73" s="174"/>
    </row>
    <row r="74" spans="1:14" ht="133.5" customHeight="1">
      <c r="A74" s="175"/>
      <c r="B74" s="176"/>
      <c r="C74" s="172" t="s">
        <v>442</v>
      </c>
      <c r="D74" s="29" t="s">
        <v>29</v>
      </c>
      <c r="E74" s="173" t="s">
        <v>82</v>
      </c>
      <c r="F74" s="366"/>
      <c r="G74" s="366"/>
      <c r="H74" s="106">
        <f>I74+J74+K74</f>
        <v>1000</v>
      </c>
      <c r="I74" s="107">
        <v>0</v>
      </c>
      <c r="J74" s="107">
        <v>1000</v>
      </c>
      <c r="K74" s="107">
        <v>0</v>
      </c>
      <c r="L74" s="39" t="s">
        <v>443</v>
      </c>
      <c r="M74" s="118"/>
      <c r="N74" s="174"/>
    </row>
    <row r="75" spans="1:14" ht="75" customHeight="1">
      <c r="A75" s="175"/>
      <c r="B75" s="176"/>
      <c r="C75" s="335" t="s">
        <v>441</v>
      </c>
      <c r="D75" s="363" t="s">
        <v>445</v>
      </c>
      <c r="E75" s="364"/>
      <c r="F75" s="366"/>
      <c r="G75" s="366"/>
      <c r="H75" s="106">
        <f>H76+H77+H78+H79+H80+H81+H82</f>
        <v>500</v>
      </c>
      <c r="I75" s="106">
        <f t="shared" ref="I75:K75" si="14">I76+I77+I78+I79+I80+I81+I82</f>
        <v>0</v>
      </c>
      <c r="J75" s="106">
        <f t="shared" si="14"/>
        <v>500</v>
      </c>
      <c r="K75" s="106">
        <f t="shared" si="14"/>
        <v>0</v>
      </c>
      <c r="L75" s="446" t="s">
        <v>444</v>
      </c>
      <c r="M75" s="118"/>
      <c r="N75" s="174"/>
    </row>
    <row r="76" spans="1:14" ht="75" customHeight="1">
      <c r="A76" s="175"/>
      <c r="B76" s="176"/>
      <c r="C76" s="337"/>
      <c r="D76" s="29" t="s">
        <v>29</v>
      </c>
      <c r="E76" s="173" t="s">
        <v>82</v>
      </c>
      <c r="F76" s="366"/>
      <c r="G76" s="366"/>
      <c r="H76" s="106">
        <f>I76+J76+K76</f>
        <v>101.2</v>
      </c>
      <c r="I76" s="113">
        <v>0</v>
      </c>
      <c r="J76" s="113">
        <v>101.2</v>
      </c>
      <c r="K76" s="113">
        <v>0</v>
      </c>
      <c r="L76" s="447"/>
      <c r="M76" s="118"/>
      <c r="N76" s="174"/>
    </row>
    <row r="77" spans="1:14" ht="75" customHeight="1">
      <c r="A77" s="175"/>
      <c r="B77" s="176"/>
      <c r="C77" s="179"/>
      <c r="D77" s="29" t="s">
        <v>29</v>
      </c>
      <c r="E77" s="173" t="s">
        <v>76</v>
      </c>
      <c r="F77" s="366"/>
      <c r="G77" s="366"/>
      <c r="H77" s="106">
        <f t="shared" ref="H77:H82" si="15">I77+J77+K77</f>
        <v>40.700000000000003</v>
      </c>
      <c r="I77" s="113">
        <v>0</v>
      </c>
      <c r="J77" s="113">
        <v>40.700000000000003</v>
      </c>
      <c r="K77" s="113">
        <v>0</v>
      </c>
      <c r="L77" s="447"/>
      <c r="M77" s="118"/>
      <c r="N77" s="174"/>
    </row>
    <row r="78" spans="1:14" ht="75" customHeight="1">
      <c r="A78" s="175"/>
      <c r="B78" s="176"/>
      <c r="C78" s="179"/>
      <c r="D78" s="29" t="s">
        <v>29</v>
      </c>
      <c r="E78" s="139" t="s">
        <v>77</v>
      </c>
      <c r="F78" s="366"/>
      <c r="G78" s="366"/>
      <c r="H78" s="106">
        <f t="shared" si="15"/>
        <v>99</v>
      </c>
      <c r="I78" s="113">
        <v>0</v>
      </c>
      <c r="J78" s="113">
        <v>99</v>
      </c>
      <c r="K78" s="113">
        <v>0</v>
      </c>
      <c r="L78" s="447"/>
      <c r="M78" s="118"/>
      <c r="N78" s="174"/>
    </row>
    <row r="79" spans="1:14" ht="75" customHeight="1">
      <c r="A79" s="175"/>
      <c r="B79" s="176"/>
      <c r="C79" s="179"/>
      <c r="D79" s="29" t="s">
        <v>29</v>
      </c>
      <c r="E79" s="139" t="s">
        <v>75</v>
      </c>
      <c r="F79" s="366"/>
      <c r="G79" s="366"/>
      <c r="H79" s="106">
        <f t="shared" si="15"/>
        <v>99</v>
      </c>
      <c r="I79" s="113">
        <v>0</v>
      </c>
      <c r="J79" s="113">
        <v>99</v>
      </c>
      <c r="K79" s="113">
        <v>0</v>
      </c>
      <c r="L79" s="447"/>
      <c r="M79" s="118"/>
      <c r="N79" s="174"/>
    </row>
    <row r="80" spans="1:14" ht="87.75" customHeight="1">
      <c r="A80" s="175"/>
      <c r="B80" s="176"/>
      <c r="C80" s="179"/>
      <c r="D80" s="180" t="s">
        <v>30</v>
      </c>
      <c r="E80" s="45" t="s">
        <v>79</v>
      </c>
      <c r="F80" s="366"/>
      <c r="G80" s="366"/>
      <c r="H80" s="106">
        <f t="shared" si="15"/>
        <v>58.8</v>
      </c>
      <c r="I80" s="113">
        <v>0</v>
      </c>
      <c r="J80" s="113">
        <v>58.8</v>
      </c>
      <c r="K80" s="113">
        <v>0</v>
      </c>
      <c r="L80" s="447"/>
      <c r="M80" s="118"/>
      <c r="N80" s="174"/>
    </row>
    <row r="81" spans="1:14" ht="75" customHeight="1">
      <c r="A81" s="175"/>
      <c r="B81" s="176"/>
      <c r="C81" s="179"/>
      <c r="D81" s="25" t="s">
        <v>33</v>
      </c>
      <c r="E81" s="139" t="s">
        <v>80</v>
      </c>
      <c r="F81" s="366"/>
      <c r="G81" s="366"/>
      <c r="H81" s="106">
        <f t="shared" si="15"/>
        <v>48</v>
      </c>
      <c r="I81" s="113">
        <v>0</v>
      </c>
      <c r="J81" s="113">
        <v>48</v>
      </c>
      <c r="K81" s="113">
        <v>0</v>
      </c>
      <c r="L81" s="447"/>
      <c r="M81" s="118"/>
      <c r="N81" s="174"/>
    </row>
    <row r="82" spans="1:14" ht="79.5" customHeight="1">
      <c r="A82" s="175"/>
      <c r="B82" s="176"/>
      <c r="C82" s="179"/>
      <c r="D82" s="25" t="s">
        <v>33</v>
      </c>
      <c r="E82" s="160" t="s">
        <v>81</v>
      </c>
      <c r="F82" s="367"/>
      <c r="G82" s="367"/>
      <c r="H82" s="106">
        <f t="shared" si="15"/>
        <v>53.3</v>
      </c>
      <c r="I82" s="113">
        <v>0</v>
      </c>
      <c r="J82" s="113">
        <v>53.3</v>
      </c>
      <c r="K82" s="113">
        <v>0</v>
      </c>
      <c r="L82" s="448"/>
      <c r="M82" s="118"/>
      <c r="N82" s="174"/>
    </row>
    <row r="83" spans="1:14" ht="75" customHeight="1">
      <c r="A83" s="353"/>
      <c r="B83" s="354"/>
      <c r="C83" s="354"/>
      <c r="D83" s="355"/>
      <c r="E83" s="417" t="s">
        <v>286</v>
      </c>
      <c r="F83" s="418"/>
      <c r="G83" s="181"/>
      <c r="H83" s="142">
        <f>H27+H40+H45+H51+H52+H53+H54+H57+H61+H66+H68+H69+H70+H67+H74+H75</f>
        <v>175326.32499999998</v>
      </c>
      <c r="I83" s="142">
        <f t="shared" ref="I83:K83" si="16">I27+I40+I45+I51+I52+I53+I54+I57+I61+I66+I68+I69+I70+I67+I74+I75</f>
        <v>115004.61300000001</v>
      </c>
      <c r="J83" s="142">
        <f t="shared" si="16"/>
        <v>30666.28</v>
      </c>
      <c r="K83" s="142">
        <f t="shared" si="16"/>
        <v>29655.432000000001</v>
      </c>
      <c r="L83" s="446"/>
      <c r="M83" s="118"/>
      <c r="N83" s="174"/>
    </row>
    <row r="84" spans="1:14" ht="75" customHeight="1">
      <c r="A84" s="356"/>
      <c r="B84" s="357"/>
      <c r="C84" s="357"/>
      <c r="D84" s="358"/>
      <c r="E84" s="419"/>
      <c r="F84" s="420"/>
      <c r="G84" s="265" t="s">
        <v>452</v>
      </c>
      <c r="H84" s="106">
        <f>H28+H40+H46+H48+H49+H50+H51+H52+H53+H56+H57+H61+H66+H68+H69+H70+H67</f>
        <v>125578.92499999999</v>
      </c>
      <c r="I84" s="106">
        <f t="shared" ref="I84:K84" si="17">I28+I40+I46+I48+I49+I50+I51+I52+I53+I56+I57+I61+I66+I68+I69+I70+I67</f>
        <v>66757.212999999989</v>
      </c>
      <c r="J84" s="106">
        <f>J28+J40+J46+J48+J49+J50+J51+J52+J53+J56+J57+J61+J66+J68+J69+J70+J67+J74+J75</f>
        <v>30666.28</v>
      </c>
      <c r="K84" s="106">
        <f t="shared" si="17"/>
        <v>29655.431999999997</v>
      </c>
      <c r="L84" s="447"/>
      <c r="M84" s="118"/>
      <c r="N84" s="174"/>
    </row>
    <row r="85" spans="1:14" ht="72.75" customHeight="1">
      <c r="A85" s="356"/>
      <c r="B85" s="357"/>
      <c r="C85" s="357"/>
      <c r="D85" s="358"/>
      <c r="E85" s="419"/>
      <c r="F85" s="420"/>
      <c r="G85" s="182" t="s">
        <v>96</v>
      </c>
      <c r="H85" s="106">
        <f>H35</f>
        <v>45359.9</v>
      </c>
      <c r="I85" s="106">
        <f t="shared" ref="I85" si="18">I35</f>
        <v>45359.9</v>
      </c>
      <c r="J85" s="106">
        <f t="shared" ref="J85:K85" si="19">J35</f>
        <v>0</v>
      </c>
      <c r="K85" s="106">
        <f t="shared" si="19"/>
        <v>0</v>
      </c>
      <c r="L85" s="447"/>
      <c r="M85" s="118"/>
      <c r="N85" s="174"/>
    </row>
    <row r="86" spans="1:14" ht="177.75" customHeight="1">
      <c r="A86" s="356"/>
      <c r="B86" s="357"/>
      <c r="C86" s="357"/>
      <c r="D86" s="358"/>
      <c r="E86" s="419"/>
      <c r="F86" s="420"/>
      <c r="G86" s="135" t="s">
        <v>99</v>
      </c>
      <c r="H86" s="106">
        <f>H33+H47+H55</f>
        <v>2827.5</v>
      </c>
      <c r="I86" s="106">
        <f t="shared" ref="I86" si="20">I33+I47+I55</f>
        <v>2827.5</v>
      </c>
      <c r="J86" s="106">
        <f t="shared" ref="J86:K86" si="21">J33+J47+J55</f>
        <v>0</v>
      </c>
      <c r="K86" s="106">
        <f t="shared" si="21"/>
        <v>0</v>
      </c>
      <c r="L86" s="447"/>
      <c r="M86" s="118"/>
      <c r="N86" s="174"/>
    </row>
    <row r="87" spans="1:14" ht="93.75" customHeight="1">
      <c r="A87" s="356"/>
      <c r="B87" s="357"/>
      <c r="C87" s="357"/>
      <c r="D87" s="358"/>
      <c r="E87" s="421"/>
      <c r="F87" s="422"/>
      <c r="G87" s="166" t="s">
        <v>345</v>
      </c>
      <c r="H87" s="106">
        <f>H34</f>
        <v>60</v>
      </c>
      <c r="I87" s="106">
        <f t="shared" ref="I87" si="22">I34</f>
        <v>60</v>
      </c>
      <c r="J87" s="106">
        <f t="shared" ref="J87:K87" si="23">J34</f>
        <v>0</v>
      </c>
      <c r="K87" s="106">
        <f t="shared" si="23"/>
        <v>0</v>
      </c>
      <c r="L87" s="447"/>
      <c r="M87" s="118"/>
      <c r="N87" s="174"/>
    </row>
    <row r="88" spans="1:14" ht="75" customHeight="1">
      <c r="A88" s="356"/>
      <c r="B88" s="357"/>
      <c r="C88" s="357"/>
      <c r="D88" s="358"/>
      <c r="E88" s="296" t="s">
        <v>287</v>
      </c>
      <c r="F88" s="298"/>
      <c r="G88" s="135"/>
      <c r="H88" s="106"/>
      <c r="I88" s="113"/>
      <c r="J88" s="107"/>
      <c r="K88" s="107"/>
      <c r="L88" s="447"/>
      <c r="M88" s="118"/>
      <c r="N88" s="174"/>
    </row>
    <row r="89" spans="1:14" ht="75" customHeight="1">
      <c r="A89" s="356"/>
      <c r="B89" s="357"/>
      <c r="C89" s="357"/>
      <c r="D89" s="358"/>
      <c r="E89" s="399" t="s">
        <v>82</v>
      </c>
      <c r="F89" s="400"/>
      <c r="G89" s="183" t="s">
        <v>98</v>
      </c>
      <c r="H89" s="106">
        <f>SUM(H90:H93)</f>
        <v>39387.53</v>
      </c>
      <c r="I89" s="106">
        <f t="shared" ref="I89:K89" si="24">SUM(I90:I93)</f>
        <v>28290.43</v>
      </c>
      <c r="J89" s="106">
        <f t="shared" si="24"/>
        <v>6071.2</v>
      </c>
      <c r="K89" s="106">
        <f t="shared" si="24"/>
        <v>5025.8999999999996</v>
      </c>
      <c r="L89" s="447"/>
      <c r="M89" s="118"/>
      <c r="N89" s="174"/>
    </row>
    <row r="90" spans="1:14" ht="75" customHeight="1">
      <c r="A90" s="356"/>
      <c r="B90" s="357"/>
      <c r="C90" s="357"/>
      <c r="D90" s="358"/>
      <c r="E90" s="401"/>
      <c r="F90" s="402"/>
      <c r="G90" s="265" t="s">
        <v>452</v>
      </c>
      <c r="H90" s="106">
        <f>H29+H41+H46+H51+H52+H53+H58+H62+H71+H74+H76+H73</f>
        <v>26694.73</v>
      </c>
      <c r="I90" s="106">
        <f>I29+I41+I46+I51+I52+I53+I58+I62+I71+I74+I76</f>
        <v>15597.63</v>
      </c>
      <c r="J90" s="106">
        <f>J29+J41+J46+J51+J52+J53+J58+J62+J71+J74+J76+J73</f>
        <v>6071.2</v>
      </c>
      <c r="K90" s="106">
        <f>K29+K41+K46+K51+K52+K53+K58+K62+K71+K74+K76+K73</f>
        <v>5025.8999999999996</v>
      </c>
      <c r="L90" s="447"/>
      <c r="M90" s="118"/>
      <c r="N90" s="174"/>
    </row>
    <row r="91" spans="1:14" ht="91.5" customHeight="1">
      <c r="A91" s="356"/>
      <c r="B91" s="357"/>
      <c r="C91" s="357"/>
      <c r="D91" s="358"/>
      <c r="E91" s="401"/>
      <c r="F91" s="402"/>
      <c r="G91" s="182" t="s">
        <v>96</v>
      </c>
      <c r="H91" s="106">
        <f>H36</f>
        <v>12485.6</v>
      </c>
      <c r="I91" s="106">
        <f t="shared" ref="I91:K91" si="25">I36</f>
        <v>12485.6</v>
      </c>
      <c r="J91" s="106">
        <f t="shared" si="25"/>
        <v>0</v>
      </c>
      <c r="K91" s="106">
        <f t="shared" si="25"/>
        <v>0</v>
      </c>
      <c r="L91" s="447"/>
      <c r="M91" s="118"/>
      <c r="N91" s="174"/>
    </row>
    <row r="92" spans="1:14" ht="174.75" customHeight="1">
      <c r="A92" s="356"/>
      <c r="B92" s="357"/>
      <c r="C92" s="357"/>
      <c r="D92" s="358"/>
      <c r="E92" s="401"/>
      <c r="F92" s="402"/>
      <c r="G92" s="135" t="s">
        <v>99</v>
      </c>
      <c r="H92" s="106">
        <f>H33+H47</f>
        <v>147.19999999999999</v>
      </c>
      <c r="I92" s="106">
        <f t="shared" ref="I92:K92" si="26">I33+I47</f>
        <v>147.19999999999999</v>
      </c>
      <c r="J92" s="106">
        <f t="shared" si="26"/>
        <v>0</v>
      </c>
      <c r="K92" s="106">
        <f t="shared" si="26"/>
        <v>0</v>
      </c>
      <c r="L92" s="447"/>
      <c r="M92" s="118"/>
      <c r="N92" s="174"/>
    </row>
    <row r="93" spans="1:14" ht="75" customHeight="1">
      <c r="A93" s="356"/>
      <c r="B93" s="357"/>
      <c r="C93" s="357"/>
      <c r="D93" s="358"/>
      <c r="E93" s="403"/>
      <c r="F93" s="404"/>
      <c r="G93" s="166" t="s">
        <v>345</v>
      </c>
      <c r="H93" s="106">
        <f>H34</f>
        <v>60</v>
      </c>
      <c r="I93" s="106">
        <f t="shared" ref="I93:K93" si="27">I34</f>
        <v>60</v>
      </c>
      <c r="J93" s="106">
        <f t="shared" si="27"/>
        <v>0</v>
      </c>
      <c r="K93" s="106">
        <f t="shared" si="27"/>
        <v>0</v>
      </c>
      <c r="L93" s="447"/>
      <c r="M93" s="118"/>
      <c r="N93" s="174"/>
    </row>
    <row r="94" spans="1:14" ht="75" customHeight="1">
      <c r="A94" s="356"/>
      <c r="B94" s="357"/>
      <c r="C94" s="357"/>
      <c r="D94" s="358"/>
      <c r="E94" s="399" t="s">
        <v>76</v>
      </c>
      <c r="F94" s="400"/>
      <c r="G94" s="183" t="s">
        <v>98</v>
      </c>
      <c r="H94" s="106">
        <f>SUM(H95:H96)</f>
        <v>37542.879999999997</v>
      </c>
      <c r="I94" s="106">
        <f t="shared" ref="I94:K94" si="28">SUM(I95:I96)</f>
        <v>19021.3</v>
      </c>
      <c r="J94" s="106">
        <f t="shared" si="28"/>
        <v>8928.2799999999988</v>
      </c>
      <c r="K94" s="106">
        <f t="shared" si="28"/>
        <v>9593.2999999999993</v>
      </c>
      <c r="L94" s="447"/>
      <c r="M94" s="118"/>
      <c r="N94" s="174"/>
    </row>
    <row r="95" spans="1:14" ht="75" customHeight="1">
      <c r="A95" s="356"/>
      <c r="B95" s="357"/>
      <c r="C95" s="357"/>
      <c r="D95" s="358"/>
      <c r="E95" s="401"/>
      <c r="F95" s="402"/>
      <c r="G95" s="265" t="s">
        <v>452</v>
      </c>
      <c r="H95" s="106">
        <f>H30+H42+H48+H59+H63+H66+H72</f>
        <v>29382.78</v>
      </c>
      <c r="I95" s="106">
        <f>I30+I42+I48+I59+I63+I66+I72</f>
        <v>10861.199999999999</v>
      </c>
      <c r="J95" s="106">
        <f>J30+J42+J48+J59+J63+J66+J72</f>
        <v>8928.2799999999988</v>
      </c>
      <c r="K95" s="106">
        <f>K30+K42+K48+K59+K63+K66+K72</f>
        <v>9593.2999999999993</v>
      </c>
      <c r="L95" s="447"/>
      <c r="M95" s="118"/>
      <c r="N95" s="174"/>
    </row>
    <row r="96" spans="1:14" ht="75" customHeight="1">
      <c r="A96" s="356"/>
      <c r="B96" s="357"/>
      <c r="C96" s="357"/>
      <c r="D96" s="358"/>
      <c r="E96" s="403"/>
      <c r="F96" s="404"/>
      <c r="G96" s="182" t="s">
        <v>96</v>
      </c>
      <c r="H96" s="106">
        <f>H37</f>
        <v>8160.1</v>
      </c>
      <c r="I96" s="106">
        <f t="shared" ref="I96:K96" si="29">I37</f>
        <v>8160.1</v>
      </c>
      <c r="J96" s="106">
        <f t="shared" si="29"/>
        <v>0</v>
      </c>
      <c r="K96" s="106">
        <f t="shared" si="29"/>
        <v>0</v>
      </c>
      <c r="L96" s="447"/>
      <c r="M96" s="118"/>
      <c r="N96" s="174"/>
    </row>
    <row r="97" spans="1:14" ht="50.25" customHeight="1">
      <c r="A97" s="356"/>
      <c r="B97" s="357"/>
      <c r="C97" s="357"/>
      <c r="D97" s="358"/>
      <c r="E97" s="399" t="s">
        <v>77</v>
      </c>
      <c r="F97" s="400"/>
      <c r="G97" s="183" t="s">
        <v>98</v>
      </c>
      <c r="H97" s="106">
        <f>SUM(H98:H100)</f>
        <v>47663.11</v>
      </c>
      <c r="I97" s="106">
        <f t="shared" ref="I97:K97" si="30">SUM(I98:I100)</f>
        <v>33332.700000000004</v>
      </c>
      <c r="J97" s="106">
        <f t="shared" si="30"/>
        <v>6896.57</v>
      </c>
      <c r="K97" s="106">
        <f t="shared" si="30"/>
        <v>7433.84</v>
      </c>
      <c r="L97" s="447"/>
      <c r="M97" s="118"/>
      <c r="N97" s="174"/>
    </row>
    <row r="98" spans="1:14" ht="75" customHeight="1">
      <c r="A98" s="356"/>
      <c r="B98" s="357"/>
      <c r="C98" s="357"/>
      <c r="D98" s="358"/>
      <c r="E98" s="401"/>
      <c r="F98" s="402"/>
      <c r="G98" s="265" t="s">
        <v>452</v>
      </c>
      <c r="H98" s="106">
        <f>H31+H43+H49+H56+H60+H64</f>
        <v>32116.61</v>
      </c>
      <c r="I98" s="106">
        <f>I31+I43+I49+I56+I60+I64</f>
        <v>17786.2</v>
      </c>
      <c r="J98" s="106">
        <f t="shared" ref="J98:K98" si="31">J31+J43+J49+J56+J60+J64</f>
        <v>6896.57</v>
      </c>
      <c r="K98" s="106">
        <f t="shared" si="31"/>
        <v>7433.84</v>
      </c>
      <c r="L98" s="447"/>
      <c r="M98" s="118"/>
      <c r="N98" s="174"/>
    </row>
    <row r="99" spans="1:14" ht="78.75" customHeight="1">
      <c r="A99" s="356"/>
      <c r="B99" s="357"/>
      <c r="C99" s="357"/>
      <c r="D99" s="358"/>
      <c r="E99" s="401"/>
      <c r="F99" s="402"/>
      <c r="G99" s="182" t="s">
        <v>96</v>
      </c>
      <c r="H99" s="106">
        <f>H38</f>
        <v>12866.2</v>
      </c>
      <c r="I99" s="106">
        <f t="shared" ref="I99:K99" si="32">I38</f>
        <v>12866.2</v>
      </c>
      <c r="J99" s="106">
        <f t="shared" si="32"/>
        <v>0</v>
      </c>
      <c r="K99" s="106">
        <f t="shared" si="32"/>
        <v>0</v>
      </c>
      <c r="L99" s="447"/>
      <c r="M99" s="118"/>
      <c r="N99" s="174"/>
    </row>
    <row r="100" spans="1:14" ht="173.25" customHeight="1">
      <c r="A100" s="356"/>
      <c r="B100" s="357"/>
      <c r="C100" s="357"/>
      <c r="D100" s="358"/>
      <c r="E100" s="403"/>
      <c r="F100" s="404"/>
      <c r="G100" s="135" t="s">
        <v>99</v>
      </c>
      <c r="H100" s="106">
        <f>H55</f>
        <v>2680.3</v>
      </c>
      <c r="I100" s="106">
        <f t="shared" ref="I100:K100" si="33">I55</f>
        <v>2680.3</v>
      </c>
      <c r="J100" s="106">
        <f t="shared" si="33"/>
        <v>0</v>
      </c>
      <c r="K100" s="106">
        <f t="shared" si="33"/>
        <v>0</v>
      </c>
      <c r="L100" s="447"/>
      <c r="M100" s="118"/>
      <c r="N100" s="174"/>
    </row>
    <row r="101" spans="1:14" ht="75" customHeight="1">
      <c r="A101" s="356"/>
      <c r="B101" s="357"/>
      <c r="C101" s="357"/>
      <c r="D101" s="358"/>
      <c r="E101" s="399" t="s">
        <v>75</v>
      </c>
      <c r="F101" s="400"/>
      <c r="G101" s="183" t="s">
        <v>98</v>
      </c>
      <c r="H101" s="106">
        <f>SUM(H102:H103)</f>
        <v>47334.004999999997</v>
      </c>
      <c r="I101" s="106">
        <f t="shared" ref="I101:K101" si="34">SUM(I102:I103)</f>
        <v>31360.183000000001</v>
      </c>
      <c r="J101" s="106">
        <f t="shared" si="34"/>
        <v>8371.43</v>
      </c>
      <c r="K101" s="106">
        <f t="shared" si="34"/>
        <v>7602.3920000000007</v>
      </c>
      <c r="L101" s="447"/>
      <c r="M101" s="118"/>
      <c r="N101" s="174"/>
    </row>
    <row r="102" spans="1:14" ht="75" customHeight="1">
      <c r="A102" s="356"/>
      <c r="B102" s="357"/>
      <c r="C102" s="357"/>
      <c r="D102" s="358"/>
      <c r="E102" s="401"/>
      <c r="F102" s="402"/>
      <c r="G102" s="265" t="s">
        <v>452</v>
      </c>
      <c r="H102" s="106">
        <f>H32+H44+H50+H65+H68+H69</f>
        <v>35486.004999999997</v>
      </c>
      <c r="I102" s="106">
        <f>I32+I44+I50+I65+I68+I69</f>
        <v>19512.183000000001</v>
      </c>
      <c r="J102" s="106">
        <f>J32+J44+J50+J65+J68+J69</f>
        <v>8371.43</v>
      </c>
      <c r="K102" s="106">
        <f>K32+K44+K50+K65+K68+K69</f>
        <v>7602.3920000000007</v>
      </c>
      <c r="L102" s="447"/>
      <c r="M102" s="118"/>
      <c r="N102" s="174"/>
    </row>
    <row r="103" spans="1:14" ht="75" customHeight="1">
      <c r="A103" s="356"/>
      <c r="B103" s="357"/>
      <c r="C103" s="357"/>
      <c r="D103" s="358"/>
      <c r="E103" s="403"/>
      <c r="F103" s="404"/>
      <c r="G103" s="182" t="s">
        <v>96</v>
      </c>
      <c r="H103" s="106">
        <f>H39</f>
        <v>11848</v>
      </c>
      <c r="I103" s="106">
        <f>I39</f>
        <v>11848</v>
      </c>
      <c r="J103" s="106">
        <f t="shared" ref="J103:K103" si="35">J39</f>
        <v>0</v>
      </c>
      <c r="K103" s="106">
        <f t="shared" si="35"/>
        <v>0</v>
      </c>
      <c r="L103" s="448"/>
      <c r="M103" s="118"/>
      <c r="N103" s="174"/>
    </row>
    <row r="104" spans="1:14" ht="96" customHeight="1">
      <c r="A104" s="359"/>
      <c r="B104" s="360"/>
      <c r="C104" s="360"/>
      <c r="D104" s="361"/>
      <c r="E104" s="351" t="s">
        <v>426</v>
      </c>
      <c r="F104" s="352"/>
      <c r="G104" s="265" t="s">
        <v>452</v>
      </c>
      <c r="H104" s="106">
        <f>H67</f>
        <v>3000</v>
      </c>
      <c r="I104" s="106">
        <f t="shared" ref="I104:K104" si="36">I67</f>
        <v>3000</v>
      </c>
      <c r="J104" s="106">
        <f t="shared" si="36"/>
        <v>0</v>
      </c>
      <c r="K104" s="106">
        <f t="shared" si="36"/>
        <v>0</v>
      </c>
      <c r="L104" s="184"/>
      <c r="M104" s="118"/>
      <c r="N104" s="174"/>
    </row>
    <row r="105" spans="1:14" s="157" customFormat="1" ht="75" customHeight="1">
      <c r="A105" s="415" t="s">
        <v>238</v>
      </c>
      <c r="B105" s="318" t="s">
        <v>422</v>
      </c>
      <c r="C105" s="370" t="s">
        <v>240</v>
      </c>
      <c r="D105" s="390" t="s">
        <v>365</v>
      </c>
      <c r="E105" s="391"/>
      <c r="F105" s="391"/>
      <c r="G105" s="392"/>
      <c r="H105" s="106">
        <f>H106+H107</f>
        <v>8977.9000000000015</v>
      </c>
      <c r="I105" s="106">
        <f>I106+I107</f>
        <v>8977.9000000000015</v>
      </c>
      <c r="J105" s="106">
        <f>J106+J107</f>
        <v>0</v>
      </c>
      <c r="K105" s="106">
        <f>K106+K107</f>
        <v>0</v>
      </c>
      <c r="L105" s="317" t="s">
        <v>150</v>
      </c>
      <c r="M105" s="119"/>
    </row>
    <row r="106" spans="1:14" s="157" customFormat="1" ht="75" customHeight="1">
      <c r="A106" s="416"/>
      <c r="B106" s="319"/>
      <c r="C106" s="370"/>
      <c r="D106" s="349" t="s">
        <v>30</v>
      </c>
      <c r="E106" s="294" t="s">
        <v>79</v>
      </c>
      <c r="F106" s="362" t="s">
        <v>223</v>
      </c>
      <c r="G106" s="265" t="s">
        <v>453</v>
      </c>
      <c r="H106" s="106">
        <f>I106+J106+K106</f>
        <v>2630.3</v>
      </c>
      <c r="I106" s="107">
        <f>4309.8-9.5-1000-670</f>
        <v>2630.3</v>
      </c>
      <c r="J106" s="107">
        <v>0</v>
      </c>
      <c r="K106" s="107">
        <v>0</v>
      </c>
      <c r="L106" s="317"/>
      <c r="M106" s="119"/>
    </row>
    <row r="107" spans="1:14" s="157" customFormat="1" ht="75" customHeight="1">
      <c r="A107" s="416"/>
      <c r="B107" s="319"/>
      <c r="C107" s="370"/>
      <c r="D107" s="350"/>
      <c r="E107" s="295"/>
      <c r="F107" s="362"/>
      <c r="G107" s="135" t="s">
        <v>96</v>
      </c>
      <c r="H107" s="106">
        <f>I107+J107+K107</f>
        <v>6347.6</v>
      </c>
      <c r="I107" s="107">
        <v>6347.6</v>
      </c>
      <c r="J107" s="107">
        <v>0</v>
      </c>
      <c r="K107" s="107">
        <v>0</v>
      </c>
      <c r="L107" s="317"/>
      <c r="M107" s="119"/>
    </row>
    <row r="108" spans="1:14" s="157" customFormat="1" ht="93.75" customHeight="1">
      <c r="A108" s="416"/>
      <c r="B108" s="319"/>
      <c r="C108" s="139" t="s">
        <v>276</v>
      </c>
      <c r="D108" s="180" t="s">
        <v>30</v>
      </c>
      <c r="E108" s="45" t="s">
        <v>79</v>
      </c>
      <c r="F108" s="362"/>
      <c r="G108" s="265" t="s">
        <v>450</v>
      </c>
      <c r="H108" s="106">
        <f>I108+J108+K108</f>
        <v>8369.6</v>
      </c>
      <c r="I108" s="107">
        <f>3145.8-450</f>
        <v>2695.8</v>
      </c>
      <c r="J108" s="107">
        <v>2727.8</v>
      </c>
      <c r="K108" s="107">
        <v>2946</v>
      </c>
      <c r="L108" s="317"/>
      <c r="M108" s="119"/>
    </row>
    <row r="109" spans="1:14" s="157" customFormat="1" ht="112.5" customHeight="1">
      <c r="A109" s="416"/>
      <c r="B109" s="319"/>
      <c r="C109" s="139" t="s">
        <v>277</v>
      </c>
      <c r="D109" s="180" t="s">
        <v>30</v>
      </c>
      <c r="E109" s="45" t="s">
        <v>79</v>
      </c>
      <c r="F109" s="362"/>
      <c r="G109" s="265" t="s">
        <v>450</v>
      </c>
      <c r="H109" s="106">
        <f>I109+J109+K109</f>
        <v>1062.92</v>
      </c>
      <c r="I109" s="112">
        <v>525.5</v>
      </c>
      <c r="J109" s="107">
        <v>260</v>
      </c>
      <c r="K109" s="143">
        <v>277.42</v>
      </c>
      <c r="L109" s="317"/>
      <c r="M109" s="119"/>
    </row>
    <row r="110" spans="1:14" s="157" customFormat="1" ht="162.75" customHeight="1">
      <c r="A110" s="416"/>
      <c r="B110" s="320"/>
      <c r="C110" s="139" t="s">
        <v>278</v>
      </c>
      <c r="D110" s="180" t="s">
        <v>30</v>
      </c>
      <c r="E110" s="45" t="s">
        <v>79</v>
      </c>
      <c r="F110" s="362"/>
      <c r="G110" s="265" t="s">
        <v>450</v>
      </c>
      <c r="H110" s="106">
        <f>I110+J110+K110</f>
        <v>973.3</v>
      </c>
      <c r="I110" s="107">
        <v>411.8</v>
      </c>
      <c r="J110" s="107">
        <v>271</v>
      </c>
      <c r="K110" s="107">
        <v>290.5</v>
      </c>
      <c r="L110" s="317"/>
      <c r="M110" s="119"/>
    </row>
    <row r="111" spans="1:14" s="157" customFormat="1" ht="75" customHeight="1">
      <c r="A111" s="389"/>
      <c r="B111" s="389"/>
      <c r="C111" s="389"/>
      <c r="D111" s="389"/>
      <c r="E111" s="318" t="s">
        <v>284</v>
      </c>
      <c r="F111" s="502"/>
      <c r="G111" s="135"/>
      <c r="H111" s="106">
        <f>H105+H108+H109+H110</f>
        <v>19383.719999999998</v>
      </c>
      <c r="I111" s="106">
        <f>I105+I108+I109+I110</f>
        <v>12611</v>
      </c>
      <c r="J111" s="106">
        <f>J105+J108+J109+J110</f>
        <v>3258.8</v>
      </c>
      <c r="K111" s="106">
        <f>K105+K108+K109+K110</f>
        <v>3513.92</v>
      </c>
      <c r="L111" s="305"/>
      <c r="M111" s="119"/>
    </row>
    <row r="112" spans="1:14" s="157" customFormat="1" ht="75" customHeight="1">
      <c r="A112" s="389"/>
      <c r="B112" s="389"/>
      <c r="C112" s="389"/>
      <c r="D112" s="389"/>
      <c r="E112" s="319"/>
      <c r="F112" s="502"/>
      <c r="G112" s="265" t="s">
        <v>450</v>
      </c>
      <c r="H112" s="106">
        <f>H106+H108+H109+H110</f>
        <v>13036.12</v>
      </c>
      <c r="I112" s="106">
        <f>I106+I108+I109+I110</f>
        <v>6263.4000000000005</v>
      </c>
      <c r="J112" s="106">
        <f t="shared" ref="J112:K112" si="37">J106+J108+J109+J110</f>
        <v>3258.8</v>
      </c>
      <c r="K112" s="106">
        <f t="shared" si="37"/>
        <v>3513.92</v>
      </c>
      <c r="L112" s="306"/>
      <c r="M112" s="119"/>
    </row>
    <row r="113" spans="1:13" s="157" customFormat="1" ht="75" customHeight="1">
      <c r="A113" s="389"/>
      <c r="B113" s="389"/>
      <c r="C113" s="389"/>
      <c r="D113" s="389"/>
      <c r="E113" s="320"/>
      <c r="F113" s="502"/>
      <c r="G113" s="135" t="s">
        <v>96</v>
      </c>
      <c r="H113" s="106">
        <f>H107</f>
        <v>6347.6</v>
      </c>
      <c r="I113" s="106">
        <f t="shared" ref="I113:K113" si="38">I107</f>
        <v>6347.6</v>
      </c>
      <c r="J113" s="106">
        <f t="shared" si="38"/>
        <v>0</v>
      </c>
      <c r="K113" s="106">
        <f t="shared" si="38"/>
        <v>0</v>
      </c>
      <c r="L113" s="347"/>
      <c r="M113" s="119"/>
    </row>
    <row r="114" spans="1:13" s="157" customFormat="1" ht="75" customHeight="1">
      <c r="A114" s="389" t="s">
        <v>241</v>
      </c>
      <c r="B114" s="318" t="s">
        <v>283</v>
      </c>
      <c r="C114" s="294" t="s">
        <v>242</v>
      </c>
      <c r="D114" s="390" t="s">
        <v>366</v>
      </c>
      <c r="E114" s="391"/>
      <c r="F114" s="391"/>
      <c r="G114" s="392"/>
      <c r="H114" s="106">
        <f>H115+H116</f>
        <v>20902.575000000001</v>
      </c>
      <c r="I114" s="106">
        <f>I115+I116</f>
        <v>6210.2</v>
      </c>
      <c r="J114" s="106">
        <f>J115+J116</f>
        <v>7111.8</v>
      </c>
      <c r="K114" s="106">
        <f>K115+K116</f>
        <v>7580.5749999999998</v>
      </c>
      <c r="L114" s="509" t="s">
        <v>151</v>
      </c>
      <c r="M114" s="119"/>
    </row>
    <row r="115" spans="1:13" s="157" customFormat="1" ht="75" customHeight="1">
      <c r="A115" s="389"/>
      <c r="B115" s="319"/>
      <c r="C115" s="313"/>
      <c r="D115" s="349" t="s">
        <v>31</v>
      </c>
      <c r="E115" s="294" t="s">
        <v>78</v>
      </c>
      <c r="F115" s="362" t="s">
        <v>223</v>
      </c>
      <c r="G115" s="265" t="s">
        <v>450</v>
      </c>
      <c r="H115" s="106">
        <f>I115+J115+K115</f>
        <v>19770.375</v>
      </c>
      <c r="I115" s="107">
        <f>4969+109</f>
        <v>5078</v>
      </c>
      <c r="J115" s="107">
        <f>7149.3-37.5</f>
        <v>7111.8</v>
      </c>
      <c r="K115" s="107">
        <f>7621.2-40.625</f>
        <v>7580.5749999999998</v>
      </c>
      <c r="L115" s="510"/>
      <c r="M115" s="119"/>
    </row>
    <row r="116" spans="1:13" s="157" customFormat="1" ht="75" customHeight="1">
      <c r="A116" s="389"/>
      <c r="B116" s="319"/>
      <c r="C116" s="295"/>
      <c r="D116" s="350"/>
      <c r="E116" s="295"/>
      <c r="F116" s="362"/>
      <c r="G116" s="135" t="s">
        <v>96</v>
      </c>
      <c r="H116" s="106">
        <f>I116+J116+K116</f>
        <v>1132.2</v>
      </c>
      <c r="I116" s="107">
        <v>1132.2</v>
      </c>
      <c r="J116" s="107">
        <v>0</v>
      </c>
      <c r="K116" s="107">
        <v>0</v>
      </c>
      <c r="L116" s="510"/>
      <c r="M116" s="119"/>
    </row>
    <row r="117" spans="1:13" s="157" customFormat="1" ht="89.25" customHeight="1">
      <c r="A117" s="389"/>
      <c r="B117" s="320"/>
      <c r="C117" s="139" t="s">
        <v>243</v>
      </c>
      <c r="D117" s="180" t="s">
        <v>31</v>
      </c>
      <c r="E117" s="45" t="s">
        <v>78</v>
      </c>
      <c r="F117" s="362"/>
      <c r="G117" s="265" t="s">
        <v>450</v>
      </c>
      <c r="H117" s="106">
        <f>I117+J117+K117</f>
        <v>1469.6</v>
      </c>
      <c r="I117" s="107">
        <v>527.79999999999995</v>
      </c>
      <c r="J117" s="107">
        <v>452.8</v>
      </c>
      <c r="K117" s="107">
        <v>489</v>
      </c>
      <c r="L117" s="511"/>
      <c r="M117" s="119"/>
    </row>
    <row r="118" spans="1:13" s="157" customFormat="1" ht="75" customHeight="1">
      <c r="A118" s="369"/>
      <c r="B118" s="369"/>
      <c r="C118" s="369"/>
      <c r="D118" s="369"/>
      <c r="E118" s="318" t="s">
        <v>285</v>
      </c>
      <c r="F118" s="362"/>
      <c r="G118" s="135"/>
      <c r="H118" s="106">
        <f>H114+H117</f>
        <v>22372.174999999999</v>
      </c>
      <c r="I118" s="106">
        <f t="shared" ref="I118:K118" si="39">I114+I117</f>
        <v>6738</v>
      </c>
      <c r="J118" s="106">
        <f t="shared" si="39"/>
        <v>7564.6</v>
      </c>
      <c r="K118" s="106">
        <f t="shared" si="39"/>
        <v>8069.5749999999998</v>
      </c>
      <c r="L118" s="305"/>
      <c r="M118" s="119"/>
    </row>
    <row r="119" spans="1:13" s="157" customFormat="1" ht="75" customHeight="1">
      <c r="A119" s="369"/>
      <c r="B119" s="369"/>
      <c r="C119" s="369"/>
      <c r="D119" s="369"/>
      <c r="E119" s="319"/>
      <c r="F119" s="362"/>
      <c r="G119" s="265" t="s">
        <v>450</v>
      </c>
      <c r="H119" s="106">
        <f>H115+H117</f>
        <v>21239.974999999999</v>
      </c>
      <c r="I119" s="106">
        <f>I115+I117</f>
        <v>5605.8</v>
      </c>
      <c r="J119" s="106">
        <f t="shared" ref="J119:K119" si="40">J115+J117</f>
        <v>7564.6</v>
      </c>
      <c r="K119" s="106">
        <f t="shared" si="40"/>
        <v>8069.5749999999998</v>
      </c>
      <c r="L119" s="306"/>
      <c r="M119" s="119"/>
    </row>
    <row r="120" spans="1:13" s="157" customFormat="1" ht="75" customHeight="1">
      <c r="A120" s="369"/>
      <c r="B120" s="369"/>
      <c r="C120" s="369"/>
      <c r="D120" s="369"/>
      <c r="E120" s="320"/>
      <c r="F120" s="362"/>
      <c r="G120" s="135" t="s">
        <v>96</v>
      </c>
      <c r="H120" s="106">
        <f>H116</f>
        <v>1132.2</v>
      </c>
      <c r="I120" s="106">
        <f t="shared" ref="I120:K120" si="41">I116</f>
        <v>1132.2</v>
      </c>
      <c r="J120" s="106">
        <f t="shared" si="41"/>
        <v>0</v>
      </c>
      <c r="K120" s="106">
        <f t="shared" si="41"/>
        <v>0</v>
      </c>
      <c r="L120" s="347"/>
      <c r="M120" s="119"/>
    </row>
    <row r="121" spans="1:13" ht="75" customHeight="1">
      <c r="A121" s="342" t="s">
        <v>64</v>
      </c>
      <c r="B121" s="343"/>
      <c r="C121" s="343"/>
      <c r="D121" s="343"/>
      <c r="E121" s="343"/>
      <c r="F121" s="343"/>
      <c r="G121" s="344"/>
      <c r="H121" s="111">
        <f>H24+H83+H111+H118</f>
        <v>229355.72999999998</v>
      </c>
      <c r="I121" s="111">
        <f>I24+I83+I111+I118</f>
        <v>137253.223</v>
      </c>
      <c r="J121" s="111">
        <f>J24+J83+J111+J118</f>
        <v>46087.48</v>
      </c>
      <c r="K121" s="111">
        <f>K24+K83+K111+K118</f>
        <v>46015.026999999995</v>
      </c>
      <c r="L121" s="383"/>
      <c r="M121" s="117"/>
    </row>
    <row r="122" spans="1:13" s="157" customFormat="1" ht="75" customHeight="1">
      <c r="A122" s="493" t="s">
        <v>18</v>
      </c>
      <c r="B122" s="493"/>
      <c r="C122" s="493"/>
      <c r="D122" s="493"/>
      <c r="E122" s="493"/>
      <c r="F122" s="494"/>
      <c r="G122" s="185" t="s">
        <v>450</v>
      </c>
      <c r="H122" s="123">
        <f>H24+H84+H112+H119</f>
        <v>172128.53</v>
      </c>
      <c r="I122" s="123">
        <f>I24+I84+I112+I119</f>
        <v>81526.022999999986</v>
      </c>
      <c r="J122" s="123">
        <f>J24+J84+J112+J119</f>
        <v>46087.48</v>
      </c>
      <c r="K122" s="123">
        <f>K24+K84+K112+K119</f>
        <v>46015.026999999995</v>
      </c>
      <c r="L122" s="384"/>
      <c r="M122" s="119"/>
    </row>
    <row r="123" spans="1:13" s="157" customFormat="1" ht="112.5" customHeight="1">
      <c r="A123" s="496"/>
      <c r="B123" s="496"/>
      <c r="C123" s="496"/>
      <c r="D123" s="496"/>
      <c r="E123" s="496"/>
      <c r="F123" s="497"/>
      <c r="G123" s="185" t="s">
        <v>96</v>
      </c>
      <c r="H123" s="123">
        <f>H120+H113+H85</f>
        <v>52839.700000000004</v>
      </c>
      <c r="I123" s="123">
        <f>I120+I113+I85</f>
        <v>52839.700000000004</v>
      </c>
      <c r="J123" s="123">
        <f>J120+J113+J85</f>
        <v>0</v>
      </c>
      <c r="K123" s="123">
        <f>K120+K113+K85</f>
        <v>0</v>
      </c>
      <c r="L123" s="384"/>
      <c r="M123" s="119"/>
    </row>
    <row r="124" spans="1:13" s="157" customFormat="1" ht="168.75" customHeight="1">
      <c r="A124" s="496"/>
      <c r="B124" s="496"/>
      <c r="C124" s="496"/>
      <c r="D124" s="496"/>
      <c r="E124" s="496"/>
      <c r="F124" s="497"/>
      <c r="G124" s="186" t="s">
        <v>99</v>
      </c>
      <c r="H124" s="123">
        <f>H86</f>
        <v>2827.5</v>
      </c>
      <c r="I124" s="123">
        <f t="shared" ref="I124:K124" si="42">I86</f>
        <v>2827.5</v>
      </c>
      <c r="J124" s="123">
        <f t="shared" si="42"/>
        <v>0</v>
      </c>
      <c r="K124" s="123">
        <f t="shared" si="42"/>
        <v>0</v>
      </c>
      <c r="L124" s="384"/>
      <c r="M124" s="119"/>
    </row>
    <row r="125" spans="1:13" s="157" customFormat="1" ht="75" customHeight="1">
      <c r="A125" s="499"/>
      <c r="B125" s="499"/>
      <c r="C125" s="499"/>
      <c r="D125" s="499"/>
      <c r="E125" s="499"/>
      <c r="F125" s="500"/>
      <c r="G125" s="187" t="s">
        <v>345</v>
      </c>
      <c r="H125" s="123">
        <f>H87</f>
        <v>60</v>
      </c>
      <c r="I125" s="123">
        <f t="shared" ref="I125:K125" si="43">I87</f>
        <v>60</v>
      </c>
      <c r="J125" s="123">
        <f t="shared" si="43"/>
        <v>0</v>
      </c>
      <c r="K125" s="123">
        <f t="shared" si="43"/>
        <v>0</v>
      </c>
      <c r="L125" s="384"/>
      <c r="M125" s="119"/>
    </row>
    <row r="126" spans="1:13" s="157" customFormat="1" ht="75" customHeight="1">
      <c r="A126" s="374" t="s">
        <v>291</v>
      </c>
      <c r="B126" s="375"/>
      <c r="C126" s="375"/>
      <c r="D126" s="376"/>
      <c r="E126" s="370" t="s">
        <v>82</v>
      </c>
      <c r="F126" s="324"/>
      <c r="G126" s="183" t="s">
        <v>97</v>
      </c>
      <c r="H126" s="111">
        <f>SUM(H127:H130)</f>
        <v>39387.53</v>
      </c>
      <c r="I126" s="111">
        <f t="shared" ref="I126:K126" si="44">SUM(I127:I130)</f>
        <v>28290.43</v>
      </c>
      <c r="J126" s="111">
        <f t="shared" si="44"/>
        <v>0</v>
      </c>
      <c r="K126" s="111">
        <f t="shared" si="44"/>
        <v>5025.8999999999996</v>
      </c>
      <c r="L126" s="384"/>
      <c r="M126" s="119"/>
    </row>
    <row r="127" spans="1:13" ht="75" customHeight="1">
      <c r="A127" s="377"/>
      <c r="B127" s="378"/>
      <c r="C127" s="378"/>
      <c r="D127" s="379"/>
      <c r="E127" s="370"/>
      <c r="F127" s="325"/>
      <c r="G127" s="265" t="s">
        <v>450</v>
      </c>
      <c r="H127" s="124">
        <f>H90</f>
        <v>26694.73</v>
      </c>
      <c r="I127" s="124">
        <f t="shared" ref="I127:K127" si="45">I90</f>
        <v>15597.63</v>
      </c>
      <c r="J127" s="124">
        <f>J882</f>
        <v>0</v>
      </c>
      <c r="K127" s="124">
        <f t="shared" si="45"/>
        <v>5025.8999999999996</v>
      </c>
      <c r="L127" s="384"/>
      <c r="M127" s="117"/>
    </row>
    <row r="128" spans="1:13" ht="177.75" customHeight="1">
      <c r="A128" s="377"/>
      <c r="B128" s="378"/>
      <c r="C128" s="378"/>
      <c r="D128" s="379"/>
      <c r="E128" s="370"/>
      <c r="F128" s="325"/>
      <c r="G128" s="135" t="str">
        <f>G33</f>
        <v>Субвенція з місцевого бюджету на здійснення переданих видатків у сфері охорони здоров'я за рахунок коштів медичної субвенції (загальний фонд)</v>
      </c>
      <c r="H128" s="107">
        <f>H92</f>
        <v>147.19999999999999</v>
      </c>
      <c r="I128" s="107">
        <f t="shared" ref="I128:K128" si="46">I92</f>
        <v>147.19999999999999</v>
      </c>
      <c r="J128" s="107">
        <f t="shared" si="46"/>
        <v>0</v>
      </c>
      <c r="K128" s="107">
        <f t="shared" si="46"/>
        <v>0</v>
      </c>
      <c r="L128" s="384"/>
      <c r="M128" s="117"/>
    </row>
    <row r="129" spans="1:13" ht="81" customHeight="1">
      <c r="A129" s="377"/>
      <c r="B129" s="378"/>
      <c r="C129" s="378"/>
      <c r="D129" s="379"/>
      <c r="E129" s="370"/>
      <c r="F129" s="325"/>
      <c r="G129" s="135" t="s">
        <v>345</v>
      </c>
      <c r="H129" s="124">
        <f>H93</f>
        <v>60</v>
      </c>
      <c r="I129" s="124">
        <f t="shared" ref="I129:K129" si="47">I93</f>
        <v>60</v>
      </c>
      <c r="J129" s="124">
        <f t="shared" si="47"/>
        <v>0</v>
      </c>
      <c r="K129" s="124">
        <f t="shared" si="47"/>
        <v>0</v>
      </c>
      <c r="L129" s="384"/>
      <c r="M129" s="117"/>
    </row>
    <row r="130" spans="1:13" ht="75" customHeight="1">
      <c r="A130" s="377"/>
      <c r="B130" s="378"/>
      <c r="C130" s="378"/>
      <c r="D130" s="379"/>
      <c r="E130" s="370"/>
      <c r="F130" s="325"/>
      <c r="G130" s="135" t="s">
        <v>96</v>
      </c>
      <c r="H130" s="124">
        <f>H91</f>
        <v>12485.6</v>
      </c>
      <c r="I130" s="124">
        <f t="shared" ref="I130:K130" si="48">I91</f>
        <v>12485.6</v>
      </c>
      <c r="J130" s="124">
        <f t="shared" si="48"/>
        <v>0</v>
      </c>
      <c r="K130" s="124">
        <f t="shared" si="48"/>
        <v>0</v>
      </c>
      <c r="L130" s="384"/>
      <c r="M130" s="117"/>
    </row>
    <row r="131" spans="1:13" ht="75" customHeight="1">
      <c r="A131" s="377"/>
      <c r="B131" s="378"/>
      <c r="C131" s="378"/>
      <c r="D131" s="379"/>
      <c r="E131" s="294" t="s">
        <v>76</v>
      </c>
      <c r="F131" s="325"/>
      <c r="G131" s="183" t="s">
        <v>97</v>
      </c>
      <c r="H131" s="111">
        <f>SUM(H132:H133)</f>
        <v>37542.879999999997</v>
      </c>
      <c r="I131" s="111">
        <f t="shared" ref="I131:K131" si="49">SUM(I132:I133)</f>
        <v>19021.3</v>
      </c>
      <c r="J131" s="111">
        <f t="shared" si="49"/>
        <v>8928.2799999999988</v>
      </c>
      <c r="K131" s="111">
        <f t="shared" si="49"/>
        <v>9593.2999999999993</v>
      </c>
      <c r="L131" s="384"/>
      <c r="M131" s="117"/>
    </row>
    <row r="132" spans="1:13" ht="75" customHeight="1">
      <c r="A132" s="377"/>
      <c r="B132" s="378"/>
      <c r="C132" s="378"/>
      <c r="D132" s="379"/>
      <c r="E132" s="313"/>
      <c r="F132" s="325"/>
      <c r="G132" s="265" t="s">
        <v>450</v>
      </c>
      <c r="H132" s="124">
        <f>H95</f>
        <v>29382.78</v>
      </c>
      <c r="I132" s="124">
        <f t="shared" ref="I132:K132" si="50">I95</f>
        <v>10861.199999999999</v>
      </c>
      <c r="J132" s="124">
        <f t="shared" si="50"/>
        <v>8928.2799999999988</v>
      </c>
      <c r="K132" s="124">
        <f t="shared" si="50"/>
        <v>9593.2999999999993</v>
      </c>
      <c r="L132" s="384"/>
      <c r="M132" s="117"/>
    </row>
    <row r="133" spans="1:13" ht="75" customHeight="1">
      <c r="A133" s="377"/>
      <c r="B133" s="378"/>
      <c r="C133" s="378"/>
      <c r="D133" s="379"/>
      <c r="E133" s="295"/>
      <c r="F133" s="325"/>
      <c r="G133" s="166" t="s">
        <v>96</v>
      </c>
      <c r="H133" s="124">
        <f>H96</f>
        <v>8160.1</v>
      </c>
      <c r="I133" s="124">
        <f t="shared" ref="I133:K133" si="51">I96</f>
        <v>8160.1</v>
      </c>
      <c r="J133" s="124">
        <f t="shared" si="51"/>
        <v>0</v>
      </c>
      <c r="K133" s="124">
        <f t="shared" si="51"/>
        <v>0</v>
      </c>
      <c r="L133" s="384"/>
      <c r="M133" s="117"/>
    </row>
    <row r="134" spans="1:13" ht="75" customHeight="1">
      <c r="A134" s="377"/>
      <c r="B134" s="378"/>
      <c r="C134" s="378"/>
      <c r="D134" s="379"/>
      <c r="E134" s="294" t="s">
        <v>77</v>
      </c>
      <c r="F134" s="325"/>
      <c r="G134" s="183" t="s">
        <v>97</v>
      </c>
      <c r="H134" s="111">
        <f>SUM(H135:H137)</f>
        <v>47663.11</v>
      </c>
      <c r="I134" s="111">
        <f t="shared" ref="I134:K134" si="52">SUM(I135:I137)</f>
        <v>33332.700000000004</v>
      </c>
      <c r="J134" s="111">
        <f t="shared" si="52"/>
        <v>6896.57</v>
      </c>
      <c r="K134" s="111">
        <f t="shared" si="52"/>
        <v>7433.84</v>
      </c>
      <c r="L134" s="384"/>
      <c r="M134" s="117"/>
    </row>
    <row r="135" spans="1:13" ht="75" customHeight="1">
      <c r="A135" s="377"/>
      <c r="B135" s="378"/>
      <c r="C135" s="378"/>
      <c r="D135" s="379"/>
      <c r="E135" s="313"/>
      <c r="F135" s="325"/>
      <c r="G135" s="265" t="s">
        <v>450</v>
      </c>
      <c r="H135" s="124">
        <f>H98</f>
        <v>32116.61</v>
      </c>
      <c r="I135" s="124">
        <f t="shared" ref="I135:K135" si="53">I98</f>
        <v>17786.2</v>
      </c>
      <c r="J135" s="124">
        <f t="shared" si="53"/>
        <v>6896.57</v>
      </c>
      <c r="K135" s="124">
        <f t="shared" si="53"/>
        <v>7433.84</v>
      </c>
      <c r="L135" s="384"/>
      <c r="M135" s="117"/>
    </row>
    <row r="136" spans="1:13" ht="75" customHeight="1">
      <c r="A136" s="377"/>
      <c r="B136" s="378"/>
      <c r="C136" s="378"/>
      <c r="D136" s="379"/>
      <c r="E136" s="313"/>
      <c r="F136" s="325"/>
      <c r="G136" s="166" t="s">
        <v>96</v>
      </c>
      <c r="H136" s="124">
        <f>H99</f>
        <v>12866.2</v>
      </c>
      <c r="I136" s="124">
        <f t="shared" ref="I136:K136" si="54">I99</f>
        <v>12866.2</v>
      </c>
      <c r="J136" s="124">
        <f t="shared" si="54"/>
        <v>0</v>
      </c>
      <c r="K136" s="124">
        <f t="shared" si="54"/>
        <v>0</v>
      </c>
      <c r="L136" s="384"/>
      <c r="M136" s="117"/>
    </row>
    <row r="137" spans="1:13" ht="168.75" customHeight="1">
      <c r="A137" s="377"/>
      <c r="B137" s="378"/>
      <c r="C137" s="378"/>
      <c r="D137" s="379"/>
      <c r="E137" s="295"/>
      <c r="F137" s="325"/>
      <c r="G137" s="188" t="s">
        <v>99</v>
      </c>
      <c r="H137" s="124">
        <f>H100</f>
        <v>2680.3</v>
      </c>
      <c r="I137" s="124">
        <f t="shared" ref="I137:K137" si="55">I100</f>
        <v>2680.3</v>
      </c>
      <c r="J137" s="124">
        <f t="shared" si="55"/>
        <v>0</v>
      </c>
      <c r="K137" s="124">
        <f t="shared" si="55"/>
        <v>0</v>
      </c>
      <c r="L137" s="384"/>
      <c r="M137" s="117"/>
    </row>
    <row r="138" spans="1:13" ht="75" customHeight="1">
      <c r="A138" s="377"/>
      <c r="B138" s="378"/>
      <c r="C138" s="378"/>
      <c r="D138" s="379"/>
      <c r="E138" s="294" t="s">
        <v>75</v>
      </c>
      <c r="F138" s="325"/>
      <c r="G138" s="183" t="s">
        <v>97</v>
      </c>
      <c r="H138" s="111">
        <f>SUM(H139:H140)</f>
        <v>47334.004999999997</v>
      </c>
      <c r="I138" s="111">
        <f t="shared" ref="I138:K138" si="56">SUM(I139:I140)</f>
        <v>31360.183000000001</v>
      </c>
      <c r="J138" s="111">
        <f t="shared" si="56"/>
        <v>8371.43</v>
      </c>
      <c r="K138" s="111">
        <f t="shared" si="56"/>
        <v>7602.3920000000007</v>
      </c>
      <c r="L138" s="384"/>
      <c r="M138" s="117"/>
    </row>
    <row r="139" spans="1:13" ht="75" customHeight="1">
      <c r="A139" s="377"/>
      <c r="B139" s="378"/>
      <c r="C139" s="378"/>
      <c r="D139" s="379"/>
      <c r="E139" s="313"/>
      <c r="F139" s="325"/>
      <c r="G139" s="268" t="s">
        <v>450</v>
      </c>
      <c r="H139" s="124">
        <f>H102</f>
        <v>35486.004999999997</v>
      </c>
      <c r="I139" s="124">
        <f t="shared" ref="I139:K139" si="57">I102</f>
        <v>19512.183000000001</v>
      </c>
      <c r="J139" s="124">
        <f t="shared" si="57"/>
        <v>8371.43</v>
      </c>
      <c r="K139" s="124">
        <f t="shared" si="57"/>
        <v>7602.3920000000007</v>
      </c>
      <c r="L139" s="384"/>
      <c r="M139" s="117"/>
    </row>
    <row r="140" spans="1:13" ht="75" customHeight="1">
      <c r="A140" s="377"/>
      <c r="B140" s="378"/>
      <c r="C140" s="378"/>
      <c r="D140" s="379"/>
      <c r="E140" s="295"/>
      <c r="F140" s="325"/>
      <c r="G140" s="166" t="s">
        <v>96</v>
      </c>
      <c r="H140" s="124">
        <f>H103</f>
        <v>11848</v>
      </c>
      <c r="I140" s="124">
        <f t="shared" ref="I140:K140" si="58">I103</f>
        <v>11848</v>
      </c>
      <c r="J140" s="124">
        <f t="shared" si="58"/>
        <v>0</v>
      </c>
      <c r="K140" s="124">
        <f t="shared" si="58"/>
        <v>0</v>
      </c>
      <c r="L140" s="384"/>
      <c r="M140" s="117"/>
    </row>
    <row r="141" spans="1:13" ht="75" customHeight="1">
      <c r="A141" s="377"/>
      <c r="B141" s="378"/>
      <c r="C141" s="378"/>
      <c r="D141" s="379"/>
      <c r="E141" s="294" t="s">
        <v>79</v>
      </c>
      <c r="F141" s="325"/>
      <c r="G141" s="183" t="s">
        <v>97</v>
      </c>
      <c r="H141" s="111">
        <f>SUM(H142:H143)</f>
        <v>19383.72</v>
      </c>
      <c r="I141" s="111">
        <f t="shared" ref="I141:K141" si="59">SUM(I142:I143)</f>
        <v>12611</v>
      </c>
      <c r="J141" s="111">
        <f t="shared" si="59"/>
        <v>3258.8</v>
      </c>
      <c r="K141" s="111">
        <f t="shared" si="59"/>
        <v>3513.92</v>
      </c>
      <c r="L141" s="384"/>
      <c r="M141" s="117"/>
    </row>
    <row r="142" spans="1:13" ht="75" customHeight="1">
      <c r="A142" s="377"/>
      <c r="B142" s="378"/>
      <c r="C142" s="378"/>
      <c r="D142" s="379"/>
      <c r="E142" s="313"/>
      <c r="F142" s="325"/>
      <c r="G142" s="268" t="s">
        <v>450</v>
      </c>
      <c r="H142" s="124">
        <f>H112</f>
        <v>13036.12</v>
      </c>
      <c r="I142" s="124">
        <f t="shared" ref="I142:K142" si="60">I112</f>
        <v>6263.4000000000005</v>
      </c>
      <c r="J142" s="124">
        <f t="shared" si="60"/>
        <v>3258.8</v>
      </c>
      <c r="K142" s="124">
        <f t="shared" si="60"/>
        <v>3513.92</v>
      </c>
      <c r="L142" s="384"/>
      <c r="M142" s="117"/>
    </row>
    <row r="143" spans="1:13" ht="75" customHeight="1">
      <c r="A143" s="377"/>
      <c r="B143" s="378"/>
      <c r="C143" s="378"/>
      <c r="D143" s="379"/>
      <c r="E143" s="295"/>
      <c r="F143" s="325"/>
      <c r="G143" s="166" t="s">
        <v>96</v>
      </c>
      <c r="H143" s="124">
        <f>H113</f>
        <v>6347.6</v>
      </c>
      <c r="I143" s="124">
        <f t="shared" ref="I143:K143" si="61">I113</f>
        <v>6347.6</v>
      </c>
      <c r="J143" s="124">
        <f t="shared" si="61"/>
        <v>0</v>
      </c>
      <c r="K143" s="124">
        <f t="shared" si="61"/>
        <v>0</v>
      </c>
      <c r="L143" s="384"/>
      <c r="M143" s="117"/>
    </row>
    <row r="144" spans="1:13" ht="75" customHeight="1">
      <c r="A144" s="377"/>
      <c r="B144" s="378"/>
      <c r="C144" s="378"/>
      <c r="D144" s="379"/>
      <c r="E144" s="294" t="s">
        <v>78</v>
      </c>
      <c r="F144" s="325"/>
      <c r="G144" s="183" t="s">
        <v>97</v>
      </c>
      <c r="H144" s="111">
        <f>SUM(H145:H146)</f>
        <v>22372.174999999999</v>
      </c>
      <c r="I144" s="111">
        <f t="shared" ref="I144:K144" si="62">SUM(I145:I146)</f>
        <v>6738</v>
      </c>
      <c r="J144" s="111">
        <f t="shared" si="62"/>
        <v>7564.6</v>
      </c>
      <c r="K144" s="111">
        <f t="shared" si="62"/>
        <v>8069.5749999999998</v>
      </c>
      <c r="L144" s="384"/>
      <c r="M144" s="117"/>
    </row>
    <row r="145" spans="1:18" ht="75" customHeight="1">
      <c r="A145" s="377"/>
      <c r="B145" s="378"/>
      <c r="C145" s="378"/>
      <c r="D145" s="379"/>
      <c r="E145" s="313"/>
      <c r="F145" s="325"/>
      <c r="G145" s="268" t="s">
        <v>450</v>
      </c>
      <c r="H145" s="124">
        <f>H119</f>
        <v>21239.974999999999</v>
      </c>
      <c r="I145" s="124">
        <f>I119</f>
        <v>5605.8</v>
      </c>
      <c r="J145" s="124">
        <f t="shared" ref="J145:K145" si="63">J119</f>
        <v>7564.6</v>
      </c>
      <c r="K145" s="124">
        <f t="shared" si="63"/>
        <v>8069.5749999999998</v>
      </c>
      <c r="L145" s="384"/>
      <c r="M145" s="117"/>
    </row>
    <row r="146" spans="1:18" ht="75" customHeight="1">
      <c r="A146" s="377"/>
      <c r="B146" s="378"/>
      <c r="C146" s="378"/>
      <c r="D146" s="379"/>
      <c r="E146" s="295"/>
      <c r="F146" s="325"/>
      <c r="G146" s="166" t="s">
        <v>96</v>
      </c>
      <c r="H146" s="124">
        <f>H120</f>
        <v>1132.2</v>
      </c>
      <c r="I146" s="124">
        <f t="shared" ref="I146:K146" si="64">I120</f>
        <v>1132.2</v>
      </c>
      <c r="J146" s="124">
        <f t="shared" si="64"/>
        <v>0</v>
      </c>
      <c r="K146" s="124">
        <f t="shared" si="64"/>
        <v>0</v>
      </c>
      <c r="L146" s="384"/>
      <c r="M146" s="117"/>
    </row>
    <row r="147" spans="1:18" ht="75" customHeight="1">
      <c r="A147" s="377"/>
      <c r="B147" s="378"/>
      <c r="C147" s="378"/>
      <c r="D147" s="379"/>
      <c r="E147" s="45" t="s">
        <v>80</v>
      </c>
      <c r="F147" s="325"/>
      <c r="G147" s="268" t="s">
        <v>450</v>
      </c>
      <c r="H147" s="111">
        <f>H25</f>
        <v>5916.0000000000009</v>
      </c>
      <c r="I147" s="111">
        <f t="shared" ref="I147:K147" si="65">I25</f>
        <v>1511</v>
      </c>
      <c r="J147" s="111">
        <f t="shared" si="65"/>
        <v>2122.1999999999998</v>
      </c>
      <c r="K147" s="111">
        <f t="shared" si="65"/>
        <v>2282.7999999999997</v>
      </c>
      <c r="L147" s="384"/>
      <c r="M147" s="117"/>
    </row>
    <row r="148" spans="1:18" ht="75" customHeight="1">
      <c r="A148" s="377"/>
      <c r="B148" s="378"/>
      <c r="C148" s="378"/>
      <c r="D148" s="379"/>
      <c r="E148" s="139" t="s">
        <v>81</v>
      </c>
      <c r="F148" s="325"/>
      <c r="G148" s="268" t="s">
        <v>450</v>
      </c>
      <c r="H148" s="111">
        <f>H26</f>
        <v>6357.5099999999993</v>
      </c>
      <c r="I148" s="111">
        <f t="shared" ref="I148:K148" si="66">I26</f>
        <v>1388.61</v>
      </c>
      <c r="J148" s="111">
        <f t="shared" si="66"/>
        <v>2475.6000000000004</v>
      </c>
      <c r="K148" s="111">
        <f t="shared" si="66"/>
        <v>2493.3000000000002</v>
      </c>
      <c r="L148" s="384"/>
      <c r="M148" s="117"/>
    </row>
    <row r="149" spans="1:18" ht="75" customHeight="1">
      <c r="A149" s="380"/>
      <c r="B149" s="381"/>
      <c r="C149" s="381"/>
      <c r="D149" s="382"/>
      <c r="E149" s="139" t="s">
        <v>426</v>
      </c>
      <c r="F149" s="326"/>
      <c r="G149" s="268" t="s">
        <v>450</v>
      </c>
      <c r="H149" s="111">
        <f>H104</f>
        <v>3000</v>
      </c>
      <c r="I149" s="111">
        <f t="shared" ref="I149:K149" si="67">I104</f>
        <v>3000</v>
      </c>
      <c r="J149" s="111">
        <f t="shared" si="67"/>
        <v>0</v>
      </c>
      <c r="K149" s="111">
        <f t="shared" si="67"/>
        <v>0</v>
      </c>
      <c r="L149" s="385"/>
      <c r="M149" s="117"/>
    </row>
    <row r="150" spans="1:18" ht="48" customHeight="1">
      <c r="A150" s="342" t="s">
        <v>224</v>
      </c>
      <c r="B150" s="343"/>
      <c r="C150" s="343"/>
      <c r="D150" s="343"/>
      <c r="E150" s="343"/>
      <c r="F150" s="343"/>
      <c r="G150" s="343"/>
      <c r="H150" s="343"/>
      <c r="I150" s="343"/>
      <c r="J150" s="343"/>
      <c r="K150" s="343"/>
      <c r="L150" s="344"/>
    </row>
    <row r="151" spans="1:18" ht="310.5" customHeight="1">
      <c r="A151" s="369" t="s">
        <v>233</v>
      </c>
      <c r="B151" s="348" t="s">
        <v>225</v>
      </c>
      <c r="C151" s="370" t="s">
        <v>244</v>
      </c>
      <c r="D151" s="342" t="s">
        <v>367</v>
      </c>
      <c r="E151" s="343"/>
      <c r="F151" s="343"/>
      <c r="G151" s="344"/>
      <c r="H151" s="111">
        <f>SUM(H152:H153)</f>
        <v>16126.574089599999</v>
      </c>
      <c r="I151" s="111">
        <f>SUM(I152:I153)</f>
        <v>5194</v>
      </c>
      <c r="J151" s="111">
        <f>SUM(J152:J153)</f>
        <v>5234.409599999999</v>
      </c>
      <c r="K151" s="111">
        <f>SUM(K152:K153)</f>
        <v>5698.1644895999998</v>
      </c>
      <c r="L151" s="333" t="s">
        <v>288</v>
      </c>
    </row>
    <row r="152" spans="1:18" ht="179.25" customHeight="1">
      <c r="A152" s="369"/>
      <c r="B152" s="348"/>
      <c r="C152" s="370"/>
      <c r="D152" s="25" t="s">
        <v>33</v>
      </c>
      <c r="E152" s="189" t="s">
        <v>80</v>
      </c>
      <c r="F152" s="338" t="s">
        <v>223</v>
      </c>
      <c r="G152" s="338" t="s">
        <v>450</v>
      </c>
      <c r="H152" s="106">
        <f>I152+J152+K152</f>
        <v>7318.1826335999995</v>
      </c>
      <c r="I152" s="107">
        <v>2331.3000000000002</v>
      </c>
      <c r="J152" s="107">
        <v>2387.7535999999996</v>
      </c>
      <c r="K152" s="107">
        <v>2599.1290335999997</v>
      </c>
      <c r="L152" s="333"/>
      <c r="M152" s="107">
        <f>J151+J158-J159+J154+J18+J21</f>
        <v>15183.8</v>
      </c>
      <c r="N152" s="190">
        <v>5600</v>
      </c>
      <c r="O152" s="8">
        <v>5975.2</v>
      </c>
      <c r="Q152" s="191">
        <f>N152-J160</f>
        <v>2387.7535999999996</v>
      </c>
      <c r="R152" s="191">
        <f>O152-K160</f>
        <v>2599.1290335999997</v>
      </c>
    </row>
    <row r="153" spans="1:18" ht="88.5" customHeight="1">
      <c r="A153" s="369"/>
      <c r="B153" s="348"/>
      <c r="C153" s="370"/>
      <c r="D153" s="25" t="s">
        <v>33</v>
      </c>
      <c r="E153" s="189" t="s">
        <v>81</v>
      </c>
      <c r="F153" s="338"/>
      <c r="G153" s="338"/>
      <c r="H153" s="106">
        <f>I153+J153+K153</f>
        <v>8808.3914559999994</v>
      </c>
      <c r="I153" s="107">
        <v>2862.7</v>
      </c>
      <c r="J153" s="107">
        <v>2846.6559999999999</v>
      </c>
      <c r="K153" s="107">
        <v>3099.0354559999996</v>
      </c>
      <c r="L153" s="333"/>
      <c r="M153" s="107">
        <f>J154+J18</f>
        <v>2070</v>
      </c>
      <c r="N153" s="190">
        <v>6700</v>
      </c>
      <c r="O153" s="8">
        <v>7148.9</v>
      </c>
      <c r="Q153" s="191">
        <f>N153-J161</f>
        <v>2846.6559999999999</v>
      </c>
      <c r="R153" s="191">
        <f>O153-K161</f>
        <v>3099.0354559999996</v>
      </c>
    </row>
    <row r="154" spans="1:18" s="157" customFormat="1" ht="75" customHeight="1">
      <c r="A154" s="369"/>
      <c r="B154" s="348"/>
      <c r="C154" s="371" t="s">
        <v>245</v>
      </c>
      <c r="D154" s="368" t="s">
        <v>368</v>
      </c>
      <c r="E154" s="368"/>
      <c r="F154" s="368"/>
      <c r="G154" s="368"/>
      <c r="H154" s="106">
        <f>H155+H156</f>
        <v>2688.9522999999999</v>
      </c>
      <c r="I154" s="106">
        <f>I155+I156</f>
        <v>833.40000000000009</v>
      </c>
      <c r="J154" s="106">
        <f t="shared" ref="J154:K154" si="68">J155+J156</f>
        <v>900.7</v>
      </c>
      <c r="K154" s="106">
        <f t="shared" si="68"/>
        <v>954.85230000000001</v>
      </c>
      <c r="L154" s="370" t="s">
        <v>46</v>
      </c>
      <c r="M154" s="119"/>
      <c r="N154" s="157">
        <v>6700</v>
      </c>
      <c r="O154" s="157">
        <v>7148.9</v>
      </c>
    </row>
    <row r="155" spans="1:18" ht="75" customHeight="1">
      <c r="A155" s="369"/>
      <c r="B155" s="348"/>
      <c r="C155" s="372"/>
      <c r="D155" s="25" t="s">
        <v>33</v>
      </c>
      <c r="E155" s="139" t="s">
        <v>80</v>
      </c>
      <c r="F155" s="338" t="s">
        <v>223</v>
      </c>
      <c r="G155" s="338" t="s">
        <v>450</v>
      </c>
      <c r="H155" s="106">
        <f t="shared" ref="H155:H156" si="69">I155+J155+K155</f>
        <v>1540</v>
      </c>
      <c r="I155" s="107">
        <v>478.8</v>
      </c>
      <c r="J155" s="107">
        <v>513.4</v>
      </c>
      <c r="K155" s="107">
        <v>547.79999999999995</v>
      </c>
      <c r="L155" s="370"/>
    </row>
    <row r="156" spans="1:18" ht="87.75" customHeight="1">
      <c r="A156" s="369"/>
      <c r="B156" s="348"/>
      <c r="C156" s="373"/>
      <c r="D156" s="25" t="s">
        <v>33</v>
      </c>
      <c r="E156" s="160" t="s">
        <v>81</v>
      </c>
      <c r="F156" s="338"/>
      <c r="G156" s="338"/>
      <c r="H156" s="106">
        <f t="shared" si="69"/>
        <v>1148.9523000000002</v>
      </c>
      <c r="I156" s="107">
        <v>354.6</v>
      </c>
      <c r="J156" s="107">
        <v>387.3</v>
      </c>
      <c r="K156" s="107">
        <f>J156*1.051</f>
        <v>407.0523</v>
      </c>
      <c r="L156" s="370"/>
    </row>
    <row r="157" spans="1:18" ht="158.25" customHeight="1">
      <c r="A157" s="369"/>
      <c r="B157" s="348"/>
      <c r="C157" s="172" t="s">
        <v>246</v>
      </c>
      <c r="D157" s="192" t="s">
        <v>29</v>
      </c>
      <c r="E157" s="139" t="s">
        <v>75</v>
      </c>
      <c r="F157" s="171" t="s">
        <v>223</v>
      </c>
      <c r="G157" s="265" t="s">
        <v>450</v>
      </c>
      <c r="H157" s="106">
        <f t="shared" ref="H157" si="70">I157+J157+K157</f>
        <v>900</v>
      </c>
      <c r="I157" s="107">
        <v>900</v>
      </c>
      <c r="J157" s="107"/>
      <c r="K157" s="107"/>
      <c r="L157" s="335" t="s">
        <v>72</v>
      </c>
    </row>
    <row r="158" spans="1:18" ht="75" customHeight="1">
      <c r="A158" s="369"/>
      <c r="B158" s="348"/>
      <c r="C158" s="330" t="s">
        <v>247</v>
      </c>
      <c r="D158" s="368" t="s">
        <v>369</v>
      </c>
      <c r="E158" s="368"/>
      <c r="F158" s="368"/>
      <c r="G158" s="368"/>
      <c r="H158" s="106">
        <f>SUM(H159:H161)</f>
        <v>25082.925910400001</v>
      </c>
      <c r="I158" s="106">
        <f>SUM(I159:I161)</f>
        <v>7490.9</v>
      </c>
      <c r="J158" s="106">
        <f t="shared" ref="J158:K158" si="71">SUM(J159:J161)</f>
        <v>8565.590400000001</v>
      </c>
      <c r="K158" s="106">
        <f t="shared" si="71"/>
        <v>9026.4355104000006</v>
      </c>
      <c r="L158" s="336"/>
    </row>
    <row r="159" spans="1:18" ht="75" customHeight="1">
      <c r="A159" s="369"/>
      <c r="B159" s="348"/>
      <c r="C159" s="331"/>
      <c r="D159" s="29" t="s">
        <v>29</v>
      </c>
      <c r="E159" s="139" t="s">
        <v>75</v>
      </c>
      <c r="F159" s="362" t="s">
        <v>17</v>
      </c>
      <c r="G159" s="338" t="s">
        <v>450</v>
      </c>
      <c r="H159" s="106">
        <f>I159+J159+K159</f>
        <v>3900.5</v>
      </c>
      <c r="I159" s="107">
        <f>600+200</f>
        <v>800</v>
      </c>
      <c r="J159" s="107">
        <v>1500</v>
      </c>
      <c r="K159" s="107">
        <v>1600.5</v>
      </c>
      <c r="L159" s="336"/>
    </row>
    <row r="160" spans="1:18" ht="75" customHeight="1">
      <c r="A160" s="369"/>
      <c r="B160" s="348"/>
      <c r="C160" s="331"/>
      <c r="D160" s="25" t="s">
        <v>36</v>
      </c>
      <c r="E160" s="139" t="s">
        <v>80</v>
      </c>
      <c r="F160" s="362"/>
      <c r="G160" s="338"/>
      <c r="H160" s="106">
        <f>I160+J160+K160</f>
        <v>9630.2173664000002</v>
      </c>
      <c r="I160" s="107">
        <v>3041.9</v>
      </c>
      <c r="J160" s="107">
        <v>3212.2464000000004</v>
      </c>
      <c r="K160" s="107">
        <v>3376.0709664000001</v>
      </c>
      <c r="L160" s="336"/>
    </row>
    <row r="161" spans="1:13" ht="75" customHeight="1">
      <c r="A161" s="369"/>
      <c r="B161" s="348"/>
      <c r="C161" s="332"/>
      <c r="D161" s="25" t="s">
        <v>36</v>
      </c>
      <c r="E161" s="160" t="s">
        <v>81</v>
      </c>
      <c r="F161" s="362"/>
      <c r="G161" s="338"/>
      <c r="H161" s="106">
        <f>I161+J161+K161</f>
        <v>11552.208544000001</v>
      </c>
      <c r="I161" s="107">
        <v>3649</v>
      </c>
      <c r="J161" s="107">
        <v>3853.3440000000001</v>
      </c>
      <c r="K161" s="107">
        <v>4049.864544</v>
      </c>
      <c r="L161" s="336"/>
    </row>
    <row r="162" spans="1:13" ht="179.25" customHeight="1">
      <c r="A162" s="369"/>
      <c r="B162" s="348"/>
      <c r="C162" s="39" t="s">
        <v>248</v>
      </c>
      <c r="D162" s="29" t="s">
        <v>29</v>
      </c>
      <c r="E162" s="139" t="s">
        <v>75</v>
      </c>
      <c r="F162" s="362"/>
      <c r="G162" s="338"/>
      <c r="H162" s="106">
        <f>I162+J162+K162</f>
        <v>420</v>
      </c>
      <c r="I162" s="107">
        <v>420</v>
      </c>
      <c r="J162" s="107"/>
      <c r="K162" s="107"/>
      <c r="L162" s="337"/>
    </row>
    <row r="163" spans="1:13" ht="75" customHeight="1">
      <c r="A163" s="369"/>
      <c r="B163" s="348"/>
      <c r="C163" s="333" t="s">
        <v>249</v>
      </c>
      <c r="D163" s="368" t="s">
        <v>370</v>
      </c>
      <c r="E163" s="368"/>
      <c r="F163" s="368"/>
      <c r="G163" s="368"/>
      <c r="H163" s="106">
        <f>H164+H165</f>
        <v>5857.5</v>
      </c>
      <c r="I163" s="106">
        <f>I164+I165</f>
        <v>1920.9</v>
      </c>
      <c r="J163" s="106">
        <f>J164+J165</f>
        <v>1906.6</v>
      </c>
      <c r="K163" s="106">
        <f t="shared" ref="K163" si="72">K164+K165</f>
        <v>2030</v>
      </c>
      <c r="L163" s="333" t="s">
        <v>107</v>
      </c>
    </row>
    <row r="164" spans="1:13" ht="102" customHeight="1">
      <c r="A164" s="369"/>
      <c r="B164" s="348"/>
      <c r="C164" s="333"/>
      <c r="D164" s="314" t="s">
        <v>33</v>
      </c>
      <c r="E164" s="139" t="s">
        <v>76</v>
      </c>
      <c r="F164" s="362" t="s">
        <v>223</v>
      </c>
      <c r="G164" s="338" t="s">
        <v>450</v>
      </c>
      <c r="H164" s="106">
        <f t="shared" ref="H164:H165" si="73">I164+J164+K164</f>
        <v>1745.1</v>
      </c>
      <c r="I164" s="107">
        <v>573.9</v>
      </c>
      <c r="J164" s="107">
        <v>566.6</v>
      </c>
      <c r="K164" s="107">
        <v>604.6</v>
      </c>
      <c r="L164" s="333"/>
    </row>
    <row r="165" spans="1:13" ht="75" customHeight="1">
      <c r="A165" s="369"/>
      <c r="B165" s="348"/>
      <c r="C165" s="333"/>
      <c r="D165" s="314"/>
      <c r="E165" s="139" t="s">
        <v>78</v>
      </c>
      <c r="F165" s="362"/>
      <c r="G165" s="338"/>
      <c r="H165" s="106">
        <f t="shared" si="73"/>
        <v>4112.3999999999996</v>
      </c>
      <c r="I165" s="107">
        <v>1347</v>
      </c>
      <c r="J165" s="107">
        <v>1340</v>
      </c>
      <c r="K165" s="107">
        <v>1425.4</v>
      </c>
      <c r="L165" s="333"/>
    </row>
    <row r="166" spans="1:13" ht="135" customHeight="1">
      <c r="A166" s="369"/>
      <c r="B166" s="348"/>
      <c r="C166" s="139" t="s">
        <v>250</v>
      </c>
      <c r="D166" s="193" t="s">
        <v>29</v>
      </c>
      <c r="E166" s="139" t="s">
        <v>77</v>
      </c>
      <c r="F166" s="194" t="s">
        <v>223</v>
      </c>
      <c r="G166" s="266" t="s">
        <v>450</v>
      </c>
      <c r="H166" s="106">
        <f>I166+J166+K166</f>
        <v>533.4</v>
      </c>
      <c r="I166" s="107">
        <v>120</v>
      </c>
      <c r="J166" s="107">
        <v>200</v>
      </c>
      <c r="K166" s="107">
        <v>213.4</v>
      </c>
      <c r="L166" s="172" t="s">
        <v>108</v>
      </c>
    </row>
    <row r="167" spans="1:13" ht="75" customHeight="1">
      <c r="A167" s="369"/>
      <c r="B167" s="348"/>
      <c r="C167" s="334" t="s">
        <v>289</v>
      </c>
      <c r="D167" s="368" t="s">
        <v>371</v>
      </c>
      <c r="E167" s="368"/>
      <c r="F167" s="368"/>
      <c r="G167" s="368"/>
      <c r="H167" s="106">
        <f>H168+H169+H170</f>
        <v>11499.719000000001</v>
      </c>
      <c r="I167" s="106">
        <f>I168+I169+I170</f>
        <v>11499.719000000001</v>
      </c>
      <c r="J167" s="106">
        <f t="shared" ref="J167:K167" si="74">J168+J169+J170</f>
        <v>0</v>
      </c>
      <c r="K167" s="106">
        <f t="shared" si="74"/>
        <v>0</v>
      </c>
      <c r="L167" s="370" t="s">
        <v>69</v>
      </c>
    </row>
    <row r="168" spans="1:13" ht="189.75" customHeight="1">
      <c r="A168" s="369"/>
      <c r="B168" s="348"/>
      <c r="C168" s="334"/>
      <c r="D168" s="314" t="s">
        <v>34</v>
      </c>
      <c r="E168" s="333" t="s">
        <v>223</v>
      </c>
      <c r="F168" s="386"/>
      <c r="G168" s="135" t="s">
        <v>99</v>
      </c>
      <c r="H168" s="106">
        <f>I168+J168+K168</f>
        <v>1490.1</v>
      </c>
      <c r="I168" s="107">
        <v>1490.1</v>
      </c>
      <c r="J168" s="112">
        <v>0</v>
      </c>
      <c r="K168" s="107">
        <v>0</v>
      </c>
      <c r="L168" s="370"/>
    </row>
    <row r="169" spans="1:13" ht="204" customHeight="1">
      <c r="A169" s="369"/>
      <c r="B169" s="348"/>
      <c r="C169" s="334"/>
      <c r="D169" s="314"/>
      <c r="E169" s="333"/>
      <c r="F169" s="386"/>
      <c r="G169" s="135" t="s">
        <v>100</v>
      </c>
      <c r="H169" s="106">
        <f>I169+J169+K169</f>
        <v>6609.6190000000006</v>
      </c>
      <c r="I169" s="107">
        <f>4342.569+2267.05</f>
        <v>6609.6190000000006</v>
      </c>
      <c r="J169" s="112">
        <v>0</v>
      </c>
      <c r="K169" s="107">
        <v>0</v>
      </c>
      <c r="L169" s="370"/>
    </row>
    <row r="170" spans="1:13" ht="85.5" customHeight="1">
      <c r="A170" s="369"/>
      <c r="B170" s="348"/>
      <c r="C170" s="334"/>
      <c r="D170" s="314"/>
      <c r="E170" s="333"/>
      <c r="F170" s="386"/>
      <c r="G170" s="265" t="s">
        <v>452</v>
      </c>
      <c r="H170" s="106">
        <f>I170+J170+K170</f>
        <v>3400</v>
      </c>
      <c r="I170" s="107">
        <f>1600+800+1000</f>
        <v>3400</v>
      </c>
      <c r="J170" s="107">
        <v>0</v>
      </c>
      <c r="K170" s="107">
        <v>0</v>
      </c>
      <c r="L170" s="370"/>
    </row>
    <row r="171" spans="1:13" ht="75" customHeight="1">
      <c r="A171" s="369"/>
      <c r="B171" s="348"/>
      <c r="C171" s="333" t="s">
        <v>290</v>
      </c>
      <c r="D171" s="342" t="s">
        <v>372</v>
      </c>
      <c r="E171" s="343"/>
      <c r="F171" s="343"/>
      <c r="G171" s="344"/>
      <c r="H171" s="106">
        <f>SUM(H172:H176)</f>
        <v>2915.16</v>
      </c>
      <c r="I171" s="106">
        <f>SUM(I172:I176)</f>
        <v>789.51</v>
      </c>
      <c r="J171" s="106">
        <f t="shared" ref="J171:K171" si="75">SUM(J172:J176)</f>
        <v>1030.3</v>
      </c>
      <c r="K171" s="106">
        <f t="shared" si="75"/>
        <v>1095.3499999999999</v>
      </c>
      <c r="L171" s="333" t="s">
        <v>51</v>
      </c>
    </row>
    <row r="172" spans="1:13" s="157" customFormat="1" ht="75" customHeight="1">
      <c r="A172" s="369"/>
      <c r="B172" s="348"/>
      <c r="C172" s="333"/>
      <c r="D172" s="387" t="s">
        <v>29</v>
      </c>
      <c r="E172" s="370" t="s">
        <v>82</v>
      </c>
      <c r="F172" s="362" t="s">
        <v>17</v>
      </c>
      <c r="G172" s="265" t="s">
        <v>450</v>
      </c>
      <c r="H172" s="106">
        <f t="shared" ref="H172:H176" si="76">I172+J172+K172</f>
        <v>1045.1100000000001</v>
      </c>
      <c r="I172" s="107">
        <f>307.81</f>
        <v>307.81</v>
      </c>
      <c r="J172" s="107">
        <v>356.7</v>
      </c>
      <c r="K172" s="107">
        <v>380.6</v>
      </c>
      <c r="L172" s="333"/>
      <c r="M172" s="119"/>
    </row>
    <row r="173" spans="1:13" s="157" customFormat="1" ht="170.25" customHeight="1">
      <c r="A173" s="369"/>
      <c r="B173" s="348"/>
      <c r="C173" s="333"/>
      <c r="D173" s="388"/>
      <c r="E173" s="370"/>
      <c r="F173" s="362"/>
      <c r="G173" s="135" t="s">
        <v>99</v>
      </c>
      <c r="H173" s="106">
        <f t="shared" si="76"/>
        <v>0.6</v>
      </c>
      <c r="I173" s="107">
        <v>0.6</v>
      </c>
      <c r="J173" s="107"/>
      <c r="K173" s="107"/>
      <c r="L173" s="333"/>
      <c r="M173" s="119"/>
    </row>
    <row r="174" spans="1:13" s="157" customFormat="1" ht="75" customHeight="1">
      <c r="A174" s="369"/>
      <c r="B174" s="348"/>
      <c r="C174" s="333"/>
      <c r="D174" s="195" t="s">
        <v>29</v>
      </c>
      <c r="E174" s="139" t="s">
        <v>76</v>
      </c>
      <c r="F174" s="362"/>
      <c r="G174" s="338" t="s">
        <v>450</v>
      </c>
      <c r="H174" s="106">
        <f t="shared" si="76"/>
        <v>1126.2</v>
      </c>
      <c r="I174" s="107">
        <f>384-96</f>
        <v>288</v>
      </c>
      <c r="J174" s="107">
        <v>405.5</v>
      </c>
      <c r="K174" s="107">
        <v>432.7</v>
      </c>
      <c r="L174" s="333"/>
      <c r="M174" s="119"/>
    </row>
    <row r="175" spans="1:13" s="157" customFormat="1" ht="75" customHeight="1">
      <c r="A175" s="369"/>
      <c r="B175" s="348"/>
      <c r="C175" s="333"/>
      <c r="D175" s="195" t="s">
        <v>29</v>
      </c>
      <c r="E175" s="139" t="s">
        <v>77</v>
      </c>
      <c r="F175" s="362"/>
      <c r="G175" s="338"/>
      <c r="H175" s="106">
        <f t="shared" si="76"/>
        <v>689.05</v>
      </c>
      <c r="I175" s="107">
        <f>193.3-17</f>
        <v>176.3</v>
      </c>
      <c r="J175" s="107">
        <v>250</v>
      </c>
      <c r="K175" s="107">
        <f>J175*1.051</f>
        <v>262.75</v>
      </c>
      <c r="L175" s="333"/>
      <c r="M175" s="119"/>
    </row>
    <row r="176" spans="1:13" s="157" customFormat="1" ht="75" customHeight="1">
      <c r="A176" s="369"/>
      <c r="B176" s="348"/>
      <c r="C176" s="333"/>
      <c r="D176" s="195" t="s">
        <v>29</v>
      </c>
      <c r="E176" s="139" t="s">
        <v>75</v>
      </c>
      <c r="F176" s="362"/>
      <c r="G176" s="338"/>
      <c r="H176" s="106">
        <f t="shared" si="76"/>
        <v>54.2</v>
      </c>
      <c r="I176" s="107">
        <v>16.8</v>
      </c>
      <c r="J176" s="107">
        <v>18.100000000000001</v>
      </c>
      <c r="K176" s="107">
        <v>19.3</v>
      </c>
      <c r="L176" s="333"/>
      <c r="M176" s="119"/>
    </row>
    <row r="177" spans="1:13" ht="75" customHeight="1">
      <c r="A177" s="515" t="s">
        <v>66</v>
      </c>
      <c r="B177" s="516"/>
      <c r="C177" s="516"/>
      <c r="D177" s="516"/>
      <c r="E177" s="516"/>
      <c r="F177" s="517"/>
      <c r="G177" s="183"/>
      <c r="H177" s="106">
        <f>H151+H154+H157+H158+H162+H163+H166+H167+H171</f>
        <v>66024.231300000014</v>
      </c>
      <c r="I177" s="106">
        <f t="shared" ref="I177:K177" si="77">I151+I154+I157+I158+I162+I163+I166+I167+I171</f>
        <v>29168.429</v>
      </c>
      <c r="J177" s="106">
        <f t="shared" si="77"/>
        <v>17837.599999999999</v>
      </c>
      <c r="K177" s="106">
        <f t="shared" si="77"/>
        <v>19018.202300000001</v>
      </c>
      <c r="L177" s="305"/>
    </row>
    <row r="178" spans="1:13" s="157" customFormat="1" ht="75" customHeight="1">
      <c r="A178" s="493" t="s">
        <v>18</v>
      </c>
      <c r="B178" s="493"/>
      <c r="C178" s="147"/>
      <c r="D178" s="196"/>
      <c r="E178" s="197"/>
      <c r="F178" s="198"/>
      <c r="G178" s="185" t="s">
        <v>450</v>
      </c>
      <c r="H178" s="123">
        <f>H152+H153+H155+H156+H157+H159+H160+H161+H162+H164+H165+H166+H170+H172+H174+H175+H176</f>
        <v>57923.912299999996</v>
      </c>
      <c r="I178" s="123">
        <f t="shared" ref="I178:K178" si="78">I152+I153+I155+I156+I157+I159+I160+I161+I162+I164+I165+I166+I170+I172+I174+I175+I176</f>
        <v>21068.11</v>
      </c>
      <c r="J178" s="123">
        <f t="shared" si="78"/>
        <v>17837.600000000002</v>
      </c>
      <c r="K178" s="123">
        <f t="shared" si="78"/>
        <v>19018.202300000001</v>
      </c>
      <c r="L178" s="306"/>
      <c r="M178" s="119"/>
    </row>
    <row r="179" spans="1:13" s="157" customFormat="1" ht="181.5" customHeight="1">
      <c r="A179" s="199"/>
      <c r="B179" s="27"/>
      <c r="C179" s="197"/>
      <c r="D179" s="196"/>
      <c r="E179" s="197"/>
      <c r="F179" s="200"/>
      <c r="G179" s="186" t="s">
        <v>99</v>
      </c>
      <c r="H179" s="125">
        <f>H173+H168</f>
        <v>1490.6999999999998</v>
      </c>
      <c r="I179" s="125">
        <f t="shared" ref="I179:K179" si="79">I173+I168</f>
        <v>1490.6999999999998</v>
      </c>
      <c r="J179" s="125">
        <f t="shared" si="79"/>
        <v>0</v>
      </c>
      <c r="K179" s="125">
        <f t="shared" si="79"/>
        <v>0</v>
      </c>
      <c r="L179" s="306"/>
      <c r="M179" s="119"/>
    </row>
    <row r="180" spans="1:13" s="157" customFormat="1" ht="225" customHeight="1">
      <c r="A180" s="199"/>
      <c r="B180" s="27"/>
      <c r="C180" s="197"/>
      <c r="D180" s="196"/>
      <c r="E180" s="197"/>
      <c r="F180" s="200"/>
      <c r="G180" s="187" t="s">
        <v>100</v>
      </c>
      <c r="H180" s="125">
        <f>H169</f>
        <v>6609.6190000000006</v>
      </c>
      <c r="I180" s="125">
        <f t="shared" ref="I180:K180" si="80">I169</f>
        <v>6609.6190000000006</v>
      </c>
      <c r="J180" s="125">
        <f t="shared" si="80"/>
        <v>0</v>
      </c>
      <c r="K180" s="125">
        <f t="shared" si="80"/>
        <v>0</v>
      </c>
      <c r="L180" s="306"/>
      <c r="M180" s="119"/>
    </row>
    <row r="181" spans="1:13" s="157" customFormat="1" ht="75" customHeight="1">
      <c r="A181" s="348" t="s">
        <v>291</v>
      </c>
      <c r="B181" s="348"/>
      <c r="C181" s="348"/>
      <c r="D181" s="348"/>
      <c r="E181" s="317" t="s">
        <v>82</v>
      </c>
      <c r="F181" s="317"/>
      <c r="G181" s="201" t="s">
        <v>98</v>
      </c>
      <c r="H181" s="111">
        <f>SUM(H182:H183)</f>
        <v>1045.71</v>
      </c>
      <c r="I181" s="111">
        <f t="shared" ref="I181:K181" si="81">SUM(I182:I183)</f>
        <v>308.41000000000003</v>
      </c>
      <c r="J181" s="111">
        <f t="shared" si="81"/>
        <v>356.7</v>
      </c>
      <c r="K181" s="111">
        <f t="shared" si="81"/>
        <v>380.6</v>
      </c>
      <c r="L181" s="306"/>
      <c r="M181" s="119"/>
    </row>
    <row r="182" spans="1:13" s="157" customFormat="1" ht="75" customHeight="1">
      <c r="A182" s="348"/>
      <c r="B182" s="348"/>
      <c r="C182" s="348"/>
      <c r="D182" s="348"/>
      <c r="E182" s="317"/>
      <c r="F182" s="317"/>
      <c r="G182" s="183" t="s">
        <v>99</v>
      </c>
      <c r="H182" s="111">
        <f>H173</f>
        <v>0.6</v>
      </c>
      <c r="I182" s="111">
        <f t="shared" ref="I182:K182" si="82">I173</f>
        <v>0.6</v>
      </c>
      <c r="J182" s="111">
        <f t="shared" si="82"/>
        <v>0</v>
      </c>
      <c r="K182" s="111">
        <f t="shared" si="82"/>
        <v>0</v>
      </c>
      <c r="L182" s="306"/>
      <c r="M182" s="119"/>
    </row>
    <row r="183" spans="1:13" s="157" customFormat="1" ht="75" customHeight="1">
      <c r="A183" s="348"/>
      <c r="B183" s="348"/>
      <c r="C183" s="348"/>
      <c r="D183" s="348"/>
      <c r="E183" s="317"/>
      <c r="F183" s="317"/>
      <c r="G183" s="269" t="s">
        <v>450</v>
      </c>
      <c r="H183" s="111">
        <f>H172</f>
        <v>1045.1100000000001</v>
      </c>
      <c r="I183" s="111">
        <f t="shared" ref="I183:K183" si="83">I172</f>
        <v>307.81</v>
      </c>
      <c r="J183" s="111">
        <f>J172</f>
        <v>356.7</v>
      </c>
      <c r="K183" s="111">
        <f t="shared" si="83"/>
        <v>380.6</v>
      </c>
      <c r="L183" s="306"/>
      <c r="M183" s="119"/>
    </row>
    <row r="184" spans="1:13" ht="75" customHeight="1">
      <c r="A184" s="348"/>
      <c r="B184" s="348"/>
      <c r="C184" s="348"/>
      <c r="D184" s="348"/>
      <c r="E184" s="317" t="s">
        <v>76</v>
      </c>
      <c r="F184" s="317"/>
      <c r="G184" s="327" t="s">
        <v>450</v>
      </c>
      <c r="H184" s="111">
        <f>H174+H164</f>
        <v>2871.3</v>
      </c>
      <c r="I184" s="111">
        <f t="shared" ref="I184:K184" si="84">I174+I164</f>
        <v>861.9</v>
      </c>
      <c r="J184" s="111">
        <f t="shared" si="84"/>
        <v>972.1</v>
      </c>
      <c r="K184" s="111">
        <f t="shared" si="84"/>
        <v>1037.3</v>
      </c>
      <c r="L184" s="306"/>
      <c r="M184" s="117"/>
    </row>
    <row r="185" spans="1:13" ht="75" customHeight="1">
      <c r="A185" s="348"/>
      <c r="B185" s="348"/>
      <c r="C185" s="348"/>
      <c r="D185" s="348"/>
      <c r="E185" s="317" t="s">
        <v>77</v>
      </c>
      <c r="F185" s="317"/>
      <c r="G185" s="328"/>
      <c r="H185" s="111">
        <f>H175+H166</f>
        <v>1222.4499999999998</v>
      </c>
      <c r="I185" s="111">
        <f t="shared" ref="I185:K185" si="85">I175+I166</f>
        <v>296.3</v>
      </c>
      <c r="J185" s="111">
        <f t="shared" si="85"/>
        <v>450</v>
      </c>
      <c r="K185" s="111">
        <f t="shared" si="85"/>
        <v>476.15</v>
      </c>
      <c r="L185" s="306"/>
      <c r="M185" s="117"/>
    </row>
    <row r="186" spans="1:13" ht="75" customHeight="1">
      <c r="A186" s="348"/>
      <c r="B186" s="348"/>
      <c r="C186" s="348"/>
      <c r="D186" s="348"/>
      <c r="E186" s="317" t="s">
        <v>75</v>
      </c>
      <c r="F186" s="317"/>
      <c r="G186" s="328"/>
      <c r="H186" s="111">
        <f>H176+H162+H159+H157</f>
        <v>5274.7</v>
      </c>
      <c r="I186" s="111">
        <f t="shared" ref="I186:K186" si="86">I176+I162+I159+I157</f>
        <v>2136.8000000000002</v>
      </c>
      <c r="J186" s="111">
        <f t="shared" si="86"/>
        <v>1518.1</v>
      </c>
      <c r="K186" s="111">
        <f t="shared" si="86"/>
        <v>1619.8</v>
      </c>
      <c r="L186" s="306"/>
      <c r="M186" s="117"/>
    </row>
    <row r="187" spans="1:13" ht="75" customHeight="1">
      <c r="A187" s="348"/>
      <c r="B187" s="348"/>
      <c r="C187" s="348"/>
      <c r="D187" s="348"/>
      <c r="E187" s="345" t="s">
        <v>78</v>
      </c>
      <c r="F187" s="346"/>
      <c r="G187" s="328"/>
      <c r="H187" s="111">
        <f>H165</f>
        <v>4112.3999999999996</v>
      </c>
      <c r="I187" s="111">
        <f>I165</f>
        <v>1347</v>
      </c>
      <c r="J187" s="111">
        <f t="shared" ref="J187:K187" si="87">J165</f>
        <v>1340</v>
      </c>
      <c r="K187" s="111">
        <f t="shared" si="87"/>
        <v>1425.4</v>
      </c>
      <c r="L187" s="306"/>
      <c r="M187" s="117"/>
    </row>
    <row r="188" spans="1:13" ht="75" customHeight="1">
      <c r="A188" s="348"/>
      <c r="B188" s="348"/>
      <c r="C188" s="348"/>
      <c r="D188" s="348"/>
      <c r="E188" s="317" t="s">
        <v>80</v>
      </c>
      <c r="F188" s="317"/>
      <c r="G188" s="328"/>
      <c r="H188" s="111">
        <f>H152+H155+H160</f>
        <v>18488.400000000001</v>
      </c>
      <c r="I188" s="111">
        <f>I152+I155+I160</f>
        <v>5852</v>
      </c>
      <c r="J188" s="111">
        <f>J152+J155+J160</f>
        <v>6113.4</v>
      </c>
      <c r="K188" s="111">
        <f t="shared" ref="K188" si="88">K152+K155+K160</f>
        <v>6523</v>
      </c>
      <c r="L188" s="306"/>
      <c r="M188" s="117"/>
    </row>
    <row r="189" spans="1:13" ht="75" customHeight="1">
      <c r="A189" s="348"/>
      <c r="B189" s="348"/>
      <c r="C189" s="348"/>
      <c r="D189" s="348"/>
      <c r="E189" s="317" t="s">
        <v>81</v>
      </c>
      <c r="F189" s="317"/>
      <c r="G189" s="329"/>
      <c r="H189" s="111">
        <f>H153+H156+H161</f>
        <v>21509.552300000003</v>
      </c>
      <c r="I189" s="111">
        <f t="shared" ref="I189:K189" si="89">I153+I156+I161</f>
        <v>6866.2999999999993</v>
      </c>
      <c r="J189" s="111">
        <f t="shared" si="89"/>
        <v>7087.3</v>
      </c>
      <c r="K189" s="111">
        <f t="shared" si="89"/>
        <v>7555.952299999999</v>
      </c>
      <c r="L189" s="306"/>
      <c r="M189" s="117"/>
    </row>
    <row r="190" spans="1:13" ht="75" customHeight="1">
      <c r="A190" s="348"/>
      <c r="B190" s="348"/>
      <c r="C190" s="348"/>
      <c r="D190" s="348"/>
      <c r="E190" s="317" t="s">
        <v>54</v>
      </c>
      <c r="F190" s="317"/>
      <c r="G190" s="201" t="s">
        <v>98</v>
      </c>
      <c r="H190" s="106">
        <f>SUM(H191:H193)</f>
        <v>11499.719000000001</v>
      </c>
      <c r="I190" s="106">
        <f t="shared" ref="I190:K190" si="90">SUM(I191:I193)</f>
        <v>11499.719000000001</v>
      </c>
      <c r="J190" s="106">
        <f t="shared" si="90"/>
        <v>0</v>
      </c>
      <c r="K190" s="106">
        <f t="shared" si="90"/>
        <v>0</v>
      </c>
      <c r="L190" s="306"/>
      <c r="M190" s="117"/>
    </row>
    <row r="191" spans="1:13" ht="168.75" customHeight="1">
      <c r="A191" s="348"/>
      <c r="B191" s="348"/>
      <c r="C191" s="348"/>
      <c r="D191" s="348"/>
      <c r="E191" s="317"/>
      <c r="F191" s="317"/>
      <c r="G191" s="183" t="s">
        <v>99</v>
      </c>
      <c r="H191" s="106">
        <f>H168</f>
        <v>1490.1</v>
      </c>
      <c r="I191" s="106">
        <f>I168</f>
        <v>1490.1</v>
      </c>
      <c r="J191" s="106">
        <f t="shared" ref="J191:K191" si="91">J168</f>
        <v>0</v>
      </c>
      <c r="K191" s="106">
        <f t="shared" si="91"/>
        <v>0</v>
      </c>
      <c r="L191" s="306"/>
      <c r="M191" s="117"/>
    </row>
    <row r="192" spans="1:13" ht="227.25" customHeight="1">
      <c r="A192" s="348"/>
      <c r="B192" s="348"/>
      <c r="C192" s="348"/>
      <c r="D192" s="348"/>
      <c r="E192" s="317"/>
      <c r="F192" s="317"/>
      <c r="G192" s="183" t="s">
        <v>100</v>
      </c>
      <c r="H192" s="106">
        <f>H169</f>
        <v>6609.6190000000006</v>
      </c>
      <c r="I192" s="106">
        <f t="shared" ref="I192:K192" si="92">I169</f>
        <v>6609.6190000000006</v>
      </c>
      <c r="J192" s="106">
        <f t="shared" si="92"/>
        <v>0</v>
      </c>
      <c r="K192" s="106">
        <f t="shared" si="92"/>
        <v>0</v>
      </c>
      <c r="L192" s="306"/>
      <c r="M192" s="117"/>
    </row>
    <row r="193" spans="1:13" ht="75" customHeight="1">
      <c r="A193" s="348"/>
      <c r="B193" s="348"/>
      <c r="C193" s="348"/>
      <c r="D193" s="348"/>
      <c r="E193" s="317"/>
      <c r="F193" s="317"/>
      <c r="G193" s="269" t="s">
        <v>452</v>
      </c>
      <c r="H193" s="106">
        <f>H170</f>
        <v>3400</v>
      </c>
      <c r="I193" s="106">
        <f t="shared" ref="I193:K193" si="93">I170</f>
        <v>3400</v>
      </c>
      <c r="J193" s="106">
        <f t="shared" si="93"/>
        <v>0</v>
      </c>
      <c r="K193" s="106">
        <f t="shared" si="93"/>
        <v>0</v>
      </c>
      <c r="L193" s="347"/>
      <c r="M193" s="117"/>
    </row>
    <row r="194" spans="1:13" ht="75" customHeight="1">
      <c r="A194" s="512" t="s">
        <v>413</v>
      </c>
      <c r="B194" s="513"/>
      <c r="C194" s="513"/>
      <c r="D194" s="513"/>
      <c r="E194" s="513"/>
      <c r="F194" s="513"/>
      <c r="G194" s="513"/>
      <c r="H194" s="513"/>
      <c r="I194" s="513"/>
      <c r="J194" s="513"/>
      <c r="K194" s="513"/>
      <c r="L194" s="514"/>
    </row>
    <row r="195" spans="1:13" ht="167.25" customHeight="1">
      <c r="A195" s="315" t="s">
        <v>251</v>
      </c>
      <c r="B195" s="318" t="s">
        <v>226</v>
      </c>
      <c r="C195" s="169" t="s">
        <v>252</v>
      </c>
      <c r="D195" s="180" t="s">
        <v>33</v>
      </c>
      <c r="E195" s="202" t="s">
        <v>54</v>
      </c>
      <c r="F195" s="203"/>
      <c r="G195" s="267" t="s">
        <v>451</v>
      </c>
      <c r="H195" s="41">
        <f>I195+J195+K195</f>
        <v>0</v>
      </c>
      <c r="I195" s="126"/>
      <c r="J195" s="126"/>
      <c r="K195" s="126"/>
      <c r="L195" s="45" t="s">
        <v>344</v>
      </c>
    </row>
    <row r="196" spans="1:13" ht="184.5" customHeight="1">
      <c r="A196" s="316"/>
      <c r="B196" s="320"/>
      <c r="C196" s="169" t="s">
        <v>340</v>
      </c>
      <c r="D196" s="180" t="s">
        <v>33</v>
      </c>
      <c r="E196" s="202" t="s">
        <v>54</v>
      </c>
      <c r="F196" s="171"/>
      <c r="G196" s="267" t="s">
        <v>451</v>
      </c>
      <c r="H196" s="41">
        <f>I196+J196+K196</f>
        <v>0</v>
      </c>
      <c r="I196" s="126">
        <v>0</v>
      </c>
      <c r="J196" s="42"/>
      <c r="K196" s="42"/>
      <c r="L196" s="45" t="s">
        <v>341</v>
      </c>
    </row>
    <row r="197" spans="1:13" ht="75" customHeight="1">
      <c r="A197" s="204"/>
      <c r="B197" s="339"/>
      <c r="C197" s="340"/>
      <c r="D197" s="341"/>
      <c r="E197" s="138" t="s">
        <v>375</v>
      </c>
      <c r="F197" s="205"/>
      <c r="G197" s="267" t="s">
        <v>451</v>
      </c>
      <c r="H197" s="41">
        <f>H195+H196</f>
        <v>0</v>
      </c>
      <c r="I197" s="41">
        <f t="shared" ref="I197:K197" si="94">I195+I196</f>
        <v>0</v>
      </c>
      <c r="J197" s="41">
        <f t="shared" si="94"/>
        <v>0</v>
      </c>
      <c r="K197" s="41">
        <f t="shared" si="94"/>
        <v>0</v>
      </c>
      <c r="L197" s="45"/>
    </row>
    <row r="198" spans="1:13" ht="256.5" customHeight="1">
      <c r="A198" s="30" t="s">
        <v>253</v>
      </c>
      <c r="B198" s="44" t="s">
        <v>227</v>
      </c>
      <c r="C198" s="37" t="s">
        <v>255</v>
      </c>
      <c r="D198" s="29" t="s">
        <v>32</v>
      </c>
      <c r="E198" s="39" t="s">
        <v>17</v>
      </c>
      <c r="F198" s="46"/>
      <c r="G198" s="265" t="s">
        <v>450</v>
      </c>
      <c r="H198" s="41">
        <f>I198+J198+K198</f>
        <v>8931.2000000000007</v>
      </c>
      <c r="I198" s="42">
        <v>2894.2</v>
      </c>
      <c r="J198" s="42">
        <v>3049.3</v>
      </c>
      <c r="K198" s="42">
        <f>2931+56.7</f>
        <v>2987.7</v>
      </c>
      <c r="L198" s="45" t="s">
        <v>70</v>
      </c>
    </row>
    <row r="199" spans="1:13" ht="170.25" customHeight="1">
      <c r="A199" s="519" t="s">
        <v>254</v>
      </c>
      <c r="B199" s="348" t="s">
        <v>94</v>
      </c>
      <c r="C199" s="169" t="s">
        <v>256</v>
      </c>
      <c r="D199" s="29" t="s">
        <v>33</v>
      </c>
      <c r="E199" s="169" t="s">
        <v>54</v>
      </c>
      <c r="F199" s="171"/>
      <c r="G199" s="265" t="s">
        <v>450</v>
      </c>
      <c r="H199" s="206">
        <f>I199+J199+K199</f>
        <v>13488</v>
      </c>
      <c r="I199" s="42">
        <f>15739-1800-2951</f>
        <v>10988</v>
      </c>
      <c r="J199" s="42">
        <v>2500</v>
      </c>
      <c r="K199" s="42">
        <v>0</v>
      </c>
      <c r="L199" s="45" t="s">
        <v>374</v>
      </c>
    </row>
    <row r="200" spans="1:13" ht="75" customHeight="1">
      <c r="A200" s="519"/>
      <c r="B200" s="348"/>
      <c r="C200" s="370" t="s">
        <v>257</v>
      </c>
      <c r="D200" s="368" t="s">
        <v>373</v>
      </c>
      <c r="E200" s="368"/>
      <c r="F200" s="368"/>
      <c r="G200" s="368"/>
      <c r="H200" s="47">
        <f>H201+H202</f>
        <v>8346.89</v>
      </c>
      <c r="I200" s="43">
        <f t="shared" ref="I200:K200" si="95">I201+I202</f>
        <v>8346.89</v>
      </c>
      <c r="J200" s="43">
        <f t="shared" si="95"/>
        <v>0</v>
      </c>
      <c r="K200" s="43">
        <f t="shared" si="95"/>
        <v>0</v>
      </c>
      <c r="L200" s="294" t="s">
        <v>65</v>
      </c>
      <c r="M200" s="10"/>
    </row>
    <row r="201" spans="1:13" s="11" customFormat="1" ht="231.75" customHeight="1">
      <c r="A201" s="519"/>
      <c r="B201" s="348"/>
      <c r="C201" s="370"/>
      <c r="D201" s="25" t="s">
        <v>36</v>
      </c>
      <c r="E201" s="139" t="s">
        <v>80</v>
      </c>
      <c r="F201" s="135" t="s">
        <v>17</v>
      </c>
      <c r="G201" s="135" t="s">
        <v>100</v>
      </c>
      <c r="H201" s="47">
        <f t="shared" ref="H201:H208" si="96">I201+J201+K201</f>
        <v>2.5</v>
      </c>
      <c r="I201" s="42">
        <v>2.5</v>
      </c>
      <c r="J201" s="42"/>
      <c r="K201" s="42"/>
      <c r="L201" s="313"/>
    </row>
    <row r="202" spans="1:13" s="11" customFormat="1" ht="75" customHeight="1">
      <c r="A202" s="519"/>
      <c r="B202" s="348"/>
      <c r="C202" s="370"/>
      <c r="D202" s="526" t="s">
        <v>98</v>
      </c>
      <c r="E202" s="526"/>
      <c r="F202" s="526"/>
      <c r="G202" s="526"/>
      <c r="H202" s="47">
        <f>H203+H204+H206+H207+H208+H205</f>
        <v>8344.39</v>
      </c>
      <c r="I202" s="43">
        <f>I203+I204+I206+I207+I208+I205</f>
        <v>8344.39</v>
      </c>
      <c r="J202" s="43">
        <f t="shared" ref="J202:K202" si="97">J203+J204+J206+J207+J208</f>
        <v>0</v>
      </c>
      <c r="K202" s="43">
        <f t="shared" si="97"/>
        <v>0</v>
      </c>
      <c r="L202" s="313"/>
    </row>
    <row r="203" spans="1:13" s="11" customFormat="1" ht="75" customHeight="1">
      <c r="A203" s="519"/>
      <c r="B203" s="348"/>
      <c r="C203" s="370"/>
      <c r="D203" s="25" t="s">
        <v>36</v>
      </c>
      <c r="E203" s="139" t="s">
        <v>80</v>
      </c>
      <c r="F203" s="338" t="s">
        <v>17</v>
      </c>
      <c r="G203" s="338" t="s">
        <v>450</v>
      </c>
      <c r="H203" s="47">
        <f t="shared" si="96"/>
        <v>241.91</v>
      </c>
      <c r="I203" s="42">
        <f>50+51.31+140.6</f>
        <v>241.91</v>
      </c>
      <c r="J203" s="42"/>
      <c r="K203" s="42"/>
      <c r="L203" s="313"/>
    </row>
    <row r="204" spans="1:13" s="11" customFormat="1" ht="75" customHeight="1">
      <c r="A204" s="519"/>
      <c r="B204" s="348"/>
      <c r="C204" s="370"/>
      <c r="D204" s="25" t="s">
        <v>36</v>
      </c>
      <c r="E204" s="139" t="s">
        <v>81</v>
      </c>
      <c r="F204" s="338"/>
      <c r="G204" s="338"/>
      <c r="H204" s="47">
        <f t="shared" si="96"/>
        <v>187.78</v>
      </c>
      <c r="I204" s="42">
        <f>50+43.38+94.4</f>
        <v>187.78</v>
      </c>
      <c r="J204" s="42"/>
      <c r="K204" s="42"/>
      <c r="L204" s="313"/>
    </row>
    <row r="205" spans="1:13" s="11" customFormat="1" ht="75" customHeight="1">
      <c r="A205" s="519"/>
      <c r="B205" s="348"/>
      <c r="C205" s="370"/>
      <c r="D205" s="25" t="s">
        <v>36</v>
      </c>
      <c r="E205" s="139" t="s">
        <v>82</v>
      </c>
      <c r="F205" s="338"/>
      <c r="G205" s="338"/>
      <c r="H205" s="47">
        <f t="shared" si="96"/>
        <v>206.8</v>
      </c>
      <c r="I205" s="42">
        <v>206.8</v>
      </c>
      <c r="J205" s="42"/>
      <c r="K205" s="42"/>
      <c r="L205" s="313"/>
    </row>
    <row r="206" spans="1:13" s="11" customFormat="1" ht="75" customHeight="1">
      <c r="A206" s="519"/>
      <c r="B206" s="348"/>
      <c r="C206" s="370"/>
      <c r="D206" s="25" t="s">
        <v>29</v>
      </c>
      <c r="E206" s="139" t="s">
        <v>76</v>
      </c>
      <c r="F206" s="338"/>
      <c r="G206" s="338"/>
      <c r="H206" s="47">
        <f t="shared" si="96"/>
        <v>1422.3</v>
      </c>
      <c r="I206" s="42">
        <f>50+571.7+307.8+492.8</f>
        <v>1422.3</v>
      </c>
      <c r="J206" s="42"/>
      <c r="K206" s="42"/>
      <c r="L206" s="313"/>
    </row>
    <row r="207" spans="1:13" s="11" customFormat="1" ht="75" customHeight="1">
      <c r="A207" s="519"/>
      <c r="B207" s="348"/>
      <c r="C207" s="370"/>
      <c r="D207" s="25" t="s">
        <v>29</v>
      </c>
      <c r="E207" s="139" t="s">
        <v>77</v>
      </c>
      <c r="F207" s="338"/>
      <c r="G207" s="338"/>
      <c r="H207" s="47">
        <f t="shared" si="96"/>
        <v>4962.2</v>
      </c>
      <c r="I207" s="42">
        <f>150+1176.7+3635.5</f>
        <v>4962.2</v>
      </c>
      <c r="J207" s="42"/>
      <c r="K207" s="42"/>
      <c r="L207" s="313"/>
    </row>
    <row r="208" spans="1:13" s="11" customFormat="1" ht="75" customHeight="1">
      <c r="A208" s="519"/>
      <c r="B208" s="348"/>
      <c r="C208" s="370"/>
      <c r="D208" s="25" t="s">
        <v>29</v>
      </c>
      <c r="E208" s="139" t="s">
        <v>75</v>
      </c>
      <c r="F208" s="338"/>
      <c r="G208" s="338"/>
      <c r="H208" s="47">
        <f t="shared" si="96"/>
        <v>1323.4</v>
      </c>
      <c r="I208" s="42">
        <v>1323.4</v>
      </c>
      <c r="J208" s="42"/>
      <c r="K208" s="42"/>
      <c r="L208" s="295"/>
    </row>
    <row r="209" spans="1:13" ht="75" customHeight="1">
      <c r="A209" s="519"/>
      <c r="B209" s="518"/>
      <c r="C209" s="518"/>
      <c r="D209" s="518"/>
      <c r="E209" s="207" t="s">
        <v>376</v>
      </c>
      <c r="F209" s="193"/>
      <c r="G209" s="193"/>
      <c r="H209" s="115">
        <f>H199+H200</f>
        <v>21834.89</v>
      </c>
      <c r="I209" s="115">
        <f>I199+I200</f>
        <v>19334.89</v>
      </c>
      <c r="J209" s="115">
        <f>J199+J200</f>
        <v>2500</v>
      </c>
      <c r="K209" s="115">
        <f t="shared" ref="K209" si="98">K199+K200</f>
        <v>0</v>
      </c>
      <c r="L209" s="305"/>
    </row>
    <row r="210" spans="1:13" ht="139.5" customHeight="1">
      <c r="A210" s="520"/>
      <c r="B210" s="521"/>
      <c r="C210" s="521"/>
      <c r="D210" s="521"/>
      <c r="E210" s="521"/>
      <c r="F210" s="522"/>
      <c r="G210" s="193" t="s">
        <v>450</v>
      </c>
      <c r="H210" s="115">
        <f>H199+H202</f>
        <v>21832.39</v>
      </c>
      <c r="I210" s="127">
        <f>I199+I202</f>
        <v>19332.39</v>
      </c>
      <c r="J210" s="127">
        <f t="shared" ref="J210:K210" si="99">J199+J202</f>
        <v>2500</v>
      </c>
      <c r="K210" s="127">
        <f t="shared" si="99"/>
        <v>0</v>
      </c>
      <c r="L210" s="306"/>
    </row>
    <row r="211" spans="1:13" ht="210.75" customHeight="1">
      <c r="A211" s="523"/>
      <c r="B211" s="524"/>
      <c r="C211" s="524"/>
      <c r="D211" s="524"/>
      <c r="E211" s="524"/>
      <c r="F211" s="525"/>
      <c r="G211" s="193" t="s">
        <v>100</v>
      </c>
      <c r="H211" s="208">
        <f>H201</f>
        <v>2.5</v>
      </c>
      <c r="I211" s="128">
        <f t="shared" ref="I211:K211" si="100">I201</f>
        <v>2.5</v>
      </c>
      <c r="J211" s="128">
        <f t="shared" si="100"/>
        <v>0</v>
      </c>
      <c r="K211" s="128">
        <f t="shared" si="100"/>
        <v>0</v>
      </c>
      <c r="L211" s="347"/>
    </row>
    <row r="212" spans="1:13" ht="60" customHeight="1">
      <c r="A212" s="515" t="s">
        <v>71</v>
      </c>
      <c r="B212" s="516"/>
      <c r="C212" s="516"/>
      <c r="D212" s="516"/>
      <c r="E212" s="516"/>
      <c r="F212" s="517"/>
      <c r="G212" s="209"/>
      <c r="H212" s="106">
        <f>H197+H198+H209</f>
        <v>30766.09</v>
      </c>
      <c r="I212" s="106">
        <f>I197+I198+I209</f>
        <v>22229.09</v>
      </c>
      <c r="J212" s="106">
        <f>J197+J198+J209</f>
        <v>5549.3</v>
      </c>
      <c r="K212" s="106">
        <f t="shared" ref="K212" si="101">K197+K198+K209</f>
        <v>2987.7</v>
      </c>
      <c r="L212" s="457"/>
    </row>
    <row r="213" spans="1:13" s="157" customFormat="1" ht="99.75" customHeight="1">
      <c r="A213" s="493" t="s">
        <v>18</v>
      </c>
      <c r="B213" s="493"/>
      <c r="C213" s="147"/>
      <c r="D213" s="196"/>
      <c r="E213" s="197"/>
      <c r="F213" s="198"/>
      <c r="G213" s="185" t="s">
        <v>450</v>
      </c>
      <c r="H213" s="123">
        <f>H210+H198+H197</f>
        <v>30763.59</v>
      </c>
      <c r="I213" s="123">
        <f t="shared" ref="I213:K213" si="102">I210+I198+I197</f>
        <v>22226.59</v>
      </c>
      <c r="J213" s="123">
        <f>J210+J198+J197</f>
        <v>5549.3</v>
      </c>
      <c r="K213" s="123">
        <f t="shared" si="102"/>
        <v>2987.7</v>
      </c>
      <c r="L213" s="457"/>
      <c r="M213" s="119"/>
    </row>
    <row r="214" spans="1:13" s="157" customFormat="1" ht="267" customHeight="1">
      <c r="A214" s="210"/>
      <c r="B214" s="28"/>
      <c r="C214" s="147"/>
      <c r="D214" s="196"/>
      <c r="E214" s="197"/>
      <c r="F214" s="198"/>
      <c r="G214" s="187" t="s">
        <v>100</v>
      </c>
      <c r="H214" s="125">
        <f>H201</f>
        <v>2.5</v>
      </c>
      <c r="I214" s="125">
        <f t="shared" ref="I214:K214" si="103">I201</f>
        <v>2.5</v>
      </c>
      <c r="J214" s="125">
        <f t="shared" si="103"/>
        <v>0</v>
      </c>
      <c r="K214" s="125">
        <f t="shared" si="103"/>
        <v>0</v>
      </c>
      <c r="L214" s="457"/>
      <c r="M214" s="119"/>
    </row>
    <row r="215" spans="1:13" s="157" customFormat="1" ht="75" customHeight="1">
      <c r="A215" s="493" t="s">
        <v>95</v>
      </c>
      <c r="B215" s="493"/>
      <c r="C215" s="493"/>
      <c r="D215" s="494"/>
      <c r="E215" s="294" t="s">
        <v>80</v>
      </c>
      <c r="F215" s="324"/>
      <c r="G215" s="201" t="s">
        <v>98</v>
      </c>
      <c r="H215" s="111">
        <f>H216+H217</f>
        <v>244.41</v>
      </c>
      <c r="I215" s="111">
        <f t="shared" ref="I215:K215" si="104">I216+I217</f>
        <v>244.41</v>
      </c>
      <c r="J215" s="111">
        <f t="shared" si="104"/>
        <v>0</v>
      </c>
      <c r="K215" s="111">
        <f t="shared" si="104"/>
        <v>0</v>
      </c>
      <c r="L215" s="457"/>
      <c r="M215" s="119"/>
    </row>
    <row r="216" spans="1:13" s="157" customFormat="1" ht="244.5" customHeight="1">
      <c r="A216" s="496"/>
      <c r="B216" s="496"/>
      <c r="C216" s="496"/>
      <c r="D216" s="497"/>
      <c r="E216" s="313"/>
      <c r="F216" s="325"/>
      <c r="G216" s="183" t="s">
        <v>100</v>
      </c>
      <c r="H216" s="111">
        <f>H201</f>
        <v>2.5</v>
      </c>
      <c r="I216" s="111">
        <f t="shared" ref="I216:K216" si="105">I201</f>
        <v>2.5</v>
      </c>
      <c r="J216" s="111">
        <f t="shared" si="105"/>
        <v>0</v>
      </c>
      <c r="K216" s="111">
        <f t="shared" si="105"/>
        <v>0</v>
      </c>
      <c r="L216" s="457"/>
      <c r="M216" s="119"/>
    </row>
    <row r="217" spans="1:13" ht="77.25" customHeight="1">
      <c r="A217" s="496"/>
      <c r="B217" s="496"/>
      <c r="C217" s="496"/>
      <c r="D217" s="497"/>
      <c r="E217" s="295"/>
      <c r="F217" s="325"/>
      <c r="G217" s="264" t="s">
        <v>450</v>
      </c>
      <c r="H217" s="129">
        <f>H203</f>
        <v>241.91</v>
      </c>
      <c r="I217" s="129">
        <f t="shared" ref="I217:K217" si="106">I203</f>
        <v>241.91</v>
      </c>
      <c r="J217" s="129">
        <f t="shared" si="106"/>
        <v>0</v>
      </c>
      <c r="K217" s="129">
        <f t="shared" si="106"/>
        <v>0</v>
      </c>
      <c r="L217" s="457"/>
      <c r="M217" s="117"/>
    </row>
    <row r="218" spans="1:13" ht="75" customHeight="1">
      <c r="A218" s="496"/>
      <c r="B218" s="496"/>
      <c r="C218" s="496"/>
      <c r="D218" s="497"/>
      <c r="E218" s="139" t="s">
        <v>54</v>
      </c>
      <c r="F218" s="325"/>
      <c r="G218" s="327" t="s">
        <v>450</v>
      </c>
      <c r="H218" s="129">
        <f>H195+H196+H198+H199</f>
        <v>22419.200000000001</v>
      </c>
      <c r="I218" s="129">
        <f t="shared" ref="I218:K218" si="107">I195+I196+I198+I199</f>
        <v>13882.2</v>
      </c>
      <c r="J218" s="129">
        <f t="shared" si="107"/>
        <v>5549.3</v>
      </c>
      <c r="K218" s="129">
        <f t="shared" si="107"/>
        <v>2987.7</v>
      </c>
      <c r="L218" s="457"/>
      <c r="M218" s="117"/>
    </row>
    <row r="219" spans="1:13" ht="75" customHeight="1">
      <c r="A219" s="496"/>
      <c r="B219" s="496"/>
      <c r="C219" s="496"/>
      <c r="D219" s="497"/>
      <c r="E219" s="139" t="s">
        <v>81</v>
      </c>
      <c r="F219" s="325"/>
      <c r="G219" s="328"/>
      <c r="H219" s="129">
        <f>H204</f>
        <v>187.78</v>
      </c>
      <c r="I219" s="129">
        <f t="shared" ref="I219:K219" si="108">I204</f>
        <v>187.78</v>
      </c>
      <c r="J219" s="129">
        <f t="shared" si="108"/>
        <v>0</v>
      </c>
      <c r="K219" s="129">
        <f t="shared" si="108"/>
        <v>0</v>
      </c>
      <c r="L219" s="457"/>
      <c r="M219" s="117"/>
    </row>
    <row r="220" spans="1:13" ht="75" customHeight="1">
      <c r="A220" s="496"/>
      <c r="B220" s="496"/>
      <c r="C220" s="496"/>
      <c r="D220" s="497"/>
      <c r="E220" s="139" t="s">
        <v>76</v>
      </c>
      <c r="F220" s="325"/>
      <c r="G220" s="328"/>
      <c r="H220" s="129">
        <f>H206</f>
        <v>1422.3</v>
      </c>
      <c r="I220" s="129">
        <f t="shared" ref="I220:K220" si="109">I206</f>
        <v>1422.3</v>
      </c>
      <c r="J220" s="129">
        <f t="shared" si="109"/>
        <v>0</v>
      </c>
      <c r="K220" s="129">
        <f t="shared" si="109"/>
        <v>0</v>
      </c>
      <c r="L220" s="457"/>
      <c r="M220" s="117"/>
    </row>
    <row r="221" spans="1:13" ht="75" customHeight="1">
      <c r="A221" s="496"/>
      <c r="B221" s="496"/>
      <c r="C221" s="496"/>
      <c r="D221" s="497"/>
      <c r="E221" s="139" t="s">
        <v>77</v>
      </c>
      <c r="F221" s="325"/>
      <c r="G221" s="328"/>
      <c r="H221" s="129">
        <f>H207</f>
        <v>4962.2</v>
      </c>
      <c r="I221" s="129">
        <f t="shared" ref="I221:K221" si="110">I207</f>
        <v>4962.2</v>
      </c>
      <c r="J221" s="129">
        <f t="shared" si="110"/>
        <v>0</v>
      </c>
      <c r="K221" s="129">
        <f t="shared" si="110"/>
        <v>0</v>
      </c>
      <c r="L221" s="457"/>
      <c r="M221" s="117"/>
    </row>
    <row r="222" spans="1:13" ht="75" customHeight="1">
      <c r="A222" s="499"/>
      <c r="B222" s="499"/>
      <c r="C222" s="499"/>
      <c r="D222" s="500"/>
      <c r="E222" s="139" t="s">
        <v>75</v>
      </c>
      <c r="F222" s="326"/>
      <c r="G222" s="329"/>
      <c r="H222" s="129">
        <f>H208</f>
        <v>1323.4</v>
      </c>
      <c r="I222" s="129">
        <f t="shared" ref="I222:K222" si="111">I208</f>
        <v>1323.4</v>
      </c>
      <c r="J222" s="129">
        <f t="shared" si="111"/>
        <v>0</v>
      </c>
      <c r="K222" s="129">
        <f t="shared" si="111"/>
        <v>0</v>
      </c>
      <c r="L222" s="457"/>
      <c r="M222" s="117"/>
    </row>
    <row r="223" spans="1:13" ht="75" customHeight="1">
      <c r="A223" s="342" t="s">
        <v>258</v>
      </c>
      <c r="B223" s="343"/>
      <c r="C223" s="343"/>
      <c r="D223" s="343"/>
      <c r="E223" s="343"/>
      <c r="F223" s="343"/>
      <c r="G223" s="343"/>
      <c r="H223" s="343"/>
      <c r="I223" s="343"/>
      <c r="J223" s="343"/>
      <c r="K223" s="343"/>
      <c r="L223" s="344"/>
      <c r="M223" s="117"/>
    </row>
    <row r="224" spans="1:13" ht="75" customHeight="1">
      <c r="A224" s="502" t="s">
        <v>259</v>
      </c>
      <c r="B224" s="503" t="s">
        <v>260</v>
      </c>
      <c r="C224" s="506" t="s">
        <v>261</v>
      </c>
      <c r="D224" s="342" t="s">
        <v>377</v>
      </c>
      <c r="E224" s="343"/>
      <c r="F224" s="343"/>
      <c r="G224" s="344"/>
      <c r="H224" s="111">
        <f>H225+H233</f>
        <v>145734.109</v>
      </c>
      <c r="I224" s="111">
        <f t="shared" ref="I224:K224" si="112">I225+I233</f>
        <v>71896.608999999997</v>
      </c>
      <c r="J224" s="111">
        <f t="shared" si="112"/>
        <v>63837.5</v>
      </c>
      <c r="K224" s="111">
        <f t="shared" si="112"/>
        <v>10000</v>
      </c>
      <c r="L224" s="294" t="s">
        <v>101</v>
      </c>
      <c r="M224" s="117"/>
    </row>
    <row r="225" spans="1:13" ht="75" customHeight="1">
      <c r="A225" s="502"/>
      <c r="B225" s="504"/>
      <c r="C225" s="507"/>
      <c r="D225" s="299" t="s">
        <v>97</v>
      </c>
      <c r="E225" s="300"/>
      <c r="F225" s="300"/>
      <c r="G225" s="301"/>
      <c r="H225" s="116">
        <f>H226+H227+H228+H229+H230+H231+H232</f>
        <v>140742.05600000001</v>
      </c>
      <c r="I225" s="116">
        <f>I226+I227+I228+I229+I230+I231+I232</f>
        <v>66904.555999999997</v>
      </c>
      <c r="J225" s="116">
        <f t="shared" ref="J225:K225" si="113">J226+J227+J228+J229+J230+J231+J232</f>
        <v>63837.5</v>
      </c>
      <c r="K225" s="116">
        <f t="shared" si="113"/>
        <v>10000</v>
      </c>
      <c r="L225" s="313"/>
      <c r="M225" s="117"/>
    </row>
    <row r="226" spans="1:13" ht="75" customHeight="1">
      <c r="A226" s="502"/>
      <c r="B226" s="504"/>
      <c r="C226" s="507"/>
      <c r="D226" s="192" t="s">
        <v>33</v>
      </c>
      <c r="E226" s="139" t="s">
        <v>54</v>
      </c>
      <c r="F226" s="302" t="s">
        <v>17</v>
      </c>
      <c r="G226" s="365" t="s">
        <v>454</v>
      </c>
      <c r="H226" s="142">
        <f>I226+J226+K226</f>
        <v>39460.800000000003</v>
      </c>
      <c r="I226" s="107">
        <f>14923.3+1800+3000</f>
        <v>19723.3</v>
      </c>
      <c r="J226" s="107">
        <v>19737.5</v>
      </c>
      <c r="K226" s="107">
        <v>0</v>
      </c>
      <c r="L226" s="313"/>
    </row>
    <row r="227" spans="1:13" ht="75" customHeight="1">
      <c r="A227" s="502"/>
      <c r="B227" s="504"/>
      <c r="C227" s="507"/>
      <c r="D227" s="192" t="s">
        <v>29</v>
      </c>
      <c r="E227" s="139" t="s">
        <v>82</v>
      </c>
      <c r="F227" s="303"/>
      <c r="G227" s="366"/>
      <c r="H227" s="106">
        <f t="shared" ref="H227:H246" si="114">I227+J227+K227</f>
        <v>20042.5</v>
      </c>
      <c r="I227" s="109">
        <f>6890.5+50+202</f>
        <v>7142.5</v>
      </c>
      <c r="J227" s="107">
        <f>8400+2000</f>
        <v>10400</v>
      </c>
      <c r="K227" s="107">
        <v>2500</v>
      </c>
      <c r="L227" s="313"/>
      <c r="M227" s="10"/>
    </row>
    <row r="228" spans="1:13" ht="75" customHeight="1">
      <c r="A228" s="502"/>
      <c r="B228" s="504"/>
      <c r="C228" s="507"/>
      <c r="D228" s="212" t="s">
        <v>29</v>
      </c>
      <c r="E228" s="139" t="s">
        <v>76</v>
      </c>
      <c r="F228" s="303"/>
      <c r="G228" s="366"/>
      <c r="H228" s="106">
        <f t="shared" si="114"/>
        <v>4132</v>
      </c>
      <c r="I228" s="109">
        <f>232+200</f>
        <v>432</v>
      </c>
      <c r="J228" s="107">
        <v>1200</v>
      </c>
      <c r="K228" s="107">
        <v>2500</v>
      </c>
      <c r="L228" s="313"/>
      <c r="M228" s="10"/>
    </row>
    <row r="229" spans="1:13" ht="75" customHeight="1">
      <c r="A229" s="502"/>
      <c r="B229" s="504"/>
      <c r="C229" s="507"/>
      <c r="D229" s="212" t="s">
        <v>29</v>
      </c>
      <c r="E229" s="139" t="s">
        <v>77</v>
      </c>
      <c r="F229" s="303"/>
      <c r="G229" s="366"/>
      <c r="H229" s="106">
        <f t="shared" si="114"/>
        <v>27189.554</v>
      </c>
      <c r="I229" s="109">
        <f>11036+180-26.446</f>
        <v>11189.554</v>
      </c>
      <c r="J229" s="107">
        <v>13500</v>
      </c>
      <c r="K229" s="107">
        <v>2500</v>
      </c>
      <c r="L229" s="313"/>
      <c r="M229" s="10"/>
    </row>
    <row r="230" spans="1:13" ht="75" customHeight="1">
      <c r="A230" s="502"/>
      <c r="B230" s="504"/>
      <c r="C230" s="507"/>
      <c r="D230" s="212" t="s">
        <v>29</v>
      </c>
      <c r="E230" s="139" t="s">
        <v>75</v>
      </c>
      <c r="F230" s="303"/>
      <c r="G230" s="366"/>
      <c r="H230" s="106">
        <f t="shared" si="114"/>
        <v>37297.202000000005</v>
      </c>
      <c r="I230" s="109">
        <f>20947.39-50.188</f>
        <v>20897.202000000001</v>
      </c>
      <c r="J230" s="107">
        <v>13900</v>
      </c>
      <c r="K230" s="107">
        <v>2500</v>
      </c>
      <c r="L230" s="313"/>
      <c r="M230" s="10"/>
    </row>
    <row r="231" spans="1:13" ht="99.75" customHeight="1">
      <c r="A231" s="502"/>
      <c r="B231" s="504"/>
      <c r="C231" s="507"/>
      <c r="D231" s="212" t="s">
        <v>30</v>
      </c>
      <c r="E231" s="133" t="s">
        <v>79</v>
      </c>
      <c r="F231" s="303"/>
      <c r="G231" s="366"/>
      <c r="H231" s="106">
        <f t="shared" si="114"/>
        <v>11930</v>
      </c>
      <c r="I231" s="107">
        <f>6800+30</f>
        <v>6830</v>
      </c>
      <c r="J231" s="107">
        <v>5100</v>
      </c>
      <c r="K231" s="107">
        <v>0</v>
      </c>
      <c r="L231" s="313"/>
      <c r="M231" s="10"/>
    </row>
    <row r="232" spans="1:13" ht="75" customHeight="1">
      <c r="A232" s="502"/>
      <c r="B232" s="504"/>
      <c r="C232" s="507"/>
      <c r="D232" s="192" t="s">
        <v>31</v>
      </c>
      <c r="E232" s="133" t="s">
        <v>78</v>
      </c>
      <c r="F232" s="304"/>
      <c r="G232" s="367"/>
      <c r="H232" s="106">
        <f t="shared" si="114"/>
        <v>690</v>
      </c>
      <c r="I232" s="113">
        <f>590+100</f>
        <v>690</v>
      </c>
      <c r="J232" s="107">
        <v>0</v>
      </c>
      <c r="K232" s="107">
        <v>0</v>
      </c>
      <c r="L232" s="313"/>
      <c r="M232" s="10"/>
    </row>
    <row r="233" spans="1:13" ht="75" customHeight="1">
      <c r="A233" s="502"/>
      <c r="B233" s="504"/>
      <c r="C233" s="507"/>
      <c r="D233" s="299" t="s">
        <v>97</v>
      </c>
      <c r="E233" s="300"/>
      <c r="F233" s="300"/>
      <c r="G233" s="301"/>
      <c r="H233" s="106">
        <f>H234+H235+H236+H237</f>
        <v>4992.0529999999999</v>
      </c>
      <c r="I233" s="106">
        <f>I234+I235+I236+I237</f>
        <v>4992.0529999999999</v>
      </c>
      <c r="J233" s="106">
        <f t="shared" ref="J233:K233" si="115">J234+J235+J236</f>
        <v>0</v>
      </c>
      <c r="K233" s="106">
        <f t="shared" si="115"/>
        <v>0</v>
      </c>
      <c r="L233" s="313"/>
      <c r="M233" s="10"/>
    </row>
    <row r="234" spans="1:13" ht="75" customHeight="1">
      <c r="A234" s="502"/>
      <c r="B234" s="504"/>
      <c r="C234" s="507"/>
      <c r="D234" s="212" t="s">
        <v>37</v>
      </c>
      <c r="E234" s="139" t="s">
        <v>82</v>
      </c>
      <c r="F234" s="302" t="s">
        <v>17</v>
      </c>
      <c r="G234" s="302" t="s">
        <v>208</v>
      </c>
      <c r="H234" s="106">
        <f t="shared" si="114"/>
        <v>250</v>
      </c>
      <c r="I234" s="113">
        <v>250</v>
      </c>
      <c r="J234" s="107">
        <v>0</v>
      </c>
      <c r="K234" s="107">
        <v>0</v>
      </c>
      <c r="L234" s="313"/>
      <c r="M234" s="10"/>
    </row>
    <row r="235" spans="1:13" ht="75" customHeight="1">
      <c r="A235" s="502"/>
      <c r="B235" s="504"/>
      <c r="C235" s="507"/>
      <c r="D235" s="212" t="s">
        <v>37</v>
      </c>
      <c r="E235" s="139" t="s">
        <v>75</v>
      </c>
      <c r="F235" s="303"/>
      <c r="G235" s="303"/>
      <c r="H235" s="106">
        <f t="shared" si="114"/>
        <v>1412.0530000000003</v>
      </c>
      <c r="I235" s="113">
        <f>1196.053+165.812+50.188</f>
        <v>1412.0530000000003</v>
      </c>
      <c r="J235" s="107">
        <v>0</v>
      </c>
      <c r="K235" s="107">
        <v>0</v>
      </c>
      <c r="L235" s="313"/>
      <c r="M235" s="10"/>
    </row>
    <row r="236" spans="1:13" ht="99.75" customHeight="1">
      <c r="A236" s="502"/>
      <c r="B236" s="504"/>
      <c r="C236" s="508"/>
      <c r="D236" s="212" t="s">
        <v>37</v>
      </c>
      <c r="E236" s="133" t="s">
        <v>79</v>
      </c>
      <c r="F236" s="303"/>
      <c r="G236" s="303"/>
      <c r="H236" s="106">
        <f t="shared" si="114"/>
        <v>930</v>
      </c>
      <c r="I236" s="113">
        <v>930</v>
      </c>
      <c r="J236" s="107">
        <v>0</v>
      </c>
      <c r="K236" s="107">
        <v>0</v>
      </c>
      <c r="L236" s="313"/>
      <c r="M236" s="10"/>
    </row>
    <row r="237" spans="1:13" ht="75" customHeight="1">
      <c r="A237" s="502"/>
      <c r="B237" s="504"/>
      <c r="C237" s="213"/>
      <c r="D237" s="212" t="s">
        <v>37</v>
      </c>
      <c r="E237" s="139" t="s">
        <v>54</v>
      </c>
      <c r="F237" s="304"/>
      <c r="G237" s="304"/>
      <c r="H237" s="106">
        <f>I237+J237+K237</f>
        <v>2400</v>
      </c>
      <c r="I237" s="113">
        <v>2400</v>
      </c>
      <c r="J237" s="107">
        <v>0</v>
      </c>
      <c r="K237" s="107">
        <v>0</v>
      </c>
      <c r="L237" s="313"/>
      <c r="M237" s="10"/>
    </row>
    <row r="238" spans="1:13" ht="75" customHeight="1">
      <c r="A238" s="502"/>
      <c r="B238" s="504"/>
      <c r="C238" s="506" t="s">
        <v>262</v>
      </c>
      <c r="D238" s="342" t="s">
        <v>378</v>
      </c>
      <c r="E238" s="343"/>
      <c r="F238" s="343"/>
      <c r="G238" s="344"/>
      <c r="H238" s="106">
        <f>SUM(H239:H244)</f>
        <v>57333.67</v>
      </c>
      <c r="I238" s="106">
        <f>SUM(I239:I244)</f>
        <v>27333.67</v>
      </c>
      <c r="J238" s="106">
        <f t="shared" ref="J238:K238" si="116">SUM(J239:J244)</f>
        <v>20000</v>
      </c>
      <c r="K238" s="106">
        <f t="shared" si="116"/>
        <v>10000</v>
      </c>
      <c r="L238" s="313"/>
      <c r="M238" s="10"/>
    </row>
    <row r="239" spans="1:13" ht="75" customHeight="1">
      <c r="A239" s="502"/>
      <c r="B239" s="504"/>
      <c r="C239" s="507"/>
      <c r="D239" s="212" t="s">
        <v>183</v>
      </c>
      <c r="E239" s="139" t="s">
        <v>82</v>
      </c>
      <c r="F239" s="302" t="s">
        <v>17</v>
      </c>
      <c r="G239" s="338" t="s">
        <v>454</v>
      </c>
      <c r="H239" s="106">
        <f t="shared" si="114"/>
        <v>11480.869999999999</v>
      </c>
      <c r="I239" s="113">
        <f>6150-169.13</f>
        <v>5980.87</v>
      </c>
      <c r="J239" s="107">
        <v>3000</v>
      </c>
      <c r="K239" s="107">
        <v>2500</v>
      </c>
      <c r="L239" s="313"/>
      <c r="M239" s="10"/>
    </row>
    <row r="240" spans="1:13" ht="75" customHeight="1">
      <c r="A240" s="502"/>
      <c r="B240" s="504"/>
      <c r="C240" s="507"/>
      <c r="D240" s="212" t="s">
        <v>183</v>
      </c>
      <c r="E240" s="139" t="s">
        <v>76</v>
      </c>
      <c r="F240" s="303"/>
      <c r="G240" s="338"/>
      <c r="H240" s="106">
        <f t="shared" si="114"/>
        <v>5669.13</v>
      </c>
      <c r="I240" s="113">
        <f>169.13</f>
        <v>169.13</v>
      </c>
      <c r="J240" s="107">
        <v>3000</v>
      </c>
      <c r="K240" s="107">
        <v>2500</v>
      </c>
      <c r="L240" s="313"/>
      <c r="M240" s="10"/>
    </row>
    <row r="241" spans="1:13" ht="75" customHeight="1">
      <c r="A241" s="502"/>
      <c r="B241" s="504"/>
      <c r="C241" s="507"/>
      <c r="D241" s="212" t="s">
        <v>183</v>
      </c>
      <c r="E241" s="139" t="s">
        <v>77</v>
      </c>
      <c r="F241" s="303"/>
      <c r="G241" s="338"/>
      <c r="H241" s="106">
        <f t="shared" si="114"/>
        <v>15034.1</v>
      </c>
      <c r="I241" s="113">
        <f>6930-395.9</f>
        <v>6534.1</v>
      </c>
      <c r="J241" s="107">
        <v>6000</v>
      </c>
      <c r="K241" s="107">
        <v>2500</v>
      </c>
      <c r="L241" s="313"/>
      <c r="M241" s="10"/>
    </row>
    <row r="242" spans="1:13" ht="75" customHeight="1">
      <c r="A242" s="502"/>
      <c r="B242" s="504"/>
      <c r="C242" s="507"/>
      <c r="D242" s="212" t="s">
        <v>183</v>
      </c>
      <c r="E242" s="139" t="s">
        <v>75</v>
      </c>
      <c r="F242" s="303"/>
      <c r="G242" s="338"/>
      <c r="H242" s="106">
        <f t="shared" si="114"/>
        <v>9000</v>
      </c>
      <c r="I242" s="113">
        <v>3500</v>
      </c>
      <c r="J242" s="107">
        <v>3000</v>
      </c>
      <c r="K242" s="107">
        <v>2500</v>
      </c>
      <c r="L242" s="313"/>
      <c r="M242" s="10"/>
    </row>
    <row r="243" spans="1:13" ht="87.75" customHeight="1">
      <c r="A243" s="502"/>
      <c r="B243" s="504"/>
      <c r="C243" s="507"/>
      <c r="D243" s="212" t="s">
        <v>183</v>
      </c>
      <c r="E243" s="133" t="s">
        <v>79</v>
      </c>
      <c r="F243" s="303"/>
      <c r="G243" s="338"/>
      <c r="H243" s="106">
        <f t="shared" si="114"/>
        <v>15589.57</v>
      </c>
      <c r="I243" s="113">
        <v>10589.57</v>
      </c>
      <c r="J243" s="107">
        <v>5000</v>
      </c>
      <c r="K243" s="107">
        <v>0</v>
      </c>
      <c r="L243" s="313"/>
      <c r="M243" s="10"/>
    </row>
    <row r="244" spans="1:13" ht="75" customHeight="1">
      <c r="A244" s="502"/>
      <c r="B244" s="504"/>
      <c r="C244" s="508"/>
      <c r="D244" s="212" t="s">
        <v>183</v>
      </c>
      <c r="E244" s="133" t="s">
        <v>78</v>
      </c>
      <c r="F244" s="303"/>
      <c r="G244" s="338"/>
      <c r="H244" s="106">
        <f t="shared" si="114"/>
        <v>560</v>
      </c>
      <c r="I244" s="113">
        <v>560</v>
      </c>
      <c r="J244" s="107">
        <v>0</v>
      </c>
      <c r="K244" s="107">
        <v>0</v>
      </c>
      <c r="L244" s="313"/>
      <c r="M244" s="10"/>
    </row>
    <row r="245" spans="1:13" ht="186" customHeight="1">
      <c r="A245" s="502"/>
      <c r="B245" s="504"/>
      <c r="C245" s="214" t="s">
        <v>379</v>
      </c>
      <c r="D245" s="29" t="s">
        <v>68</v>
      </c>
      <c r="E245" s="133" t="s">
        <v>75</v>
      </c>
      <c r="F245" s="303"/>
      <c r="G245" s="338"/>
      <c r="H245" s="106">
        <f t="shared" ref="H245" si="117">I245+J245+K245</f>
        <v>2594</v>
      </c>
      <c r="I245" s="107">
        <f>3000+307.7-713.7</f>
        <v>2594</v>
      </c>
      <c r="J245" s="107">
        <v>0</v>
      </c>
      <c r="K245" s="107">
        <v>0</v>
      </c>
      <c r="L245" s="313"/>
      <c r="M245" s="10"/>
    </row>
    <row r="246" spans="1:13" ht="339" customHeight="1">
      <c r="A246" s="502"/>
      <c r="B246" s="505"/>
      <c r="C246" s="214" t="s">
        <v>415</v>
      </c>
      <c r="D246" s="29" t="s">
        <v>420</v>
      </c>
      <c r="E246" s="133" t="s">
        <v>54</v>
      </c>
      <c r="F246" s="303"/>
      <c r="G246" s="215" t="s">
        <v>414</v>
      </c>
      <c r="H246" s="106">
        <f t="shared" si="114"/>
        <v>799.7</v>
      </c>
      <c r="I246" s="107">
        <v>799.7</v>
      </c>
      <c r="J246" s="107">
        <v>0</v>
      </c>
      <c r="K246" s="107">
        <v>0</v>
      </c>
      <c r="L246" s="169" t="s">
        <v>419</v>
      </c>
      <c r="M246" s="10"/>
    </row>
    <row r="247" spans="1:13" ht="75" customHeight="1">
      <c r="A247" s="454" t="s">
        <v>73</v>
      </c>
      <c r="B247" s="455"/>
      <c r="C247" s="455"/>
      <c r="D247" s="455"/>
      <c r="E247" s="455"/>
      <c r="F247" s="455"/>
      <c r="G247" s="456"/>
      <c r="H247" s="106">
        <f>H224+H238+H245+H246</f>
        <v>206461.47899999999</v>
      </c>
      <c r="I247" s="106">
        <f t="shared" ref="I247:K247" si="118">I224+I238+I245+I246</f>
        <v>102623.97899999999</v>
      </c>
      <c r="J247" s="106">
        <f t="shared" si="118"/>
        <v>83837.5</v>
      </c>
      <c r="K247" s="106">
        <f t="shared" si="118"/>
        <v>20000</v>
      </c>
      <c r="L247" s="457"/>
    </row>
    <row r="248" spans="1:13" ht="144" customHeight="1">
      <c r="A248" s="458" t="s">
        <v>18</v>
      </c>
      <c r="B248" s="458"/>
      <c r="C248" s="458"/>
      <c r="D248" s="458"/>
      <c r="E248" s="458"/>
      <c r="F248" s="418"/>
      <c r="G248" s="187" t="s">
        <v>207</v>
      </c>
      <c r="H248" s="130">
        <f>H234+H235+H236</f>
        <v>2592.0530000000003</v>
      </c>
      <c r="I248" s="130">
        <f>I234+I235+I236</f>
        <v>2592.0530000000003</v>
      </c>
      <c r="J248" s="130">
        <f t="shared" ref="J248:K248" si="119">J234+J235+J236</f>
        <v>0</v>
      </c>
      <c r="K248" s="130">
        <f t="shared" si="119"/>
        <v>0</v>
      </c>
      <c r="L248" s="457"/>
    </row>
    <row r="249" spans="1:13" ht="120.75" customHeight="1">
      <c r="A249" s="459"/>
      <c r="B249" s="459"/>
      <c r="C249" s="459"/>
      <c r="D249" s="459"/>
      <c r="E249" s="459"/>
      <c r="F249" s="420"/>
      <c r="G249" s="216" t="s">
        <v>414</v>
      </c>
      <c r="H249" s="130">
        <f>H246</f>
        <v>799.7</v>
      </c>
      <c r="I249" s="130">
        <f t="shared" ref="I249:K249" si="120">I246</f>
        <v>799.7</v>
      </c>
      <c r="J249" s="130">
        <f t="shared" si="120"/>
        <v>0</v>
      </c>
      <c r="K249" s="130">
        <f t="shared" si="120"/>
        <v>0</v>
      </c>
      <c r="L249" s="457"/>
    </row>
    <row r="250" spans="1:13" ht="75" customHeight="1">
      <c r="A250" s="460"/>
      <c r="B250" s="460"/>
      <c r="C250" s="460"/>
      <c r="D250" s="460"/>
      <c r="E250" s="460"/>
      <c r="F250" s="422"/>
      <c r="G250" s="187" t="s">
        <v>454</v>
      </c>
      <c r="H250" s="130">
        <f>H225+H238+H245</f>
        <v>200669.72600000002</v>
      </c>
      <c r="I250" s="130">
        <f t="shared" ref="I250:K250" si="121">I225+I238+I245</f>
        <v>96832.225999999995</v>
      </c>
      <c r="J250" s="130">
        <f t="shared" si="121"/>
        <v>83837.5</v>
      </c>
      <c r="K250" s="130">
        <f t="shared" si="121"/>
        <v>20000</v>
      </c>
      <c r="L250" s="457"/>
    </row>
    <row r="251" spans="1:13" ht="75" customHeight="1">
      <c r="A251" s="483" t="s">
        <v>95</v>
      </c>
      <c r="B251" s="484"/>
      <c r="C251" s="484"/>
      <c r="D251" s="485"/>
      <c r="E251" s="294" t="s">
        <v>82</v>
      </c>
      <c r="F251" s="461"/>
      <c r="G251" s="217" t="s">
        <v>97</v>
      </c>
      <c r="H251" s="131">
        <f>SUM(H252:H253)</f>
        <v>31773.37</v>
      </c>
      <c r="I251" s="131">
        <f>SUM(I252:I253)</f>
        <v>13373.369999999999</v>
      </c>
      <c r="J251" s="131">
        <f>SUM(J252:J253)</f>
        <v>13400</v>
      </c>
      <c r="K251" s="131">
        <f>SUM(K252:K253)</f>
        <v>5000</v>
      </c>
      <c r="L251" s="457"/>
      <c r="M251" s="117"/>
    </row>
    <row r="252" spans="1:13" ht="75" customHeight="1">
      <c r="A252" s="486"/>
      <c r="B252" s="487"/>
      <c r="C252" s="487"/>
      <c r="D252" s="488"/>
      <c r="E252" s="313"/>
      <c r="F252" s="461"/>
      <c r="G252" s="269" t="s">
        <v>454</v>
      </c>
      <c r="H252" s="111">
        <f>H227+H239</f>
        <v>31523.37</v>
      </c>
      <c r="I252" s="111">
        <f t="shared" ref="I252:K252" si="122">I227+I239</f>
        <v>13123.369999999999</v>
      </c>
      <c r="J252" s="111">
        <f t="shared" si="122"/>
        <v>13400</v>
      </c>
      <c r="K252" s="111">
        <f t="shared" si="122"/>
        <v>5000</v>
      </c>
      <c r="L252" s="457"/>
      <c r="M252" s="117"/>
    </row>
    <row r="253" spans="1:13" ht="147.75" customHeight="1">
      <c r="A253" s="486"/>
      <c r="B253" s="487"/>
      <c r="C253" s="487"/>
      <c r="D253" s="488"/>
      <c r="E253" s="295"/>
      <c r="F253" s="461"/>
      <c r="G253" s="183" t="s">
        <v>207</v>
      </c>
      <c r="H253" s="111">
        <f>H234</f>
        <v>250</v>
      </c>
      <c r="I253" s="111">
        <f>I234</f>
        <v>250</v>
      </c>
      <c r="J253" s="111">
        <f>J234</f>
        <v>0</v>
      </c>
      <c r="K253" s="111">
        <f>K234</f>
        <v>0</v>
      </c>
      <c r="L253" s="457"/>
      <c r="M253" s="117"/>
    </row>
    <row r="254" spans="1:13" ht="75" customHeight="1">
      <c r="A254" s="486"/>
      <c r="B254" s="487"/>
      <c r="C254" s="487"/>
      <c r="D254" s="488"/>
      <c r="E254" s="139" t="s">
        <v>76</v>
      </c>
      <c r="F254" s="461"/>
      <c r="G254" s="461" t="s">
        <v>454</v>
      </c>
      <c r="H254" s="111">
        <f>H228</f>
        <v>4132</v>
      </c>
      <c r="I254" s="111">
        <f>I228+I240</f>
        <v>601.13</v>
      </c>
      <c r="J254" s="111">
        <f>J228+J240</f>
        <v>4200</v>
      </c>
      <c r="K254" s="111">
        <f>K228</f>
        <v>2500</v>
      </c>
      <c r="L254" s="457"/>
      <c r="M254" s="117"/>
    </row>
    <row r="255" spans="1:13" ht="75" customHeight="1">
      <c r="A255" s="486"/>
      <c r="B255" s="487"/>
      <c r="C255" s="487"/>
      <c r="D255" s="488"/>
      <c r="E255" s="139" t="s">
        <v>77</v>
      </c>
      <c r="F255" s="461"/>
      <c r="G255" s="461"/>
      <c r="H255" s="111">
        <f>H229+H241</f>
        <v>42223.654000000002</v>
      </c>
      <c r="I255" s="111">
        <f>I229+I241</f>
        <v>17723.654000000002</v>
      </c>
      <c r="J255" s="111">
        <f>J229+J241</f>
        <v>19500</v>
      </c>
      <c r="K255" s="111">
        <f>K229+K241</f>
        <v>5000</v>
      </c>
      <c r="L255" s="457"/>
      <c r="M255" s="117"/>
    </row>
    <row r="256" spans="1:13" ht="75" customHeight="1">
      <c r="A256" s="486"/>
      <c r="B256" s="487"/>
      <c r="C256" s="487"/>
      <c r="D256" s="488"/>
      <c r="E256" s="294" t="s">
        <v>75</v>
      </c>
      <c r="F256" s="461"/>
      <c r="G256" s="217" t="s">
        <v>97</v>
      </c>
      <c r="H256" s="111">
        <f>H257+H258</f>
        <v>50303.255000000005</v>
      </c>
      <c r="I256" s="111">
        <f t="shared" ref="I256:K256" si="123">I257+I258</f>
        <v>28403.255000000001</v>
      </c>
      <c r="J256" s="111">
        <f t="shared" si="123"/>
        <v>16900</v>
      </c>
      <c r="K256" s="111">
        <f t="shared" si="123"/>
        <v>5000</v>
      </c>
      <c r="L256" s="457"/>
      <c r="M256" s="117"/>
    </row>
    <row r="257" spans="1:13" ht="75" customHeight="1">
      <c r="A257" s="486"/>
      <c r="B257" s="487"/>
      <c r="C257" s="487"/>
      <c r="D257" s="488"/>
      <c r="E257" s="313"/>
      <c r="F257" s="461"/>
      <c r="G257" s="269" t="s">
        <v>454</v>
      </c>
      <c r="H257" s="111">
        <f>H230+H242+H245</f>
        <v>48891.202000000005</v>
      </c>
      <c r="I257" s="111">
        <f>I230+I242+I245</f>
        <v>26991.202000000001</v>
      </c>
      <c r="J257" s="111">
        <f t="shared" ref="J257:K257" si="124">J230+J242+J245</f>
        <v>16900</v>
      </c>
      <c r="K257" s="111">
        <f t="shared" si="124"/>
        <v>5000</v>
      </c>
      <c r="L257" s="457"/>
      <c r="M257" s="117"/>
    </row>
    <row r="258" spans="1:13" ht="143.25" customHeight="1">
      <c r="A258" s="486"/>
      <c r="B258" s="487"/>
      <c r="C258" s="487"/>
      <c r="D258" s="488"/>
      <c r="E258" s="295"/>
      <c r="F258" s="461"/>
      <c r="G258" s="183" t="s">
        <v>207</v>
      </c>
      <c r="H258" s="111">
        <f>H235</f>
        <v>1412.0530000000003</v>
      </c>
      <c r="I258" s="111">
        <f>I235</f>
        <v>1412.0530000000003</v>
      </c>
      <c r="J258" s="111">
        <f>J235</f>
        <v>0</v>
      </c>
      <c r="K258" s="111">
        <f>K235</f>
        <v>0</v>
      </c>
      <c r="L258" s="457"/>
      <c r="M258" s="117"/>
    </row>
    <row r="259" spans="1:13" ht="75" customHeight="1">
      <c r="A259" s="486"/>
      <c r="B259" s="487"/>
      <c r="C259" s="487"/>
      <c r="D259" s="488"/>
      <c r="E259" s="294" t="s">
        <v>79</v>
      </c>
      <c r="F259" s="461"/>
      <c r="G259" s="217" t="s">
        <v>97</v>
      </c>
      <c r="H259" s="111">
        <f>H260+H261</f>
        <v>28449.57</v>
      </c>
      <c r="I259" s="111">
        <f t="shared" ref="I259:K259" si="125">I260+I261</f>
        <v>18349.57</v>
      </c>
      <c r="J259" s="111">
        <f t="shared" si="125"/>
        <v>10100</v>
      </c>
      <c r="K259" s="111">
        <f t="shared" si="125"/>
        <v>0</v>
      </c>
      <c r="L259" s="457"/>
      <c r="M259" s="117"/>
    </row>
    <row r="260" spans="1:13" ht="75" customHeight="1">
      <c r="A260" s="486"/>
      <c r="B260" s="487"/>
      <c r="C260" s="487"/>
      <c r="D260" s="488"/>
      <c r="E260" s="313"/>
      <c r="F260" s="461"/>
      <c r="G260" s="269" t="s">
        <v>454</v>
      </c>
      <c r="H260" s="111">
        <f>H231+H243</f>
        <v>27519.57</v>
      </c>
      <c r="I260" s="111">
        <f>I231+I243</f>
        <v>17419.57</v>
      </c>
      <c r="J260" s="111">
        <f>J231+J243</f>
        <v>10100</v>
      </c>
      <c r="K260" s="111">
        <f>K231+K243</f>
        <v>0</v>
      </c>
      <c r="L260" s="457"/>
      <c r="M260" s="117"/>
    </row>
    <row r="261" spans="1:13" ht="139.5" customHeight="1">
      <c r="A261" s="486"/>
      <c r="B261" s="487"/>
      <c r="C261" s="487"/>
      <c r="D261" s="488"/>
      <c r="E261" s="295"/>
      <c r="F261" s="461"/>
      <c r="G261" s="183" t="s">
        <v>207</v>
      </c>
      <c r="H261" s="111">
        <f>H236</f>
        <v>930</v>
      </c>
      <c r="I261" s="111">
        <f>I236</f>
        <v>930</v>
      </c>
      <c r="J261" s="111">
        <f>J236</f>
        <v>0</v>
      </c>
      <c r="K261" s="111">
        <f>K236</f>
        <v>0</v>
      </c>
      <c r="L261" s="457"/>
      <c r="M261" s="117"/>
    </row>
    <row r="262" spans="1:13" ht="99.75" customHeight="1">
      <c r="A262" s="486"/>
      <c r="B262" s="487"/>
      <c r="C262" s="487"/>
      <c r="D262" s="488"/>
      <c r="E262" s="139" t="s">
        <v>78</v>
      </c>
      <c r="F262" s="461"/>
      <c r="G262" s="218" t="s">
        <v>454</v>
      </c>
      <c r="H262" s="111">
        <f>H232+H244</f>
        <v>1250</v>
      </c>
      <c r="I262" s="111">
        <f>I232+I244</f>
        <v>1250</v>
      </c>
      <c r="J262" s="111">
        <f>J232+J244</f>
        <v>0</v>
      </c>
      <c r="K262" s="111">
        <f>K232+K244</f>
        <v>0</v>
      </c>
      <c r="L262" s="457"/>
      <c r="M262" s="117"/>
    </row>
    <row r="263" spans="1:13" ht="75" customHeight="1">
      <c r="A263" s="486"/>
      <c r="B263" s="487"/>
      <c r="C263" s="487"/>
      <c r="D263" s="488"/>
      <c r="E263" s="294" t="s">
        <v>54</v>
      </c>
      <c r="F263" s="461"/>
      <c r="G263" s="217" t="s">
        <v>97</v>
      </c>
      <c r="H263" s="111">
        <f>H264+H265</f>
        <v>40260.5</v>
      </c>
      <c r="I263" s="111">
        <f t="shared" ref="I263:K263" si="126">I264+I265</f>
        <v>20523</v>
      </c>
      <c r="J263" s="111">
        <f t="shared" si="126"/>
        <v>19737.5</v>
      </c>
      <c r="K263" s="111">
        <f t="shared" si="126"/>
        <v>0</v>
      </c>
      <c r="L263" s="457"/>
      <c r="M263" s="117"/>
    </row>
    <row r="264" spans="1:13" ht="75" customHeight="1">
      <c r="A264" s="486"/>
      <c r="B264" s="487"/>
      <c r="C264" s="487"/>
      <c r="D264" s="488"/>
      <c r="E264" s="313"/>
      <c r="F264" s="461"/>
      <c r="G264" s="219" t="s">
        <v>414</v>
      </c>
      <c r="H264" s="111">
        <f>H246</f>
        <v>799.7</v>
      </c>
      <c r="I264" s="111">
        <f t="shared" ref="I264:K264" si="127">I246</f>
        <v>799.7</v>
      </c>
      <c r="J264" s="111">
        <f t="shared" si="127"/>
        <v>0</v>
      </c>
      <c r="K264" s="111">
        <f t="shared" si="127"/>
        <v>0</v>
      </c>
      <c r="L264" s="457"/>
      <c r="M264" s="117"/>
    </row>
    <row r="265" spans="1:13" ht="75" customHeight="1">
      <c r="A265" s="489"/>
      <c r="B265" s="490"/>
      <c r="C265" s="490"/>
      <c r="D265" s="491"/>
      <c r="E265" s="295"/>
      <c r="F265" s="461"/>
      <c r="G265" s="264" t="s">
        <v>454</v>
      </c>
      <c r="H265" s="111">
        <f>H226</f>
        <v>39460.800000000003</v>
      </c>
      <c r="I265" s="111">
        <f>I226</f>
        <v>19723.3</v>
      </c>
      <c r="J265" s="111">
        <f>J226</f>
        <v>19737.5</v>
      </c>
      <c r="K265" s="111">
        <f>K226</f>
        <v>0</v>
      </c>
      <c r="L265" s="457"/>
      <c r="M265" s="117"/>
    </row>
    <row r="266" spans="1:13" ht="75" customHeight="1">
      <c r="A266" s="454" t="s">
        <v>102</v>
      </c>
      <c r="B266" s="455"/>
      <c r="C266" s="455"/>
      <c r="D266" s="455"/>
      <c r="E266" s="455"/>
      <c r="F266" s="456"/>
      <c r="G266" s="220"/>
      <c r="H266" s="106">
        <f>H121+H177+H212+H247</f>
        <v>532607.53029999998</v>
      </c>
      <c r="I266" s="106">
        <f>I121+I177+I212+I247</f>
        <v>291274.72100000002</v>
      </c>
      <c r="J266" s="106">
        <f>J121+J177+J212+J247</f>
        <v>153311.88</v>
      </c>
      <c r="K266" s="106">
        <f>K121+K177+K212+K247</f>
        <v>88020.929299999989</v>
      </c>
      <c r="L266" s="305"/>
      <c r="M266" s="190">
        <f>153942.7-J266</f>
        <v>630.82000000000698</v>
      </c>
    </row>
    <row r="267" spans="1:13" ht="75" customHeight="1">
      <c r="A267" s="307" t="s">
        <v>103</v>
      </c>
      <c r="B267" s="307"/>
      <c r="C267" s="307"/>
      <c r="D267" s="307"/>
      <c r="E267" s="307"/>
      <c r="F267" s="308"/>
      <c r="G267" s="264" t="s">
        <v>451</v>
      </c>
      <c r="H267" s="106">
        <f>H122+H178+H213</f>
        <v>260816.03229999999</v>
      </c>
      <c r="I267" s="106">
        <f>I122+I178+I213</f>
        <v>124820.72299999998</v>
      </c>
      <c r="J267" s="106">
        <f>J122+J178+J213-0.1</f>
        <v>69474.28</v>
      </c>
      <c r="K267" s="106">
        <f>K122+K178+K213</f>
        <v>68020.929299999989</v>
      </c>
      <c r="L267" s="306"/>
    </row>
    <row r="268" spans="1:13" ht="75" customHeight="1">
      <c r="A268" s="309"/>
      <c r="B268" s="309"/>
      <c r="C268" s="309"/>
      <c r="D268" s="309"/>
      <c r="E268" s="309"/>
      <c r="F268" s="310"/>
      <c r="G268" s="264" t="s">
        <v>454</v>
      </c>
      <c r="H268" s="106">
        <f>H250</f>
        <v>200669.72600000002</v>
      </c>
      <c r="I268" s="106">
        <f t="shared" ref="I268:K268" si="128">I250</f>
        <v>96832.225999999995</v>
      </c>
      <c r="J268" s="106">
        <f t="shared" si="128"/>
        <v>83837.5</v>
      </c>
      <c r="K268" s="106">
        <f t="shared" si="128"/>
        <v>20000</v>
      </c>
      <c r="L268" s="306"/>
    </row>
    <row r="269" spans="1:13" ht="102" customHeight="1">
      <c r="A269" s="309"/>
      <c r="B269" s="309"/>
      <c r="C269" s="309"/>
      <c r="D269" s="309"/>
      <c r="E269" s="309"/>
      <c r="F269" s="310"/>
      <c r="G269" s="211" t="s">
        <v>96</v>
      </c>
      <c r="H269" s="106">
        <f>H123</f>
        <v>52839.700000000004</v>
      </c>
      <c r="I269" s="106">
        <f t="shared" ref="I269:K269" si="129">I123</f>
        <v>52839.700000000004</v>
      </c>
      <c r="J269" s="106">
        <f t="shared" si="129"/>
        <v>0</v>
      </c>
      <c r="K269" s="106">
        <f t="shared" si="129"/>
        <v>0</v>
      </c>
      <c r="L269" s="306"/>
    </row>
    <row r="270" spans="1:13" ht="219" customHeight="1">
      <c r="A270" s="309"/>
      <c r="B270" s="309"/>
      <c r="C270" s="309"/>
      <c r="D270" s="309"/>
      <c r="E270" s="309"/>
      <c r="F270" s="310"/>
      <c r="G270" s="183" t="s">
        <v>100</v>
      </c>
      <c r="H270" s="106">
        <f>H180+H214</f>
        <v>6612.1190000000006</v>
      </c>
      <c r="I270" s="106">
        <f>I180+I214</f>
        <v>6612.1190000000006</v>
      </c>
      <c r="J270" s="106">
        <f>J180+J214</f>
        <v>0</v>
      </c>
      <c r="K270" s="106">
        <f>K180+K214</f>
        <v>0</v>
      </c>
      <c r="L270" s="306"/>
    </row>
    <row r="271" spans="1:13" ht="168" customHeight="1">
      <c r="A271" s="309"/>
      <c r="B271" s="309"/>
      <c r="C271" s="309"/>
      <c r="D271" s="309"/>
      <c r="E271" s="309"/>
      <c r="F271" s="310"/>
      <c r="G271" s="211" t="s">
        <v>99</v>
      </c>
      <c r="H271" s="106">
        <f>H124+H179</f>
        <v>4318.2</v>
      </c>
      <c r="I271" s="106">
        <f t="shared" ref="I271:K271" si="130">I124+I179</f>
        <v>4318.2</v>
      </c>
      <c r="J271" s="106">
        <f t="shared" si="130"/>
        <v>0</v>
      </c>
      <c r="K271" s="106">
        <f t="shared" si="130"/>
        <v>0</v>
      </c>
      <c r="L271" s="306"/>
    </row>
    <row r="272" spans="1:13" ht="160.5" customHeight="1">
      <c r="A272" s="309"/>
      <c r="B272" s="309"/>
      <c r="C272" s="309"/>
      <c r="D272" s="309"/>
      <c r="E272" s="309"/>
      <c r="F272" s="310"/>
      <c r="G272" s="183" t="s">
        <v>207</v>
      </c>
      <c r="H272" s="106">
        <f>H248</f>
        <v>2592.0530000000003</v>
      </c>
      <c r="I272" s="106">
        <f t="shared" ref="I272:K272" si="131">I248</f>
        <v>2592.0530000000003</v>
      </c>
      <c r="J272" s="106">
        <f t="shared" si="131"/>
        <v>0</v>
      </c>
      <c r="K272" s="106">
        <f t="shared" si="131"/>
        <v>0</v>
      </c>
      <c r="L272" s="306"/>
    </row>
    <row r="273" spans="1:12" ht="75" customHeight="1">
      <c r="A273" s="309"/>
      <c r="B273" s="309"/>
      <c r="C273" s="309"/>
      <c r="D273" s="309"/>
      <c r="E273" s="309"/>
      <c r="F273" s="310"/>
      <c r="G273" s="219" t="s">
        <v>414</v>
      </c>
      <c r="H273" s="106">
        <f>H249</f>
        <v>799.7</v>
      </c>
      <c r="I273" s="106">
        <f t="shared" ref="I273:K273" si="132">I249</f>
        <v>799.7</v>
      </c>
      <c r="J273" s="106">
        <f t="shared" si="132"/>
        <v>0</v>
      </c>
      <c r="K273" s="106">
        <f t="shared" si="132"/>
        <v>0</v>
      </c>
      <c r="L273" s="306"/>
    </row>
    <row r="274" spans="1:12" ht="75" customHeight="1">
      <c r="A274" s="311"/>
      <c r="B274" s="311"/>
      <c r="C274" s="311"/>
      <c r="D274" s="311"/>
      <c r="E274" s="311"/>
      <c r="F274" s="312"/>
      <c r="G274" s="211" t="s">
        <v>345</v>
      </c>
      <c r="H274" s="106">
        <f>H125</f>
        <v>60</v>
      </c>
      <c r="I274" s="106">
        <f t="shared" ref="I274:K274" si="133">I125</f>
        <v>60</v>
      </c>
      <c r="J274" s="106">
        <f t="shared" si="133"/>
        <v>0</v>
      </c>
      <c r="K274" s="106">
        <f t="shared" si="133"/>
        <v>0</v>
      </c>
      <c r="L274" s="306"/>
    </row>
    <row r="275" spans="1:12" ht="75" customHeight="1">
      <c r="A275" s="307" t="s">
        <v>95</v>
      </c>
      <c r="B275" s="307"/>
      <c r="C275" s="307"/>
      <c r="D275" s="308"/>
      <c r="E275" s="318" t="s">
        <v>82</v>
      </c>
      <c r="F275" s="321"/>
      <c r="G275" s="211" t="s">
        <v>90</v>
      </c>
      <c r="H275" s="106">
        <f>SUM(H276:H281)</f>
        <v>72206.61</v>
      </c>
      <c r="I275" s="106">
        <f>SUM(I276:I281)</f>
        <v>41972.21</v>
      </c>
      <c r="J275" s="106">
        <f>SUM(J276:J281)</f>
        <v>13756.7</v>
      </c>
      <c r="K275" s="106">
        <f>SUM(K276:K281)</f>
        <v>10406.5</v>
      </c>
      <c r="L275" s="221"/>
    </row>
    <row r="276" spans="1:12" ht="75" customHeight="1">
      <c r="A276" s="309"/>
      <c r="B276" s="309"/>
      <c r="C276" s="309"/>
      <c r="D276" s="310"/>
      <c r="E276" s="319"/>
      <c r="F276" s="322"/>
      <c r="G276" s="265" t="s">
        <v>450</v>
      </c>
      <c r="H276" s="107">
        <f>H127+H183</f>
        <v>27739.84</v>
      </c>
      <c r="I276" s="107">
        <f>I127+I183</f>
        <v>15905.439999999999</v>
      </c>
      <c r="J276" s="107">
        <f>J127+J183</f>
        <v>356.7</v>
      </c>
      <c r="K276" s="107">
        <f t="shared" ref="K276" si="134">K127+K183</f>
        <v>5406.5</v>
      </c>
      <c r="L276" s="222"/>
    </row>
    <row r="277" spans="1:12" ht="75" customHeight="1">
      <c r="A277" s="309"/>
      <c r="B277" s="309"/>
      <c r="C277" s="309"/>
      <c r="D277" s="310"/>
      <c r="E277" s="319"/>
      <c r="F277" s="322"/>
      <c r="G277" s="188" t="s">
        <v>96</v>
      </c>
      <c r="H277" s="107">
        <f>H130</f>
        <v>12485.6</v>
      </c>
      <c r="I277" s="107">
        <f t="shared" ref="I277:K277" si="135">I130</f>
        <v>12485.6</v>
      </c>
      <c r="J277" s="107">
        <f t="shared" si="135"/>
        <v>0</v>
      </c>
      <c r="K277" s="107">
        <f t="shared" si="135"/>
        <v>0</v>
      </c>
      <c r="L277" s="222"/>
    </row>
    <row r="278" spans="1:12" ht="174.75" customHeight="1">
      <c r="A278" s="309"/>
      <c r="B278" s="309"/>
      <c r="C278" s="309"/>
      <c r="D278" s="310"/>
      <c r="E278" s="319"/>
      <c r="F278" s="322"/>
      <c r="G278" s="188" t="str">
        <f>G128</f>
        <v>Субвенція з місцевого бюджету на здійснення переданих видатків у сфері охорони здоров'я за рахунок коштів медичної субвенції (загальний фонд)</v>
      </c>
      <c r="H278" s="109">
        <f>H128+H182</f>
        <v>147.79999999999998</v>
      </c>
      <c r="I278" s="109">
        <f t="shared" ref="I278:K278" si="136">I128+I182</f>
        <v>147.79999999999998</v>
      </c>
      <c r="J278" s="109">
        <f t="shared" si="136"/>
        <v>0</v>
      </c>
      <c r="K278" s="109">
        <f t="shared" si="136"/>
        <v>0</v>
      </c>
      <c r="L278" s="222"/>
    </row>
    <row r="279" spans="1:12" ht="147.75" customHeight="1">
      <c r="A279" s="309"/>
      <c r="B279" s="309"/>
      <c r="C279" s="309"/>
      <c r="D279" s="310"/>
      <c r="E279" s="319"/>
      <c r="F279" s="322"/>
      <c r="G279" s="188" t="s">
        <v>207</v>
      </c>
      <c r="H279" s="107">
        <f>H253</f>
        <v>250</v>
      </c>
      <c r="I279" s="107">
        <f t="shared" ref="I279:K279" si="137">I253</f>
        <v>250</v>
      </c>
      <c r="J279" s="107">
        <f t="shared" si="137"/>
        <v>0</v>
      </c>
      <c r="K279" s="107">
        <f t="shared" si="137"/>
        <v>0</v>
      </c>
      <c r="L279" s="222"/>
    </row>
    <row r="280" spans="1:12" ht="75" customHeight="1">
      <c r="A280" s="309"/>
      <c r="B280" s="309"/>
      <c r="C280" s="309"/>
      <c r="D280" s="310"/>
      <c r="E280" s="319"/>
      <c r="F280" s="322"/>
      <c r="G280" s="135" t="s">
        <v>345</v>
      </c>
      <c r="H280" s="107">
        <f>H129</f>
        <v>60</v>
      </c>
      <c r="I280" s="107">
        <f t="shared" ref="I280:K280" si="138">I129</f>
        <v>60</v>
      </c>
      <c r="J280" s="107">
        <f t="shared" si="138"/>
        <v>0</v>
      </c>
      <c r="K280" s="107">
        <f t="shared" si="138"/>
        <v>0</v>
      </c>
      <c r="L280" s="222"/>
    </row>
    <row r="281" spans="1:12" ht="85.5" customHeight="1">
      <c r="A281" s="309"/>
      <c r="B281" s="309"/>
      <c r="C281" s="309"/>
      <c r="D281" s="310"/>
      <c r="E281" s="320"/>
      <c r="F281" s="322"/>
      <c r="G281" s="265" t="s">
        <v>454</v>
      </c>
      <c r="H281" s="107">
        <f>H252</f>
        <v>31523.37</v>
      </c>
      <c r="I281" s="107">
        <f>I252</f>
        <v>13123.369999999999</v>
      </c>
      <c r="J281" s="107">
        <f t="shared" ref="J281:K281" si="139">J252</f>
        <v>13400</v>
      </c>
      <c r="K281" s="107">
        <f t="shared" si="139"/>
        <v>5000</v>
      </c>
      <c r="L281" s="222"/>
    </row>
    <row r="282" spans="1:12" ht="75" customHeight="1">
      <c r="A282" s="309"/>
      <c r="B282" s="309"/>
      <c r="C282" s="309"/>
      <c r="D282" s="310"/>
      <c r="E282" s="318" t="s">
        <v>76</v>
      </c>
      <c r="F282" s="322"/>
      <c r="G282" s="211" t="s">
        <v>90</v>
      </c>
      <c r="H282" s="106">
        <f>SUM(H283:H285)</f>
        <v>45968.479999999996</v>
      </c>
      <c r="I282" s="106">
        <f t="shared" ref="I282:K282" si="140">SUM(I283:I285)</f>
        <v>21906.63</v>
      </c>
      <c r="J282" s="106">
        <f t="shared" si="140"/>
        <v>14100.38</v>
      </c>
      <c r="K282" s="106">
        <f t="shared" si="140"/>
        <v>13130.599999999999</v>
      </c>
      <c r="L282" s="222"/>
    </row>
    <row r="283" spans="1:12" ht="75" customHeight="1">
      <c r="A283" s="309"/>
      <c r="B283" s="309"/>
      <c r="C283" s="309"/>
      <c r="D283" s="310"/>
      <c r="E283" s="319"/>
      <c r="F283" s="322"/>
      <c r="G283" s="265" t="s">
        <v>450</v>
      </c>
      <c r="H283" s="107">
        <f>H132+H184+H220</f>
        <v>33676.379999999997</v>
      </c>
      <c r="I283" s="107">
        <f>I132+I184+I220</f>
        <v>13145.399999999998</v>
      </c>
      <c r="J283" s="107">
        <f>J132+J184+J220</f>
        <v>9900.3799999999992</v>
      </c>
      <c r="K283" s="107">
        <f>K132+K184+K220</f>
        <v>10630.599999999999</v>
      </c>
      <c r="L283" s="223"/>
    </row>
    <row r="284" spans="1:12" ht="75" customHeight="1">
      <c r="A284" s="309"/>
      <c r="B284" s="309"/>
      <c r="C284" s="309"/>
      <c r="D284" s="310"/>
      <c r="E284" s="319"/>
      <c r="F284" s="322"/>
      <c r="G284" s="188" t="s">
        <v>96</v>
      </c>
      <c r="H284" s="107">
        <f>H133</f>
        <v>8160.1</v>
      </c>
      <c r="I284" s="107">
        <f t="shared" ref="I284:K284" si="141">I133</f>
        <v>8160.1</v>
      </c>
      <c r="J284" s="107">
        <f t="shared" si="141"/>
        <v>0</v>
      </c>
      <c r="K284" s="107">
        <f t="shared" si="141"/>
        <v>0</v>
      </c>
      <c r="L284" s="222"/>
    </row>
    <row r="285" spans="1:12" ht="75" customHeight="1">
      <c r="A285" s="309"/>
      <c r="B285" s="309"/>
      <c r="C285" s="309"/>
      <c r="D285" s="310"/>
      <c r="E285" s="320"/>
      <c r="F285" s="322"/>
      <c r="G285" s="265" t="s">
        <v>454</v>
      </c>
      <c r="H285" s="107">
        <f>H254</f>
        <v>4132</v>
      </c>
      <c r="I285" s="107">
        <f t="shared" ref="I285:K285" si="142">I254</f>
        <v>601.13</v>
      </c>
      <c r="J285" s="107">
        <f t="shared" si="142"/>
        <v>4200</v>
      </c>
      <c r="K285" s="107">
        <f t="shared" si="142"/>
        <v>2500</v>
      </c>
      <c r="L285" s="223"/>
    </row>
    <row r="286" spans="1:12" ht="75" customHeight="1">
      <c r="A286" s="309"/>
      <c r="B286" s="309"/>
      <c r="C286" s="309"/>
      <c r="D286" s="310"/>
      <c r="E286" s="318" t="s">
        <v>77</v>
      </c>
      <c r="F286" s="322"/>
      <c r="G286" s="211" t="s">
        <v>90</v>
      </c>
      <c r="H286" s="106">
        <f>SUM(H287:H290)</f>
        <v>96071.41399999999</v>
      </c>
      <c r="I286" s="106">
        <f t="shared" ref="I286:K286" si="143">SUM(I287:I290)</f>
        <v>56314.854000000007</v>
      </c>
      <c r="J286" s="106">
        <f t="shared" si="143"/>
        <v>26846.57</v>
      </c>
      <c r="K286" s="106">
        <f t="shared" si="143"/>
        <v>12909.99</v>
      </c>
      <c r="L286" s="223"/>
    </row>
    <row r="287" spans="1:12" ht="75" customHeight="1">
      <c r="A287" s="309"/>
      <c r="B287" s="309"/>
      <c r="C287" s="309"/>
      <c r="D287" s="310"/>
      <c r="E287" s="319"/>
      <c r="F287" s="322"/>
      <c r="G287" s="265" t="s">
        <v>450</v>
      </c>
      <c r="H287" s="107">
        <f>H135+H185+H221</f>
        <v>38301.259999999995</v>
      </c>
      <c r="I287" s="107">
        <f>I135+I185+I221</f>
        <v>23044.7</v>
      </c>
      <c r="J287" s="107">
        <f>J135+J185+J221</f>
        <v>7346.57</v>
      </c>
      <c r="K287" s="107">
        <f>K135+K185+K221</f>
        <v>7909.99</v>
      </c>
      <c r="L287" s="223"/>
    </row>
    <row r="288" spans="1:12" ht="91.5" customHeight="1">
      <c r="A288" s="309"/>
      <c r="B288" s="309"/>
      <c r="C288" s="309"/>
      <c r="D288" s="310"/>
      <c r="E288" s="319"/>
      <c r="F288" s="322"/>
      <c r="G288" s="188" t="s">
        <v>96</v>
      </c>
      <c r="H288" s="107">
        <f>H136</f>
        <v>12866.2</v>
      </c>
      <c r="I288" s="107">
        <f t="shared" ref="I288:K288" si="144">I136</f>
        <v>12866.2</v>
      </c>
      <c r="J288" s="107">
        <f t="shared" si="144"/>
        <v>0</v>
      </c>
      <c r="K288" s="107">
        <f t="shared" si="144"/>
        <v>0</v>
      </c>
      <c r="L288" s="223"/>
    </row>
    <row r="289" spans="1:12" ht="159" customHeight="1">
      <c r="A289" s="309"/>
      <c r="B289" s="309"/>
      <c r="C289" s="309"/>
      <c r="D289" s="310"/>
      <c r="E289" s="319"/>
      <c r="F289" s="322"/>
      <c r="G289" s="188" t="s">
        <v>99</v>
      </c>
      <c r="H289" s="107">
        <f>H137</f>
        <v>2680.3</v>
      </c>
      <c r="I289" s="107">
        <f t="shared" ref="I289:K289" si="145">I137</f>
        <v>2680.3</v>
      </c>
      <c r="J289" s="107">
        <f t="shared" si="145"/>
        <v>0</v>
      </c>
      <c r="K289" s="107">
        <f t="shared" si="145"/>
        <v>0</v>
      </c>
      <c r="L289" s="223"/>
    </row>
    <row r="290" spans="1:12" ht="75" customHeight="1">
      <c r="A290" s="309"/>
      <c r="B290" s="309"/>
      <c r="C290" s="309"/>
      <c r="D290" s="310"/>
      <c r="E290" s="320"/>
      <c r="F290" s="322"/>
      <c r="G290" s="265" t="s">
        <v>454</v>
      </c>
      <c r="H290" s="107">
        <f>H255</f>
        <v>42223.654000000002</v>
      </c>
      <c r="I290" s="107">
        <f t="shared" ref="I290:K290" si="146">I255</f>
        <v>17723.654000000002</v>
      </c>
      <c r="J290" s="107">
        <f t="shared" si="146"/>
        <v>19500</v>
      </c>
      <c r="K290" s="107">
        <f t="shared" si="146"/>
        <v>5000</v>
      </c>
      <c r="L290" s="223"/>
    </row>
    <row r="291" spans="1:12" ht="75" customHeight="1">
      <c r="A291" s="309"/>
      <c r="B291" s="309"/>
      <c r="C291" s="309"/>
      <c r="D291" s="310"/>
      <c r="E291" s="318" t="s">
        <v>75</v>
      </c>
      <c r="F291" s="322"/>
      <c r="G291" s="211" t="s">
        <v>90</v>
      </c>
      <c r="H291" s="106">
        <f>SUM(H292:H295)</f>
        <v>104235.36</v>
      </c>
      <c r="I291" s="106">
        <f t="shared" ref="I291:K291" si="147">SUM(I292:I295)</f>
        <v>63223.638000000006</v>
      </c>
      <c r="J291" s="106">
        <f t="shared" si="147"/>
        <v>26789.53</v>
      </c>
      <c r="K291" s="106">
        <f t="shared" si="147"/>
        <v>14222.192000000001</v>
      </c>
      <c r="L291" s="223"/>
    </row>
    <row r="292" spans="1:12" ht="75" customHeight="1">
      <c r="A292" s="309"/>
      <c r="B292" s="309"/>
      <c r="C292" s="309"/>
      <c r="D292" s="310"/>
      <c r="E292" s="319"/>
      <c r="F292" s="322"/>
      <c r="G292" s="268" t="s">
        <v>450</v>
      </c>
      <c r="H292" s="107">
        <f>H139+H186+H222</f>
        <v>42084.104999999996</v>
      </c>
      <c r="I292" s="107">
        <f>I139+I186+I222</f>
        <v>22972.383000000002</v>
      </c>
      <c r="J292" s="107">
        <f>J139+J186+J222</f>
        <v>9889.5300000000007</v>
      </c>
      <c r="K292" s="107">
        <f>K139+K186+K222</f>
        <v>9222.1920000000009</v>
      </c>
      <c r="L292" s="223"/>
    </row>
    <row r="293" spans="1:12" ht="75" customHeight="1">
      <c r="A293" s="309"/>
      <c r="B293" s="309"/>
      <c r="C293" s="309"/>
      <c r="D293" s="310"/>
      <c r="E293" s="319"/>
      <c r="F293" s="322"/>
      <c r="G293" s="188" t="s">
        <v>96</v>
      </c>
      <c r="H293" s="107">
        <f>H140</f>
        <v>11848</v>
      </c>
      <c r="I293" s="107">
        <f t="shared" ref="I293:K293" si="148">I140</f>
        <v>11848</v>
      </c>
      <c r="J293" s="107">
        <f t="shared" si="148"/>
        <v>0</v>
      </c>
      <c r="K293" s="107">
        <f t="shared" si="148"/>
        <v>0</v>
      </c>
      <c r="L293" s="223"/>
    </row>
    <row r="294" spans="1:12" ht="168.75" customHeight="1">
      <c r="A294" s="309"/>
      <c r="B294" s="309"/>
      <c r="C294" s="309"/>
      <c r="D294" s="310"/>
      <c r="E294" s="319"/>
      <c r="F294" s="322"/>
      <c r="G294" s="188" t="s">
        <v>207</v>
      </c>
      <c r="H294" s="107">
        <f>H258</f>
        <v>1412.0530000000003</v>
      </c>
      <c r="I294" s="107">
        <f t="shared" ref="I294:K294" si="149">I258</f>
        <v>1412.0530000000003</v>
      </c>
      <c r="J294" s="107">
        <f t="shared" si="149"/>
        <v>0</v>
      </c>
      <c r="K294" s="107">
        <f t="shared" si="149"/>
        <v>0</v>
      </c>
      <c r="L294" s="223"/>
    </row>
    <row r="295" spans="1:12" ht="75" customHeight="1">
      <c r="A295" s="309"/>
      <c r="B295" s="309"/>
      <c r="C295" s="309"/>
      <c r="D295" s="310"/>
      <c r="E295" s="320"/>
      <c r="F295" s="322"/>
      <c r="G295" s="265" t="s">
        <v>454</v>
      </c>
      <c r="H295" s="107">
        <f>H257</f>
        <v>48891.202000000005</v>
      </c>
      <c r="I295" s="107">
        <f t="shared" ref="I295:K295" si="150">I257</f>
        <v>26991.202000000001</v>
      </c>
      <c r="J295" s="107">
        <f t="shared" si="150"/>
        <v>16900</v>
      </c>
      <c r="K295" s="107">
        <f t="shared" si="150"/>
        <v>5000</v>
      </c>
      <c r="L295" s="223"/>
    </row>
    <row r="296" spans="1:12" ht="75" customHeight="1">
      <c r="A296" s="309"/>
      <c r="B296" s="309"/>
      <c r="C296" s="309"/>
      <c r="D296" s="310"/>
      <c r="E296" s="318" t="s">
        <v>79</v>
      </c>
      <c r="F296" s="322"/>
      <c r="G296" s="211" t="s">
        <v>90</v>
      </c>
      <c r="H296" s="106">
        <f>SUM(H297:H300)</f>
        <v>47833.29</v>
      </c>
      <c r="I296" s="106">
        <f t="shared" ref="I296:K296" si="151">SUM(I297:I300)</f>
        <v>30960.57</v>
      </c>
      <c r="J296" s="106">
        <f t="shared" si="151"/>
        <v>13358.8</v>
      </c>
      <c r="K296" s="106">
        <f t="shared" si="151"/>
        <v>3513.92</v>
      </c>
      <c r="L296" s="223"/>
    </row>
    <row r="297" spans="1:12" ht="75" customHeight="1">
      <c r="A297" s="309"/>
      <c r="B297" s="309"/>
      <c r="C297" s="309"/>
      <c r="D297" s="310"/>
      <c r="E297" s="319"/>
      <c r="F297" s="322"/>
      <c r="G297" s="268" t="s">
        <v>450</v>
      </c>
      <c r="H297" s="107">
        <f>H142</f>
        <v>13036.12</v>
      </c>
      <c r="I297" s="107">
        <f t="shared" ref="I297:K297" si="152">I142</f>
        <v>6263.4000000000005</v>
      </c>
      <c r="J297" s="107">
        <f t="shared" si="152"/>
        <v>3258.8</v>
      </c>
      <c r="K297" s="107">
        <f t="shared" si="152"/>
        <v>3513.92</v>
      </c>
      <c r="L297" s="223"/>
    </row>
    <row r="298" spans="1:12" ht="75" customHeight="1">
      <c r="A298" s="309"/>
      <c r="B298" s="309"/>
      <c r="C298" s="309"/>
      <c r="D298" s="310"/>
      <c r="E298" s="319"/>
      <c r="F298" s="322"/>
      <c r="G298" s="188" t="s">
        <v>96</v>
      </c>
      <c r="H298" s="107">
        <f>H143</f>
        <v>6347.6</v>
      </c>
      <c r="I298" s="107">
        <f t="shared" ref="I298:K298" si="153">I143</f>
        <v>6347.6</v>
      </c>
      <c r="J298" s="107">
        <f t="shared" si="153"/>
        <v>0</v>
      </c>
      <c r="K298" s="107">
        <f t="shared" si="153"/>
        <v>0</v>
      </c>
      <c r="L298" s="223"/>
    </row>
    <row r="299" spans="1:12" ht="198" customHeight="1">
      <c r="A299" s="309"/>
      <c r="B299" s="309"/>
      <c r="C299" s="309"/>
      <c r="D299" s="310"/>
      <c r="E299" s="319"/>
      <c r="F299" s="322"/>
      <c r="G299" s="188" t="s">
        <v>207</v>
      </c>
      <c r="H299" s="107">
        <f>H261</f>
        <v>930</v>
      </c>
      <c r="I299" s="107">
        <f t="shared" ref="I299:K299" si="154">I261</f>
        <v>930</v>
      </c>
      <c r="J299" s="107">
        <f t="shared" si="154"/>
        <v>0</v>
      </c>
      <c r="K299" s="107">
        <f t="shared" si="154"/>
        <v>0</v>
      </c>
      <c r="L299" s="223"/>
    </row>
    <row r="300" spans="1:12" ht="75" customHeight="1">
      <c r="A300" s="309"/>
      <c r="B300" s="309"/>
      <c r="C300" s="309"/>
      <c r="D300" s="310"/>
      <c r="E300" s="320"/>
      <c r="F300" s="322"/>
      <c r="G300" s="265" t="s">
        <v>454</v>
      </c>
      <c r="H300" s="107">
        <f>H260</f>
        <v>27519.57</v>
      </c>
      <c r="I300" s="107">
        <f t="shared" ref="I300:K300" si="155">I260</f>
        <v>17419.57</v>
      </c>
      <c r="J300" s="107">
        <f t="shared" si="155"/>
        <v>10100</v>
      </c>
      <c r="K300" s="107">
        <f t="shared" si="155"/>
        <v>0</v>
      </c>
      <c r="L300" s="223"/>
    </row>
    <row r="301" spans="1:12" ht="75" customHeight="1">
      <c r="A301" s="309"/>
      <c r="B301" s="309"/>
      <c r="C301" s="309"/>
      <c r="D301" s="310"/>
      <c r="E301" s="318" t="s">
        <v>78</v>
      </c>
      <c r="F301" s="322"/>
      <c r="G301" s="211" t="s">
        <v>90</v>
      </c>
      <c r="H301" s="106">
        <f>SUM(H302:H304)</f>
        <v>27734.575000000001</v>
      </c>
      <c r="I301" s="106">
        <f t="shared" ref="I301:K301" si="156">SUM(I302:I304)</f>
        <v>9335</v>
      </c>
      <c r="J301" s="106">
        <f t="shared" si="156"/>
        <v>8904.6</v>
      </c>
      <c r="K301" s="106">
        <f t="shared" si="156"/>
        <v>9494.9750000000004</v>
      </c>
      <c r="L301" s="223"/>
    </row>
    <row r="302" spans="1:12" ht="75" customHeight="1">
      <c r="A302" s="309"/>
      <c r="B302" s="309"/>
      <c r="C302" s="309"/>
      <c r="D302" s="310"/>
      <c r="E302" s="319"/>
      <c r="F302" s="322"/>
      <c r="G302" s="268" t="s">
        <v>450</v>
      </c>
      <c r="H302" s="107">
        <f>H145+H187</f>
        <v>25352.375</v>
      </c>
      <c r="I302" s="107">
        <f t="shared" ref="I302:K302" si="157">I145+I187</f>
        <v>6952.8</v>
      </c>
      <c r="J302" s="107">
        <f t="shared" si="157"/>
        <v>8904.6</v>
      </c>
      <c r="K302" s="107">
        <f t="shared" si="157"/>
        <v>9494.9750000000004</v>
      </c>
      <c r="L302" s="223"/>
    </row>
    <row r="303" spans="1:12" ht="75" customHeight="1">
      <c r="A303" s="309"/>
      <c r="B303" s="309"/>
      <c r="C303" s="309"/>
      <c r="D303" s="310"/>
      <c r="E303" s="319"/>
      <c r="F303" s="322"/>
      <c r="G303" s="188" t="s">
        <v>96</v>
      </c>
      <c r="H303" s="107">
        <f>H146</f>
        <v>1132.2</v>
      </c>
      <c r="I303" s="107">
        <f t="shared" ref="I303:K303" si="158">I146</f>
        <v>1132.2</v>
      </c>
      <c r="J303" s="107">
        <f t="shared" si="158"/>
        <v>0</v>
      </c>
      <c r="K303" s="107">
        <f t="shared" si="158"/>
        <v>0</v>
      </c>
      <c r="L303" s="223"/>
    </row>
    <row r="304" spans="1:12" ht="75" customHeight="1">
      <c r="A304" s="309"/>
      <c r="B304" s="309"/>
      <c r="C304" s="309"/>
      <c r="D304" s="310"/>
      <c r="E304" s="320"/>
      <c r="F304" s="322"/>
      <c r="G304" s="265" t="s">
        <v>454</v>
      </c>
      <c r="H304" s="107">
        <f>H262</f>
        <v>1250</v>
      </c>
      <c r="I304" s="107">
        <f t="shared" ref="I304:K304" si="159">I262</f>
        <v>1250</v>
      </c>
      <c r="J304" s="107">
        <f t="shared" si="159"/>
        <v>0</v>
      </c>
      <c r="K304" s="107">
        <f t="shared" si="159"/>
        <v>0</v>
      </c>
      <c r="L304" s="223"/>
    </row>
    <row r="305" spans="1:13" ht="75" customHeight="1">
      <c r="A305" s="309"/>
      <c r="B305" s="309"/>
      <c r="C305" s="309"/>
      <c r="D305" s="310"/>
      <c r="E305" s="318" t="s">
        <v>80</v>
      </c>
      <c r="F305" s="322"/>
      <c r="G305" s="211" t="s">
        <v>90</v>
      </c>
      <c r="H305" s="106">
        <f>SUM(H306:H307)</f>
        <v>24648.81</v>
      </c>
      <c r="I305" s="106">
        <f t="shared" ref="I305:K305" si="160">SUM(I306:I307)</f>
        <v>7607.41</v>
      </c>
      <c r="J305" s="106">
        <f t="shared" si="160"/>
        <v>8235.5999999999985</v>
      </c>
      <c r="K305" s="106">
        <f t="shared" si="160"/>
        <v>8805.7999999999993</v>
      </c>
      <c r="L305" s="223"/>
    </row>
    <row r="306" spans="1:13" ht="75" customHeight="1">
      <c r="A306" s="309"/>
      <c r="B306" s="309"/>
      <c r="C306" s="309"/>
      <c r="D306" s="310"/>
      <c r="E306" s="319"/>
      <c r="F306" s="322"/>
      <c r="G306" s="268" t="s">
        <v>450</v>
      </c>
      <c r="H306" s="107">
        <f>H147+H188+H217</f>
        <v>24646.31</v>
      </c>
      <c r="I306" s="107">
        <f>I147+I188+I217</f>
        <v>7604.91</v>
      </c>
      <c r="J306" s="107">
        <f>J147+J188+J217</f>
        <v>8235.5999999999985</v>
      </c>
      <c r="K306" s="107">
        <f>K147+K188+K217</f>
        <v>8805.7999999999993</v>
      </c>
      <c r="L306" s="223"/>
    </row>
    <row r="307" spans="1:13" ht="222.75" customHeight="1">
      <c r="A307" s="309"/>
      <c r="B307" s="309"/>
      <c r="C307" s="309"/>
      <c r="D307" s="310"/>
      <c r="E307" s="320"/>
      <c r="F307" s="322"/>
      <c r="G307" s="224" t="s">
        <v>100</v>
      </c>
      <c r="H307" s="107">
        <f>H216</f>
        <v>2.5</v>
      </c>
      <c r="I307" s="107">
        <f t="shared" ref="I307:K307" si="161">I216</f>
        <v>2.5</v>
      </c>
      <c r="J307" s="107">
        <f t="shared" si="161"/>
        <v>0</v>
      </c>
      <c r="K307" s="107">
        <f t="shared" si="161"/>
        <v>0</v>
      </c>
      <c r="L307" s="223"/>
    </row>
    <row r="308" spans="1:13" ht="75" customHeight="1">
      <c r="A308" s="309"/>
      <c r="B308" s="309"/>
      <c r="C308" s="309"/>
      <c r="D308" s="310"/>
      <c r="E308" s="318" t="s">
        <v>81</v>
      </c>
      <c r="F308" s="322"/>
      <c r="G308" s="211" t="s">
        <v>90</v>
      </c>
      <c r="H308" s="106">
        <f>H309</f>
        <v>28054.842300000004</v>
      </c>
      <c r="I308" s="106">
        <f t="shared" ref="I308:K308" si="162">I309</f>
        <v>8442.69</v>
      </c>
      <c r="J308" s="106">
        <f t="shared" si="162"/>
        <v>9562.9000000000015</v>
      </c>
      <c r="K308" s="106">
        <f t="shared" si="162"/>
        <v>10049.2523</v>
      </c>
      <c r="L308" s="223"/>
    </row>
    <row r="309" spans="1:13" ht="75" customHeight="1">
      <c r="A309" s="309"/>
      <c r="B309" s="309"/>
      <c r="C309" s="309"/>
      <c r="D309" s="310"/>
      <c r="E309" s="320"/>
      <c r="F309" s="322"/>
      <c r="G309" s="268" t="s">
        <v>450</v>
      </c>
      <c r="H309" s="107">
        <f>I309+J309+K309</f>
        <v>28054.842300000004</v>
      </c>
      <c r="I309" s="107">
        <f>I148+I189+I219</f>
        <v>8442.69</v>
      </c>
      <c r="J309" s="107">
        <f>J148+J189+J219</f>
        <v>9562.9000000000015</v>
      </c>
      <c r="K309" s="107">
        <f>K148+K189+K219</f>
        <v>10049.2523</v>
      </c>
      <c r="L309" s="223"/>
    </row>
    <row r="310" spans="1:13" ht="75" customHeight="1">
      <c r="A310" s="309"/>
      <c r="B310" s="309"/>
      <c r="C310" s="309"/>
      <c r="D310" s="310"/>
      <c r="E310" s="137" t="s">
        <v>426</v>
      </c>
      <c r="F310" s="322"/>
      <c r="G310" s="268" t="s">
        <v>450</v>
      </c>
      <c r="H310" s="106">
        <f>H149</f>
        <v>3000</v>
      </c>
      <c r="I310" s="106">
        <f t="shared" ref="I310:K310" si="163">I149</f>
        <v>3000</v>
      </c>
      <c r="J310" s="106">
        <f t="shared" si="163"/>
        <v>0</v>
      </c>
      <c r="K310" s="106">
        <f t="shared" si="163"/>
        <v>0</v>
      </c>
      <c r="L310" s="223"/>
    </row>
    <row r="311" spans="1:13" ht="75" customHeight="1">
      <c r="A311" s="309"/>
      <c r="B311" s="309"/>
      <c r="C311" s="309"/>
      <c r="D311" s="310"/>
      <c r="E311" s="318" t="s">
        <v>54</v>
      </c>
      <c r="F311" s="322"/>
      <c r="G311" s="211" t="s">
        <v>90</v>
      </c>
      <c r="H311" s="106">
        <f>SUM(H312:H316)</f>
        <v>74179.418999999994</v>
      </c>
      <c r="I311" s="106">
        <f t="shared" ref="I311:K311" si="164">SUM(I312:I316)</f>
        <v>45904.919000000002</v>
      </c>
      <c r="J311" s="106">
        <f t="shared" si="164"/>
        <v>25286.799999999999</v>
      </c>
      <c r="K311" s="106">
        <f t="shared" si="164"/>
        <v>2987.7</v>
      </c>
      <c r="L311" s="223"/>
    </row>
    <row r="312" spans="1:13" ht="75" customHeight="1">
      <c r="A312" s="309"/>
      <c r="B312" s="309"/>
      <c r="C312" s="309"/>
      <c r="D312" s="310"/>
      <c r="E312" s="319"/>
      <c r="F312" s="322"/>
      <c r="G312" s="268" t="s">
        <v>450</v>
      </c>
      <c r="H312" s="107">
        <f>H193+H218</f>
        <v>25819.200000000001</v>
      </c>
      <c r="I312" s="107">
        <f>I193+I218</f>
        <v>17282.2</v>
      </c>
      <c r="J312" s="107">
        <f>J193+J218</f>
        <v>5549.3</v>
      </c>
      <c r="K312" s="107">
        <f>K193+K218</f>
        <v>2987.7</v>
      </c>
      <c r="L312" s="223"/>
    </row>
    <row r="313" spans="1:13" ht="223.5" customHeight="1">
      <c r="A313" s="309"/>
      <c r="B313" s="309"/>
      <c r="C313" s="309"/>
      <c r="D313" s="310"/>
      <c r="E313" s="319"/>
      <c r="F313" s="322"/>
      <c r="G313" s="135" t="s">
        <v>100</v>
      </c>
      <c r="H313" s="107">
        <f>H192</f>
        <v>6609.6190000000006</v>
      </c>
      <c r="I313" s="107">
        <f t="shared" ref="I313:K313" si="165">I192</f>
        <v>6609.6190000000006</v>
      </c>
      <c r="J313" s="107">
        <f t="shared" si="165"/>
        <v>0</v>
      </c>
      <c r="K313" s="107">
        <f t="shared" si="165"/>
        <v>0</v>
      </c>
      <c r="L313" s="223"/>
    </row>
    <row r="314" spans="1:13" ht="173.25" customHeight="1">
      <c r="A314" s="309"/>
      <c r="B314" s="309"/>
      <c r="C314" s="309"/>
      <c r="D314" s="310"/>
      <c r="E314" s="319"/>
      <c r="F314" s="322"/>
      <c r="G314" s="135" t="s">
        <v>99</v>
      </c>
      <c r="H314" s="107">
        <f>H191</f>
        <v>1490.1</v>
      </c>
      <c r="I314" s="107">
        <f t="shared" ref="I314:K314" si="166">I191</f>
        <v>1490.1</v>
      </c>
      <c r="J314" s="107">
        <f t="shared" si="166"/>
        <v>0</v>
      </c>
      <c r="K314" s="107">
        <f t="shared" si="166"/>
        <v>0</v>
      </c>
      <c r="L314" s="223"/>
    </row>
    <row r="315" spans="1:13" ht="75" customHeight="1">
      <c r="A315" s="309"/>
      <c r="B315" s="309"/>
      <c r="C315" s="309"/>
      <c r="D315" s="310"/>
      <c r="E315" s="319"/>
      <c r="F315" s="322"/>
      <c r="G315" s="170" t="s">
        <v>414</v>
      </c>
      <c r="H315" s="107">
        <f>H273</f>
        <v>799.7</v>
      </c>
      <c r="I315" s="107">
        <f t="shared" ref="I315:K315" si="167">I273</f>
        <v>799.7</v>
      </c>
      <c r="J315" s="107">
        <f t="shared" si="167"/>
        <v>0</v>
      </c>
      <c r="K315" s="107">
        <f t="shared" si="167"/>
        <v>0</v>
      </c>
      <c r="L315" s="223"/>
    </row>
    <row r="316" spans="1:13" ht="75" customHeight="1">
      <c r="A316" s="311"/>
      <c r="B316" s="311"/>
      <c r="C316" s="311"/>
      <c r="D316" s="312"/>
      <c r="E316" s="320"/>
      <c r="F316" s="323"/>
      <c r="G316" s="265" t="s">
        <v>454</v>
      </c>
      <c r="H316" s="107">
        <f>H265</f>
        <v>39460.800000000003</v>
      </c>
      <c r="I316" s="107">
        <f t="shared" ref="I316:K316" si="168">I265</f>
        <v>19723.3</v>
      </c>
      <c r="J316" s="107">
        <f t="shared" si="168"/>
        <v>19737.5</v>
      </c>
      <c r="K316" s="107">
        <f t="shared" si="168"/>
        <v>0</v>
      </c>
      <c r="L316" s="225"/>
    </row>
    <row r="317" spans="1:13" ht="75" customHeight="1">
      <c r="A317" s="449" t="s">
        <v>263</v>
      </c>
      <c r="B317" s="449"/>
      <c r="C317" s="449"/>
      <c r="D317" s="449"/>
      <c r="E317" s="449"/>
      <c r="F317" s="449"/>
      <c r="G317" s="449"/>
      <c r="H317" s="449"/>
      <c r="I317" s="449"/>
      <c r="J317" s="449"/>
      <c r="K317" s="449"/>
      <c r="L317" s="450"/>
    </row>
    <row r="318" spans="1:13" ht="75" customHeight="1">
      <c r="A318" s="140" t="s">
        <v>265</v>
      </c>
      <c r="B318" s="451" t="s">
        <v>264</v>
      </c>
      <c r="C318" s="452"/>
      <c r="D318" s="452"/>
      <c r="E318" s="452"/>
      <c r="F318" s="453"/>
      <c r="G318" s="226" t="s">
        <v>85</v>
      </c>
      <c r="H318" s="106">
        <f>SUM(H319:H323)</f>
        <v>2035.825</v>
      </c>
      <c r="I318" s="106">
        <f t="shared" ref="I318:K318" si="169">SUM(I319:I323)</f>
        <v>729.5</v>
      </c>
      <c r="J318" s="106">
        <f>SUM(J319:J323)</f>
        <v>630.9</v>
      </c>
      <c r="K318" s="106">
        <f t="shared" si="169"/>
        <v>675.42499999999995</v>
      </c>
      <c r="L318" s="294" t="s">
        <v>266</v>
      </c>
      <c r="M318" s="227"/>
    </row>
    <row r="319" spans="1:13" ht="75" customHeight="1">
      <c r="A319" s="478" t="s">
        <v>269</v>
      </c>
      <c r="B319" s="307"/>
      <c r="C319" s="307"/>
      <c r="D319" s="308"/>
      <c r="E319" s="139" t="s">
        <v>82</v>
      </c>
      <c r="F319" s="324"/>
      <c r="G319" s="365" t="s">
        <v>450</v>
      </c>
      <c r="H319" s="106">
        <f>I319+J319+K319</f>
        <v>76</v>
      </c>
      <c r="I319" s="107">
        <v>76</v>
      </c>
      <c r="J319" s="107">
        <v>0</v>
      </c>
      <c r="K319" s="107">
        <v>0</v>
      </c>
      <c r="L319" s="313"/>
      <c r="M319" s="117"/>
    </row>
    <row r="320" spans="1:13" ht="75" customHeight="1">
      <c r="A320" s="479"/>
      <c r="B320" s="309"/>
      <c r="C320" s="309"/>
      <c r="D320" s="310"/>
      <c r="E320" s="139" t="s">
        <v>76</v>
      </c>
      <c r="F320" s="325"/>
      <c r="G320" s="366"/>
      <c r="H320" s="106">
        <f t="shared" ref="H320:H323" si="170">I320+J320+K320</f>
        <v>510.50000000000006</v>
      </c>
      <c r="I320" s="107">
        <f>24.3+148</f>
        <v>172.3</v>
      </c>
      <c r="J320" s="107">
        <v>163.4</v>
      </c>
      <c r="K320" s="107">
        <v>174.8</v>
      </c>
      <c r="L320" s="313"/>
      <c r="M320" s="117"/>
    </row>
    <row r="321" spans="1:13" ht="75" customHeight="1">
      <c r="A321" s="479"/>
      <c r="B321" s="309"/>
      <c r="C321" s="309"/>
      <c r="D321" s="310"/>
      <c r="E321" s="139" t="s">
        <v>77</v>
      </c>
      <c r="F321" s="325"/>
      <c r="G321" s="366"/>
      <c r="H321" s="106">
        <f t="shared" si="170"/>
        <v>41.5</v>
      </c>
      <c r="I321" s="107">
        <v>41.5</v>
      </c>
      <c r="J321" s="107">
        <v>0</v>
      </c>
      <c r="K321" s="107">
        <v>0</v>
      </c>
      <c r="L321" s="313"/>
      <c r="M321" s="117"/>
    </row>
    <row r="322" spans="1:13" ht="75" customHeight="1">
      <c r="A322" s="479"/>
      <c r="B322" s="309"/>
      <c r="C322" s="309"/>
      <c r="D322" s="310"/>
      <c r="E322" s="139" t="s">
        <v>79</v>
      </c>
      <c r="F322" s="325"/>
      <c r="G322" s="366"/>
      <c r="H322" s="106">
        <f t="shared" si="170"/>
        <v>9.5</v>
      </c>
      <c r="I322" s="107">
        <v>9.5</v>
      </c>
      <c r="J322" s="107">
        <v>0</v>
      </c>
      <c r="K322" s="107">
        <v>0</v>
      </c>
      <c r="L322" s="313"/>
      <c r="M322" s="117"/>
    </row>
    <row r="323" spans="1:13" ht="75" customHeight="1">
      <c r="A323" s="480"/>
      <c r="B323" s="311"/>
      <c r="C323" s="311"/>
      <c r="D323" s="312"/>
      <c r="E323" s="133" t="s">
        <v>78</v>
      </c>
      <c r="F323" s="326"/>
      <c r="G323" s="367"/>
      <c r="H323" s="106">
        <f t="shared" si="170"/>
        <v>1398.325</v>
      </c>
      <c r="I323" s="107">
        <v>430.2</v>
      </c>
      <c r="J323" s="107">
        <f>430+37.5</f>
        <v>467.5</v>
      </c>
      <c r="K323" s="107">
        <f>460+40.625</f>
        <v>500.625</v>
      </c>
      <c r="L323" s="295"/>
      <c r="M323" s="117"/>
    </row>
    <row r="324" spans="1:13" ht="75" customHeight="1">
      <c r="A324" s="228" t="s">
        <v>292</v>
      </c>
      <c r="B324" s="390" t="s">
        <v>267</v>
      </c>
      <c r="C324" s="391"/>
      <c r="D324" s="391"/>
      <c r="E324" s="391"/>
      <c r="F324" s="392"/>
      <c r="G324" s="226" t="s">
        <v>85</v>
      </c>
      <c r="H324" s="106">
        <f>H329+H330+H331+H332+H326+H325</f>
        <v>35285.597000000002</v>
      </c>
      <c r="I324" s="106">
        <f>I329+I330+I331+I332+I326+I325</f>
        <v>21897.487000000001</v>
      </c>
      <c r="J324" s="106">
        <f>J329+J330+J331+J332+J326+J325+J327+J328</f>
        <v>8558.4700000000012</v>
      </c>
      <c r="K324" s="106">
        <f>K329+K330+K331+K332+K326+K325</f>
        <v>10129.64</v>
      </c>
      <c r="L324" s="229"/>
      <c r="M324" s="117"/>
    </row>
    <row r="325" spans="1:13" ht="75" customHeight="1">
      <c r="A325" s="374" t="s">
        <v>269</v>
      </c>
      <c r="B325" s="375"/>
      <c r="C325" s="375"/>
      <c r="D325" s="376"/>
      <c r="E325" s="139" t="s">
        <v>82</v>
      </c>
      <c r="F325" s="138"/>
      <c r="G325" s="265" t="s">
        <v>450</v>
      </c>
      <c r="H325" s="106">
        <f t="shared" ref="H325:H332" si="171">I325+J325+K325</f>
        <v>117.64</v>
      </c>
      <c r="I325" s="106"/>
      <c r="J325" s="106"/>
      <c r="K325" s="106">
        <f>90.64+15+12</f>
        <v>117.64</v>
      </c>
      <c r="L325" s="230"/>
      <c r="M325" s="117"/>
    </row>
    <row r="326" spans="1:13" ht="75" customHeight="1">
      <c r="A326" s="377"/>
      <c r="B326" s="378"/>
      <c r="C326" s="378"/>
      <c r="D326" s="379"/>
      <c r="E326" s="139" t="s">
        <v>82</v>
      </c>
      <c r="F326" s="138"/>
      <c r="G326" s="265" t="s">
        <v>454</v>
      </c>
      <c r="H326" s="106">
        <f t="shared" si="171"/>
        <v>11149.6</v>
      </c>
      <c r="I326" s="106">
        <v>49.6</v>
      </c>
      <c r="J326" s="106">
        <v>1100</v>
      </c>
      <c r="K326" s="106">
        <v>10000</v>
      </c>
      <c r="L326" s="230"/>
      <c r="M326" s="117"/>
    </row>
    <row r="327" spans="1:13" ht="75" customHeight="1">
      <c r="A327" s="377"/>
      <c r="B327" s="378"/>
      <c r="C327" s="378"/>
      <c r="D327" s="379"/>
      <c r="E327" s="133" t="s">
        <v>79</v>
      </c>
      <c r="F327" s="136"/>
      <c r="G327" s="265" t="s">
        <v>450</v>
      </c>
      <c r="H327" s="106"/>
      <c r="I327" s="106"/>
      <c r="J327" s="107">
        <v>15</v>
      </c>
      <c r="K327" s="106"/>
      <c r="L327" s="230"/>
      <c r="M327" s="117"/>
    </row>
    <row r="328" spans="1:13" ht="79.5" customHeight="1">
      <c r="A328" s="377"/>
      <c r="B328" s="378"/>
      <c r="C328" s="378"/>
      <c r="D328" s="379"/>
      <c r="E328" s="133" t="s">
        <v>79</v>
      </c>
      <c r="F328" s="136"/>
      <c r="G328" s="265" t="s">
        <v>454</v>
      </c>
      <c r="H328" s="106"/>
      <c r="I328" s="106"/>
      <c r="J328" s="107">
        <v>5285</v>
      </c>
      <c r="K328" s="106"/>
      <c r="L328" s="230"/>
      <c r="M328" s="117"/>
    </row>
    <row r="329" spans="1:13" ht="75" customHeight="1">
      <c r="A329" s="377"/>
      <c r="B329" s="378"/>
      <c r="C329" s="378"/>
      <c r="D329" s="379"/>
      <c r="E329" s="294" t="s">
        <v>75</v>
      </c>
      <c r="F329" s="324"/>
      <c r="G329" s="265" t="s">
        <v>450</v>
      </c>
      <c r="H329" s="106">
        <f t="shared" si="171"/>
        <v>347.5</v>
      </c>
      <c r="I329" s="107">
        <f>199+30</f>
        <v>229</v>
      </c>
      <c r="J329" s="107">
        <v>106.5</v>
      </c>
      <c r="K329" s="107">
        <v>12</v>
      </c>
      <c r="L329" s="294" t="s">
        <v>268</v>
      </c>
      <c r="M329" s="117"/>
    </row>
    <row r="330" spans="1:13" ht="75" customHeight="1">
      <c r="A330" s="377"/>
      <c r="B330" s="378"/>
      <c r="C330" s="378"/>
      <c r="D330" s="379"/>
      <c r="E330" s="313"/>
      <c r="F330" s="325"/>
      <c r="G330" s="265" t="s">
        <v>454</v>
      </c>
      <c r="H330" s="106">
        <f t="shared" si="171"/>
        <v>6599.6870000000008</v>
      </c>
      <c r="I330" s="107">
        <f>7269.3-500+49.587-799.7</f>
        <v>6019.1870000000008</v>
      </c>
      <c r="J330" s="107">
        <f>130+410+40.5</f>
        <v>580.5</v>
      </c>
      <c r="K330" s="113"/>
      <c r="L330" s="313"/>
      <c r="M330" s="117"/>
    </row>
    <row r="331" spans="1:13" ht="75" customHeight="1">
      <c r="A331" s="377"/>
      <c r="B331" s="378"/>
      <c r="C331" s="378"/>
      <c r="D331" s="379"/>
      <c r="E331" s="313"/>
      <c r="F331" s="325"/>
      <c r="G331" s="188" t="s">
        <v>400</v>
      </c>
      <c r="H331" s="108">
        <f t="shared" si="171"/>
        <v>16186.17</v>
      </c>
      <c r="I331" s="109">
        <v>14714.7</v>
      </c>
      <c r="J331" s="109">
        <v>1471.47</v>
      </c>
      <c r="K331" s="108"/>
      <c r="L331" s="313"/>
      <c r="M331" s="117"/>
    </row>
    <row r="332" spans="1:13" ht="75" customHeight="1">
      <c r="A332" s="380"/>
      <c r="B332" s="381"/>
      <c r="C332" s="381"/>
      <c r="D332" s="382"/>
      <c r="E332" s="295"/>
      <c r="F332" s="159"/>
      <c r="G332" s="135" t="s">
        <v>84</v>
      </c>
      <c r="H332" s="106">
        <f t="shared" si="171"/>
        <v>885</v>
      </c>
      <c r="I332" s="107">
        <v>885</v>
      </c>
      <c r="J332" s="107">
        <v>0</v>
      </c>
      <c r="K332" s="107">
        <v>0</v>
      </c>
      <c r="L332" s="313"/>
      <c r="M332" s="117"/>
    </row>
    <row r="333" spans="1:13" ht="75" customHeight="1">
      <c r="A333" s="228" t="s">
        <v>293</v>
      </c>
      <c r="B333" s="348" t="s">
        <v>195</v>
      </c>
      <c r="C333" s="348"/>
      <c r="D333" s="348"/>
      <c r="E333" s="348"/>
      <c r="F333" s="348"/>
      <c r="G333" s="159" t="s">
        <v>85</v>
      </c>
      <c r="H333" s="106">
        <f>H334</f>
        <v>6238.8</v>
      </c>
      <c r="I333" s="106">
        <f t="shared" ref="I333:K335" si="172">I334</f>
        <v>6238.8</v>
      </c>
      <c r="J333" s="106">
        <f t="shared" si="172"/>
        <v>0</v>
      </c>
      <c r="K333" s="106">
        <f t="shared" si="172"/>
        <v>0</v>
      </c>
      <c r="L333" s="294" t="s">
        <v>61</v>
      </c>
      <c r="M333" s="117"/>
    </row>
    <row r="334" spans="1:13" ht="75" customHeight="1">
      <c r="A334" s="296" t="s">
        <v>269</v>
      </c>
      <c r="B334" s="297"/>
      <c r="C334" s="297"/>
      <c r="D334" s="298"/>
      <c r="E334" s="139" t="s">
        <v>75</v>
      </c>
      <c r="F334" s="159"/>
      <c r="G334" s="135" t="s">
        <v>104</v>
      </c>
      <c r="H334" s="106">
        <f>I334+J334+K334</f>
        <v>6238.8</v>
      </c>
      <c r="I334" s="107">
        <v>6238.8</v>
      </c>
      <c r="J334" s="107">
        <v>0</v>
      </c>
      <c r="K334" s="107">
        <v>0</v>
      </c>
      <c r="L334" s="295"/>
      <c r="M334" s="117"/>
    </row>
    <row r="335" spans="1:13" ht="114.75" customHeight="1">
      <c r="A335" s="228" t="s">
        <v>294</v>
      </c>
      <c r="B335" s="348" t="s">
        <v>418</v>
      </c>
      <c r="C335" s="348"/>
      <c r="D335" s="348"/>
      <c r="E335" s="348"/>
      <c r="F335" s="348"/>
      <c r="G335" s="159" t="s">
        <v>85</v>
      </c>
      <c r="H335" s="106">
        <f>H336</f>
        <v>6848</v>
      </c>
      <c r="I335" s="106">
        <f t="shared" si="172"/>
        <v>6848</v>
      </c>
      <c r="J335" s="106">
        <f t="shared" si="172"/>
        <v>0</v>
      </c>
      <c r="K335" s="106">
        <f t="shared" si="172"/>
        <v>0</v>
      </c>
      <c r="L335" s="294" t="s">
        <v>419</v>
      </c>
      <c r="M335" s="117"/>
    </row>
    <row r="336" spans="1:13" ht="144" customHeight="1">
      <c r="A336" s="296" t="s">
        <v>269</v>
      </c>
      <c r="B336" s="297"/>
      <c r="C336" s="297"/>
      <c r="D336" s="298"/>
      <c r="E336" s="139" t="s">
        <v>54</v>
      </c>
      <c r="F336" s="159"/>
      <c r="G336" s="135" t="s">
        <v>416</v>
      </c>
      <c r="H336" s="106">
        <f>I336+J336+K336</f>
        <v>6848</v>
      </c>
      <c r="I336" s="107">
        <v>6848</v>
      </c>
      <c r="J336" s="107">
        <v>0</v>
      </c>
      <c r="K336" s="107">
        <v>0</v>
      </c>
      <c r="L336" s="295"/>
      <c r="M336" s="117"/>
    </row>
    <row r="337" spans="1:13" ht="75" customHeight="1">
      <c r="A337" s="140" t="s">
        <v>295</v>
      </c>
      <c r="B337" s="348" t="s">
        <v>270</v>
      </c>
      <c r="C337" s="348"/>
      <c r="D337" s="348"/>
      <c r="E337" s="348"/>
      <c r="F337" s="348"/>
      <c r="G337" s="159" t="s">
        <v>85</v>
      </c>
      <c r="H337" s="106">
        <f>H338</f>
        <v>12454.899999999998</v>
      </c>
      <c r="I337" s="106">
        <f>I338</f>
        <v>12454.899999999998</v>
      </c>
      <c r="J337" s="106">
        <f t="shared" ref="J337:K337" si="173">J338</f>
        <v>0</v>
      </c>
      <c r="K337" s="106">
        <f t="shared" si="173"/>
        <v>0</v>
      </c>
      <c r="L337" s="294" t="s">
        <v>61</v>
      </c>
      <c r="M337" s="117"/>
    </row>
    <row r="338" spans="1:13" ht="145.5" customHeight="1">
      <c r="A338" s="477"/>
      <c r="B338" s="477"/>
      <c r="C338" s="477"/>
      <c r="D338" s="477"/>
      <c r="E338" s="139" t="s">
        <v>86</v>
      </c>
      <c r="F338" s="183"/>
      <c r="G338" s="365" t="s">
        <v>454</v>
      </c>
      <c r="H338" s="106">
        <f>H339+H340+H341+H342</f>
        <v>12454.899999999998</v>
      </c>
      <c r="I338" s="106">
        <f t="shared" ref="I338:K338" si="174">I339+I340+I341+I342</f>
        <v>12454.899999999998</v>
      </c>
      <c r="J338" s="106">
        <f t="shared" si="174"/>
        <v>0</v>
      </c>
      <c r="K338" s="106">
        <f t="shared" si="174"/>
        <v>0</v>
      </c>
      <c r="L338" s="313"/>
      <c r="M338" s="117"/>
    </row>
    <row r="339" spans="1:13" ht="75" customHeight="1">
      <c r="A339" s="473" t="s">
        <v>269</v>
      </c>
      <c r="B339" s="474"/>
      <c r="C339" s="474"/>
      <c r="D339" s="474"/>
      <c r="E339" s="139" t="s">
        <v>76</v>
      </c>
      <c r="F339" s="183"/>
      <c r="G339" s="366"/>
      <c r="H339" s="106">
        <f>I339+J339+K339</f>
        <v>11713.3</v>
      </c>
      <c r="I339" s="114">
        <v>11713.3</v>
      </c>
      <c r="J339" s="107">
        <v>0</v>
      </c>
      <c r="K339" s="107">
        <v>0</v>
      </c>
      <c r="L339" s="313"/>
      <c r="M339" s="117"/>
    </row>
    <row r="340" spans="1:13" ht="75" customHeight="1">
      <c r="A340" s="475"/>
      <c r="B340" s="476"/>
      <c r="C340" s="476"/>
      <c r="D340" s="476"/>
      <c r="E340" s="139" t="s">
        <v>77</v>
      </c>
      <c r="F340" s="183"/>
      <c r="G340" s="366"/>
      <c r="H340" s="106">
        <f t="shared" ref="H340:H341" si="175">I340+J340+K340</f>
        <v>204.3</v>
      </c>
      <c r="I340" s="107">
        <v>204.3</v>
      </c>
      <c r="J340" s="107">
        <v>0</v>
      </c>
      <c r="K340" s="107">
        <v>0</v>
      </c>
      <c r="L340" s="313"/>
      <c r="M340" s="117"/>
    </row>
    <row r="341" spans="1:13" ht="96" customHeight="1">
      <c r="A341" s="475"/>
      <c r="B341" s="476"/>
      <c r="C341" s="476"/>
      <c r="D341" s="476"/>
      <c r="E341" s="133" t="s">
        <v>79</v>
      </c>
      <c r="F341" s="183"/>
      <c r="G341" s="366"/>
      <c r="H341" s="106">
        <f t="shared" si="175"/>
        <v>537.29999999999995</v>
      </c>
      <c r="I341" s="114">
        <v>537.29999999999995</v>
      </c>
      <c r="J341" s="107">
        <v>0</v>
      </c>
      <c r="K341" s="107">
        <v>0</v>
      </c>
      <c r="L341" s="313"/>
      <c r="M341" s="117"/>
    </row>
    <row r="342" spans="1:13" ht="75" customHeight="1">
      <c r="A342" s="231"/>
      <c r="B342" s="232"/>
      <c r="C342" s="232"/>
      <c r="D342" s="232"/>
      <c r="E342" s="139" t="s">
        <v>75</v>
      </c>
      <c r="F342" s="233"/>
      <c r="G342" s="367"/>
      <c r="H342" s="106">
        <f>I342+J342+K342</f>
        <v>0</v>
      </c>
      <c r="I342" s="110"/>
      <c r="J342" s="110"/>
      <c r="K342" s="110"/>
      <c r="L342" s="134"/>
      <c r="M342" s="117"/>
    </row>
    <row r="343" spans="1:13" ht="75" customHeight="1">
      <c r="A343" s="234" t="s">
        <v>296</v>
      </c>
      <c r="B343" s="462" t="s">
        <v>271</v>
      </c>
      <c r="C343" s="463"/>
      <c r="D343" s="463"/>
      <c r="E343" s="463"/>
      <c r="F343" s="235"/>
      <c r="G343" s="159" t="s">
        <v>85</v>
      </c>
      <c r="H343" s="132">
        <f>SUM(H344:H353)</f>
        <v>1464912.6587665996</v>
      </c>
      <c r="I343" s="132">
        <f t="shared" ref="I343:K343" si="176">SUM(I344:I353)</f>
        <v>456518.1</v>
      </c>
      <c r="J343" s="132">
        <f t="shared" si="176"/>
        <v>492760.13660000003</v>
      </c>
      <c r="K343" s="132">
        <f t="shared" si="176"/>
        <v>515634.42216659989</v>
      </c>
      <c r="L343" s="294" t="s">
        <v>88</v>
      </c>
      <c r="M343" s="117"/>
    </row>
    <row r="344" spans="1:13" ht="75" customHeight="1">
      <c r="A344" s="464" t="s">
        <v>269</v>
      </c>
      <c r="B344" s="465"/>
      <c r="C344" s="465"/>
      <c r="D344" s="466"/>
      <c r="E344" s="139" t="s">
        <v>82</v>
      </c>
      <c r="F344" s="159"/>
      <c r="G344" s="365" t="s">
        <v>87</v>
      </c>
      <c r="H344" s="106">
        <f>I344+J344+K344</f>
        <v>308609.45589119999</v>
      </c>
      <c r="I344" s="107">
        <v>97670.399999999994</v>
      </c>
      <c r="J344" s="107">
        <f>I344*1.053</f>
        <v>102846.93119999999</v>
      </c>
      <c r="K344" s="107">
        <f>J344*1.051</f>
        <v>108092.12469119999</v>
      </c>
      <c r="L344" s="313"/>
      <c r="M344" s="117"/>
    </row>
    <row r="345" spans="1:13" ht="75" customHeight="1">
      <c r="A345" s="467"/>
      <c r="B345" s="468"/>
      <c r="C345" s="468"/>
      <c r="D345" s="469"/>
      <c r="E345" s="139" t="s">
        <v>76</v>
      </c>
      <c r="F345" s="159"/>
      <c r="G345" s="366"/>
      <c r="H345" s="106">
        <f t="shared" ref="H345:H353" si="177">I345+J345+K345</f>
        <v>124074.8</v>
      </c>
      <c r="I345" s="107">
        <v>34703.800000000003</v>
      </c>
      <c r="J345" s="107">
        <v>43574</v>
      </c>
      <c r="K345" s="107">
        <v>45797</v>
      </c>
      <c r="L345" s="313"/>
      <c r="M345" s="117"/>
    </row>
    <row r="346" spans="1:13" ht="75" customHeight="1">
      <c r="A346" s="467"/>
      <c r="B346" s="468"/>
      <c r="C346" s="468"/>
      <c r="D346" s="469"/>
      <c r="E346" s="139" t="s">
        <v>77</v>
      </c>
      <c r="F346" s="159"/>
      <c r="G346" s="366"/>
      <c r="H346" s="106">
        <f t="shared" si="177"/>
        <v>277984.3</v>
      </c>
      <c r="I346" s="107">
        <v>87978</v>
      </c>
      <c r="J346" s="107">
        <v>92640.8</v>
      </c>
      <c r="K346" s="107">
        <v>97365.5</v>
      </c>
      <c r="L346" s="313"/>
      <c r="M346" s="117"/>
    </row>
    <row r="347" spans="1:13" ht="75" customHeight="1">
      <c r="A347" s="467"/>
      <c r="B347" s="468"/>
      <c r="C347" s="468"/>
      <c r="D347" s="469"/>
      <c r="E347" s="139" t="s">
        <v>75</v>
      </c>
      <c r="F347" s="159"/>
      <c r="G347" s="366"/>
      <c r="H347" s="106">
        <f t="shared" si="177"/>
        <v>241584.30000000002</v>
      </c>
      <c r="I347" s="107">
        <v>70008.100000000006</v>
      </c>
      <c r="J347" s="107">
        <v>83168.3</v>
      </c>
      <c r="K347" s="107">
        <v>88407.9</v>
      </c>
      <c r="L347" s="313"/>
      <c r="M347" s="117"/>
    </row>
    <row r="348" spans="1:13" ht="93.75" customHeight="1">
      <c r="A348" s="467"/>
      <c r="B348" s="468"/>
      <c r="C348" s="468"/>
      <c r="D348" s="469"/>
      <c r="E348" s="133" t="s">
        <v>79</v>
      </c>
      <c r="F348" s="236"/>
      <c r="G348" s="366"/>
      <c r="H348" s="106">
        <f t="shared" si="177"/>
        <v>105982.1260854</v>
      </c>
      <c r="I348" s="113">
        <v>33541.800000000003</v>
      </c>
      <c r="J348" s="107">
        <f t="shared" ref="J348:J353" si="178">I348*1.053</f>
        <v>35319.515400000004</v>
      </c>
      <c r="K348" s="107">
        <f t="shared" ref="K348:K353" si="179">J348*1.051</f>
        <v>37120.8106854</v>
      </c>
      <c r="L348" s="313"/>
      <c r="M348" s="117"/>
    </row>
    <row r="349" spans="1:13" ht="75" customHeight="1">
      <c r="A349" s="467"/>
      <c r="B349" s="468"/>
      <c r="C349" s="468"/>
      <c r="D349" s="469"/>
      <c r="E349" s="133" t="s">
        <v>78</v>
      </c>
      <c r="F349" s="159"/>
      <c r="G349" s="366"/>
      <c r="H349" s="106">
        <f t="shared" si="177"/>
        <v>2239.9847</v>
      </c>
      <c r="I349" s="107">
        <v>599.79999999999995</v>
      </c>
      <c r="J349" s="107">
        <v>799.7</v>
      </c>
      <c r="K349" s="107">
        <f t="shared" si="179"/>
        <v>840.48469999999998</v>
      </c>
      <c r="L349" s="313"/>
      <c r="M349" s="117"/>
    </row>
    <row r="350" spans="1:13" ht="75" customHeight="1">
      <c r="A350" s="467"/>
      <c r="B350" s="468"/>
      <c r="C350" s="468"/>
      <c r="D350" s="469"/>
      <c r="E350" s="139" t="s">
        <v>80</v>
      </c>
      <c r="F350" s="159"/>
      <c r="G350" s="366"/>
      <c r="H350" s="106">
        <f t="shared" si="177"/>
        <v>207996.92908399997</v>
      </c>
      <c r="I350" s="107">
        <f>67030-I352</f>
        <v>65828</v>
      </c>
      <c r="J350" s="107">
        <f>I350*1.053</f>
        <v>69316.883999999991</v>
      </c>
      <c r="K350" s="107">
        <f t="shared" si="179"/>
        <v>72852.045083999983</v>
      </c>
      <c r="L350" s="313"/>
      <c r="M350" s="117"/>
    </row>
    <row r="351" spans="1:13" ht="75" customHeight="1">
      <c r="A351" s="467"/>
      <c r="B351" s="468"/>
      <c r="C351" s="468"/>
      <c r="D351" s="469"/>
      <c r="E351" s="139" t="s">
        <v>81</v>
      </c>
      <c r="F351" s="159"/>
      <c r="G351" s="366"/>
      <c r="H351" s="106">
        <f t="shared" si="177"/>
        <v>183076.4831972</v>
      </c>
      <c r="I351" s="107">
        <v>61958.6</v>
      </c>
      <c r="J351" s="107">
        <f>63675.5+152.8-J353</f>
        <v>60640.237200000003</v>
      </c>
      <c r="K351" s="107">
        <f>63675.5+152.8-K353</f>
        <v>60477.645997200001</v>
      </c>
      <c r="L351" s="313"/>
      <c r="M351" s="117"/>
    </row>
    <row r="352" spans="1:13" ht="96" customHeight="1">
      <c r="A352" s="467"/>
      <c r="B352" s="468"/>
      <c r="C352" s="468"/>
      <c r="D352" s="469"/>
      <c r="E352" s="139" t="s">
        <v>352</v>
      </c>
      <c r="F352" s="159"/>
      <c r="G352" s="366"/>
      <c r="H352" s="106">
        <f t="shared" si="177"/>
        <v>3797.963006</v>
      </c>
      <c r="I352" s="107">
        <v>1202</v>
      </c>
      <c r="J352" s="107">
        <f t="shared" si="178"/>
        <v>1265.7059999999999</v>
      </c>
      <c r="K352" s="107">
        <f t="shared" si="179"/>
        <v>1330.2570059999998</v>
      </c>
      <c r="L352" s="313"/>
      <c r="M352" s="117"/>
    </row>
    <row r="353" spans="1:13" ht="104.25" customHeight="1">
      <c r="A353" s="470"/>
      <c r="B353" s="471"/>
      <c r="C353" s="471"/>
      <c r="D353" s="472"/>
      <c r="E353" s="139" t="s">
        <v>353</v>
      </c>
      <c r="F353" s="159"/>
      <c r="G353" s="367"/>
      <c r="H353" s="106">
        <f t="shared" si="177"/>
        <v>9566.3168028</v>
      </c>
      <c r="I353" s="107">
        <v>3027.6</v>
      </c>
      <c r="J353" s="107">
        <f t="shared" si="178"/>
        <v>3188.0627999999997</v>
      </c>
      <c r="K353" s="107">
        <f t="shared" si="179"/>
        <v>3350.6540027999995</v>
      </c>
      <c r="L353" s="295"/>
      <c r="M353" s="117"/>
    </row>
    <row r="354" spans="1:13" ht="75" customHeight="1">
      <c r="A354" s="234" t="s">
        <v>417</v>
      </c>
      <c r="B354" s="237" t="s">
        <v>272</v>
      </c>
      <c r="C354" s="238"/>
      <c r="D354" s="235"/>
      <c r="E354" s="238"/>
      <c r="F354" s="235"/>
      <c r="G354" s="159" t="s">
        <v>85</v>
      </c>
      <c r="H354" s="132">
        <f>SUM(H355:H359)</f>
        <v>68856.218622399989</v>
      </c>
      <c r="I354" s="132">
        <f t="shared" ref="I354:K354" si="180">SUM(I355:I359)</f>
        <v>21063.200000000001</v>
      </c>
      <c r="J354" s="132">
        <f t="shared" si="180"/>
        <v>23301.902400000003</v>
      </c>
      <c r="K354" s="132">
        <f t="shared" si="180"/>
        <v>24491.1162224</v>
      </c>
      <c r="L354" s="294" t="s">
        <v>105</v>
      </c>
      <c r="M354" s="117"/>
    </row>
    <row r="355" spans="1:13" ht="75" customHeight="1">
      <c r="A355" s="483" t="s">
        <v>269</v>
      </c>
      <c r="B355" s="484"/>
      <c r="C355" s="484"/>
      <c r="D355" s="485"/>
      <c r="E355" s="139" t="s">
        <v>82</v>
      </c>
      <c r="F355" s="481"/>
      <c r="G355" s="365" t="s">
        <v>93</v>
      </c>
      <c r="H355" s="106">
        <f>I355+J355+K355</f>
        <v>11808.126081299999</v>
      </c>
      <c r="I355" s="107">
        <v>3737.1</v>
      </c>
      <c r="J355" s="107">
        <f>I355*1.053</f>
        <v>3935.1662999999999</v>
      </c>
      <c r="K355" s="107">
        <f>J355*1.051</f>
        <v>4135.8597812999997</v>
      </c>
      <c r="L355" s="313"/>
      <c r="M355" s="117"/>
    </row>
    <row r="356" spans="1:13" ht="75" customHeight="1">
      <c r="A356" s="486"/>
      <c r="B356" s="487"/>
      <c r="C356" s="487"/>
      <c r="D356" s="488"/>
      <c r="E356" s="139" t="s">
        <v>76</v>
      </c>
      <c r="F356" s="481"/>
      <c r="G356" s="366"/>
      <c r="H356" s="106">
        <f>I356+J356+K356</f>
        <v>29022.1</v>
      </c>
      <c r="I356" s="107">
        <v>8873.9</v>
      </c>
      <c r="J356" s="107">
        <v>9823.2000000000007</v>
      </c>
      <c r="K356" s="107">
        <v>10325</v>
      </c>
      <c r="L356" s="313"/>
      <c r="M356" s="117"/>
    </row>
    <row r="357" spans="1:13" ht="75" customHeight="1">
      <c r="A357" s="486"/>
      <c r="B357" s="487"/>
      <c r="C357" s="487"/>
      <c r="D357" s="488"/>
      <c r="E357" s="139" t="s">
        <v>77</v>
      </c>
      <c r="F357" s="481"/>
      <c r="G357" s="366"/>
      <c r="H357" s="106">
        <f>I357+J357+K357</f>
        <v>3103.2442000000001</v>
      </c>
      <c r="I357" s="107">
        <v>982.1</v>
      </c>
      <c r="J357" s="107">
        <v>1034.2</v>
      </c>
      <c r="K357" s="107">
        <f>J357*1.051</f>
        <v>1086.9441999999999</v>
      </c>
      <c r="L357" s="313"/>
      <c r="M357" s="117"/>
    </row>
    <row r="358" spans="1:13" ht="108" customHeight="1">
      <c r="A358" s="486"/>
      <c r="B358" s="487"/>
      <c r="C358" s="487"/>
      <c r="D358" s="488"/>
      <c r="E358" s="139" t="s">
        <v>79</v>
      </c>
      <c r="F358" s="481"/>
      <c r="G358" s="366"/>
      <c r="H358" s="106">
        <f>I358+J358+K358</f>
        <v>1528.3483410999997</v>
      </c>
      <c r="I358" s="113">
        <v>483.7</v>
      </c>
      <c r="J358" s="107">
        <f>I358*1.053</f>
        <v>509.33609999999993</v>
      </c>
      <c r="K358" s="107">
        <f>J358*1.051</f>
        <v>535.31224109999994</v>
      </c>
      <c r="L358" s="313"/>
      <c r="M358" s="117"/>
    </row>
    <row r="359" spans="1:13" ht="75" customHeight="1">
      <c r="A359" s="489"/>
      <c r="B359" s="490"/>
      <c r="C359" s="490"/>
      <c r="D359" s="491"/>
      <c r="E359" s="139" t="s">
        <v>78</v>
      </c>
      <c r="F359" s="482"/>
      <c r="G359" s="366"/>
      <c r="H359" s="106">
        <f>I359+J359+K359</f>
        <v>23394.400000000001</v>
      </c>
      <c r="I359" s="107">
        <v>6986.4</v>
      </c>
      <c r="J359" s="107">
        <v>8000</v>
      </c>
      <c r="K359" s="107">
        <f>J359*1.051</f>
        <v>8408</v>
      </c>
      <c r="L359" s="295"/>
    </row>
    <row r="360" spans="1:13" ht="75" customHeight="1">
      <c r="A360" s="451" t="s">
        <v>89</v>
      </c>
      <c r="B360" s="452"/>
      <c r="C360" s="452"/>
      <c r="D360" s="452"/>
      <c r="E360" s="452"/>
      <c r="F360" s="453"/>
      <c r="G360" s="220"/>
      <c r="H360" s="106">
        <f>H266+H318+H324+H333+H337+H343+H354+H335</f>
        <v>2129239.5296889995</v>
      </c>
      <c r="I360" s="106">
        <f>I266+I318+I324+I333+I337+I343+I354+I335</f>
        <v>817024.70799999998</v>
      </c>
      <c r="J360" s="106">
        <f>J266+J318+J324+J333+J337+J343+J354+J335</f>
        <v>678563.28900000011</v>
      </c>
      <c r="K360" s="106">
        <f>K266+K318+K324+K333+K337+K343+K354+K335</f>
        <v>638951.5326889999</v>
      </c>
      <c r="L360" s="305"/>
    </row>
    <row r="361" spans="1:13" ht="75" customHeight="1">
      <c r="A361" s="492" t="s">
        <v>92</v>
      </c>
      <c r="B361" s="493"/>
      <c r="C361" s="493"/>
      <c r="D361" s="493"/>
      <c r="E361" s="493"/>
      <c r="F361" s="494"/>
      <c r="G361" s="265" t="s">
        <v>450</v>
      </c>
      <c r="H361" s="107">
        <f>H267+H318+H329</f>
        <v>263199.35729999997</v>
      </c>
      <c r="I361" s="107">
        <f>I267+I318+I329</f>
        <v>125779.22299999998</v>
      </c>
      <c r="J361" s="107">
        <f>J267+J318+J329</f>
        <v>70211.679999999993</v>
      </c>
      <c r="K361" s="107">
        <f>K267+K318+K329</f>
        <v>68708.354299999992</v>
      </c>
      <c r="L361" s="306"/>
    </row>
    <row r="362" spans="1:13" ht="75" customHeight="1">
      <c r="A362" s="495"/>
      <c r="B362" s="496"/>
      <c r="C362" s="496"/>
      <c r="D362" s="496"/>
      <c r="E362" s="496"/>
      <c r="F362" s="497"/>
      <c r="G362" s="265" t="s">
        <v>454</v>
      </c>
      <c r="H362" s="107">
        <f>H268+H330+H338</f>
        <v>219724.31300000002</v>
      </c>
      <c r="I362" s="107">
        <f>I268+I330+I338</f>
        <v>115306.31299999999</v>
      </c>
      <c r="J362" s="107">
        <f>J268+J330+J338</f>
        <v>84418</v>
      </c>
      <c r="K362" s="107">
        <f>K268+K330+K338</f>
        <v>20000</v>
      </c>
      <c r="L362" s="306"/>
    </row>
    <row r="363" spans="1:13" ht="75" customHeight="1">
      <c r="A363" s="495"/>
      <c r="B363" s="496"/>
      <c r="C363" s="496"/>
      <c r="D363" s="496"/>
      <c r="E363" s="496"/>
      <c r="F363" s="497"/>
      <c r="G363" s="188" t="s">
        <v>96</v>
      </c>
      <c r="H363" s="107">
        <f>H269</f>
        <v>52839.700000000004</v>
      </c>
      <c r="I363" s="107">
        <f t="shared" ref="I363:K363" si="181">I269</f>
        <v>52839.700000000004</v>
      </c>
      <c r="J363" s="107">
        <f t="shared" si="181"/>
        <v>0</v>
      </c>
      <c r="K363" s="107">
        <f t="shared" si="181"/>
        <v>0</v>
      </c>
      <c r="L363" s="306"/>
    </row>
    <row r="364" spans="1:13" ht="174.75" customHeight="1">
      <c r="A364" s="495"/>
      <c r="B364" s="496"/>
      <c r="C364" s="496"/>
      <c r="D364" s="496"/>
      <c r="E364" s="496"/>
      <c r="F364" s="497"/>
      <c r="G364" s="188" t="s">
        <v>99</v>
      </c>
      <c r="H364" s="107">
        <f>H271</f>
        <v>4318.2</v>
      </c>
      <c r="I364" s="107">
        <f t="shared" ref="I364:K364" si="182">I271</f>
        <v>4318.2</v>
      </c>
      <c r="J364" s="107">
        <f t="shared" si="182"/>
        <v>0</v>
      </c>
      <c r="K364" s="107">
        <f t="shared" si="182"/>
        <v>0</v>
      </c>
      <c r="L364" s="306"/>
    </row>
    <row r="365" spans="1:13" ht="227.25" customHeight="1">
      <c r="A365" s="495"/>
      <c r="B365" s="496"/>
      <c r="C365" s="496"/>
      <c r="D365" s="496"/>
      <c r="E365" s="496"/>
      <c r="F365" s="497"/>
      <c r="G365" s="224" t="s">
        <v>100</v>
      </c>
      <c r="H365" s="107">
        <f>H270</f>
        <v>6612.1190000000006</v>
      </c>
      <c r="I365" s="107">
        <f t="shared" ref="I365:K365" si="183">I270</f>
        <v>6612.1190000000006</v>
      </c>
      <c r="J365" s="107">
        <f t="shared" si="183"/>
        <v>0</v>
      </c>
      <c r="K365" s="107">
        <f t="shared" si="183"/>
        <v>0</v>
      </c>
      <c r="L365" s="306"/>
    </row>
    <row r="366" spans="1:13" ht="154.5" customHeight="1">
      <c r="A366" s="495"/>
      <c r="B366" s="496"/>
      <c r="C366" s="496"/>
      <c r="D366" s="496"/>
      <c r="E366" s="496"/>
      <c r="F366" s="497"/>
      <c r="G366" s="188" t="s">
        <v>207</v>
      </c>
      <c r="H366" s="107">
        <f>H272</f>
        <v>2592.0530000000003</v>
      </c>
      <c r="I366" s="107">
        <f t="shared" ref="I366:K366" si="184">I272</f>
        <v>2592.0530000000003</v>
      </c>
      <c r="J366" s="107">
        <f t="shared" si="184"/>
        <v>0</v>
      </c>
      <c r="K366" s="107">
        <f t="shared" si="184"/>
        <v>0</v>
      </c>
      <c r="L366" s="306"/>
    </row>
    <row r="367" spans="1:13" ht="75" customHeight="1">
      <c r="A367" s="495"/>
      <c r="B367" s="496"/>
      <c r="C367" s="496"/>
      <c r="D367" s="496"/>
      <c r="E367" s="496"/>
      <c r="F367" s="497"/>
      <c r="G367" s="135" t="s">
        <v>345</v>
      </c>
      <c r="H367" s="107">
        <f>H274</f>
        <v>60</v>
      </c>
      <c r="I367" s="107">
        <f t="shared" ref="I367:K367" si="185">I274</f>
        <v>60</v>
      </c>
      <c r="J367" s="107">
        <f t="shared" si="185"/>
        <v>0</v>
      </c>
      <c r="K367" s="107">
        <f t="shared" si="185"/>
        <v>0</v>
      </c>
      <c r="L367" s="306"/>
    </row>
    <row r="368" spans="1:13" ht="75" customHeight="1">
      <c r="A368" s="495"/>
      <c r="B368" s="496"/>
      <c r="C368" s="496"/>
      <c r="D368" s="496"/>
      <c r="E368" s="496"/>
      <c r="F368" s="497"/>
      <c r="G368" s="170" t="s">
        <v>414</v>
      </c>
      <c r="H368" s="107">
        <f>H273</f>
        <v>799.7</v>
      </c>
      <c r="I368" s="107">
        <f t="shared" ref="I368:K368" si="186">I273</f>
        <v>799.7</v>
      </c>
      <c r="J368" s="107">
        <f t="shared" si="186"/>
        <v>0</v>
      </c>
      <c r="K368" s="107">
        <f t="shared" si="186"/>
        <v>0</v>
      </c>
      <c r="L368" s="306"/>
    </row>
    <row r="369" spans="1:12" ht="102" customHeight="1">
      <c r="A369" s="495"/>
      <c r="B369" s="496"/>
      <c r="C369" s="496"/>
      <c r="D369" s="496"/>
      <c r="E369" s="496"/>
      <c r="F369" s="497"/>
      <c r="G369" s="135" t="s">
        <v>416</v>
      </c>
      <c r="H369" s="107">
        <f>H336</f>
        <v>6848</v>
      </c>
      <c r="I369" s="107">
        <f t="shared" ref="I369:K369" si="187">I336</f>
        <v>6848</v>
      </c>
      <c r="J369" s="107">
        <f t="shared" si="187"/>
        <v>0</v>
      </c>
      <c r="K369" s="107">
        <f t="shared" si="187"/>
        <v>0</v>
      </c>
      <c r="L369" s="306"/>
    </row>
    <row r="370" spans="1:12" ht="99.75" customHeight="1">
      <c r="A370" s="495"/>
      <c r="B370" s="496"/>
      <c r="C370" s="496"/>
      <c r="D370" s="496"/>
      <c r="E370" s="496"/>
      <c r="F370" s="497"/>
      <c r="G370" s="166" t="s">
        <v>83</v>
      </c>
      <c r="H370" s="107">
        <f>H331</f>
        <v>16186.17</v>
      </c>
      <c r="I370" s="107">
        <f t="shared" ref="I370:K370" si="188">I331</f>
        <v>14714.7</v>
      </c>
      <c r="J370" s="107">
        <f t="shared" si="188"/>
        <v>1471.47</v>
      </c>
      <c r="K370" s="107">
        <f t="shared" si="188"/>
        <v>0</v>
      </c>
      <c r="L370" s="306"/>
    </row>
    <row r="371" spans="1:12" ht="75" customHeight="1">
      <c r="A371" s="495"/>
      <c r="B371" s="496"/>
      <c r="C371" s="496"/>
      <c r="D371" s="496"/>
      <c r="E371" s="496"/>
      <c r="F371" s="497"/>
      <c r="G371" s="166" t="s">
        <v>84</v>
      </c>
      <c r="H371" s="107">
        <f>H332</f>
        <v>885</v>
      </c>
      <c r="I371" s="107">
        <f t="shared" ref="I371:K371" si="189">I332</f>
        <v>885</v>
      </c>
      <c r="J371" s="107">
        <f t="shared" si="189"/>
        <v>0</v>
      </c>
      <c r="K371" s="107">
        <f t="shared" si="189"/>
        <v>0</v>
      </c>
      <c r="L371" s="306"/>
    </row>
    <row r="372" spans="1:12" ht="75" customHeight="1">
      <c r="A372" s="495"/>
      <c r="B372" s="496"/>
      <c r="C372" s="496"/>
      <c r="D372" s="496"/>
      <c r="E372" s="496"/>
      <c r="F372" s="497"/>
      <c r="G372" s="166" t="s">
        <v>104</v>
      </c>
      <c r="H372" s="107">
        <f>H334</f>
        <v>6238.8</v>
      </c>
      <c r="I372" s="107">
        <f t="shared" ref="I372:K372" si="190">I334</f>
        <v>6238.8</v>
      </c>
      <c r="J372" s="107">
        <f t="shared" si="190"/>
        <v>0</v>
      </c>
      <c r="K372" s="107">
        <f t="shared" si="190"/>
        <v>0</v>
      </c>
      <c r="L372" s="306"/>
    </row>
    <row r="373" spans="1:12" ht="75" customHeight="1">
      <c r="A373" s="495"/>
      <c r="B373" s="496"/>
      <c r="C373" s="496"/>
      <c r="D373" s="496"/>
      <c r="E373" s="496"/>
      <c r="F373" s="497"/>
      <c r="G373" s="135" t="s">
        <v>87</v>
      </c>
      <c r="H373" s="107">
        <f>H343</f>
        <v>1464912.6587665996</v>
      </c>
      <c r="I373" s="107">
        <f t="shared" ref="I373:K373" si="191">I343</f>
        <v>456518.1</v>
      </c>
      <c r="J373" s="107">
        <f t="shared" si="191"/>
        <v>492760.13660000003</v>
      </c>
      <c r="K373" s="107">
        <f t="shared" si="191"/>
        <v>515634.42216659989</v>
      </c>
      <c r="L373" s="306"/>
    </row>
    <row r="374" spans="1:12" ht="91.5" customHeight="1">
      <c r="A374" s="498"/>
      <c r="B374" s="499"/>
      <c r="C374" s="499"/>
      <c r="D374" s="499"/>
      <c r="E374" s="499"/>
      <c r="F374" s="500"/>
      <c r="G374" s="135" t="s">
        <v>91</v>
      </c>
      <c r="H374" s="107">
        <f>H354</f>
        <v>68856.218622399989</v>
      </c>
      <c r="I374" s="107">
        <f t="shared" ref="I374:K374" si="192">I354</f>
        <v>21063.200000000001</v>
      </c>
      <c r="J374" s="107">
        <f t="shared" si="192"/>
        <v>23301.902400000003</v>
      </c>
      <c r="K374" s="107">
        <f t="shared" si="192"/>
        <v>24491.1162224</v>
      </c>
      <c r="L374" s="306"/>
    </row>
    <row r="375" spans="1:12" ht="75" customHeight="1">
      <c r="A375" s="492" t="s">
        <v>95</v>
      </c>
      <c r="B375" s="493"/>
      <c r="C375" s="493"/>
      <c r="D375" s="494"/>
      <c r="E375" s="348" t="s">
        <v>82</v>
      </c>
      <c r="F375" s="461"/>
      <c r="G375" s="183" t="s">
        <v>90</v>
      </c>
      <c r="H375" s="106">
        <f>SUM(H376:H383)</f>
        <v>392700.1919725</v>
      </c>
      <c r="I375" s="106">
        <f t="shared" ref="I375:K375" si="193">SUM(I376:I383)</f>
        <v>143455.71</v>
      </c>
      <c r="J375" s="106">
        <f t="shared" si="193"/>
        <v>120538.79749999999</v>
      </c>
      <c r="K375" s="106">
        <f t="shared" si="193"/>
        <v>122634.48447249999</v>
      </c>
      <c r="L375" s="306"/>
    </row>
    <row r="376" spans="1:12" ht="75" customHeight="1">
      <c r="A376" s="495"/>
      <c r="B376" s="496"/>
      <c r="C376" s="496"/>
      <c r="D376" s="497"/>
      <c r="E376" s="348"/>
      <c r="F376" s="461"/>
      <c r="G376" s="265" t="s">
        <v>450</v>
      </c>
      <c r="H376" s="107">
        <f>H276+H319</f>
        <v>27815.84</v>
      </c>
      <c r="I376" s="107">
        <f>I276+I319</f>
        <v>15981.439999999999</v>
      </c>
      <c r="J376" s="107">
        <f>J276+J319</f>
        <v>356.7</v>
      </c>
      <c r="K376" s="107">
        <f>K276+K319</f>
        <v>5406.5</v>
      </c>
      <c r="L376" s="306"/>
    </row>
    <row r="377" spans="1:12" ht="75" customHeight="1">
      <c r="A377" s="495"/>
      <c r="B377" s="496"/>
      <c r="C377" s="496"/>
      <c r="D377" s="497"/>
      <c r="E377" s="348"/>
      <c r="F377" s="461"/>
      <c r="G377" s="188" t="s">
        <v>96</v>
      </c>
      <c r="H377" s="107">
        <f>H277</f>
        <v>12485.6</v>
      </c>
      <c r="I377" s="107">
        <f t="shared" ref="I377:K377" si="194">I277</f>
        <v>12485.6</v>
      </c>
      <c r="J377" s="107">
        <f t="shared" si="194"/>
        <v>0</v>
      </c>
      <c r="K377" s="107">
        <f t="shared" si="194"/>
        <v>0</v>
      </c>
      <c r="L377" s="306"/>
    </row>
    <row r="378" spans="1:12" ht="174.75" customHeight="1">
      <c r="A378" s="495"/>
      <c r="B378" s="496"/>
      <c r="C378" s="496"/>
      <c r="D378" s="497"/>
      <c r="E378" s="348"/>
      <c r="F378" s="461"/>
      <c r="G378" s="188" t="s">
        <v>99</v>
      </c>
      <c r="H378" s="107">
        <f>H278</f>
        <v>147.79999999999998</v>
      </c>
      <c r="I378" s="107">
        <f t="shared" ref="I378:K378" si="195">I278</f>
        <v>147.79999999999998</v>
      </c>
      <c r="J378" s="107">
        <f t="shared" si="195"/>
        <v>0</v>
      </c>
      <c r="K378" s="107">
        <f t="shared" si="195"/>
        <v>0</v>
      </c>
      <c r="L378" s="306"/>
    </row>
    <row r="379" spans="1:12" ht="150" customHeight="1">
      <c r="A379" s="495"/>
      <c r="B379" s="496"/>
      <c r="C379" s="496"/>
      <c r="D379" s="497"/>
      <c r="E379" s="348"/>
      <c r="F379" s="461"/>
      <c r="G379" s="188" t="s">
        <v>207</v>
      </c>
      <c r="H379" s="107">
        <f>H279</f>
        <v>250</v>
      </c>
      <c r="I379" s="107">
        <f t="shared" ref="I379:K379" si="196">I279</f>
        <v>250</v>
      </c>
      <c r="J379" s="107">
        <f t="shared" si="196"/>
        <v>0</v>
      </c>
      <c r="K379" s="107">
        <f t="shared" si="196"/>
        <v>0</v>
      </c>
      <c r="L379" s="306"/>
    </row>
    <row r="380" spans="1:12" ht="75" customHeight="1">
      <c r="A380" s="495"/>
      <c r="B380" s="496"/>
      <c r="C380" s="496"/>
      <c r="D380" s="497"/>
      <c r="E380" s="348"/>
      <c r="F380" s="461"/>
      <c r="G380" s="135" t="s">
        <v>345</v>
      </c>
      <c r="H380" s="107">
        <f>H280</f>
        <v>60</v>
      </c>
      <c r="I380" s="107">
        <f t="shared" ref="I380:K380" si="197">I280</f>
        <v>60</v>
      </c>
      <c r="J380" s="107">
        <f t="shared" si="197"/>
        <v>0</v>
      </c>
      <c r="K380" s="107">
        <f t="shared" si="197"/>
        <v>0</v>
      </c>
      <c r="L380" s="306"/>
    </row>
    <row r="381" spans="1:12" ht="75" customHeight="1">
      <c r="A381" s="495"/>
      <c r="B381" s="496"/>
      <c r="C381" s="496"/>
      <c r="D381" s="497"/>
      <c r="E381" s="348"/>
      <c r="F381" s="461"/>
      <c r="G381" s="135" t="s">
        <v>87</v>
      </c>
      <c r="H381" s="107">
        <f>H344</f>
        <v>308609.45589119999</v>
      </c>
      <c r="I381" s="107">
        <f t="shared" ref="I381:K381" si="198">I344</f>
        <v>97670.399999999994</v>
      </c>
      <c r="J381" s="107">
        <f t="shared" si="198"/>
        <v>102846.93119999999</v>
      </c>
      <c r="K381" s="107">
        <f t="shared" si="198"/>
        <v>108092.12469119999</v>
      </c>
      <c r="L381" s="306"/>
    </row>
    <row r="382" spans="1:12" ht="75" customHeight="1">
      <c r="A382" s="495"/>
      <c r="B382" s="496"/>
      <c r="C382" s="496"/>
      <c r="D382" s="497"/>
      <c r="E382" s="348"/>
      <c r="F382" s="461"/>
      <c r="G382" s="265" t="s">
        <v>454</v>
      </c>
      <c r="H382" s="107">
        <f>H281</f>
        <v>31523.37</v>
      </c>
      <c r="I382" s="107">
        <f t="shared" ref="I382:K382" si="199">I281</f>
        <v>13123.369999999999</v>
      </c>
      <c r="J382" s="107">
        <f t="shared" si="199"/>
        <v>13400</v>
      </c>
      <c r="K382" s="107">
        <f t="shared" si="199"/>
        <v>5000</v>
      </c>
      <c r="L382" s="306"/>
    </row>
    <row r="383" spans="1:12" ht="87.75" customHeight="1">
      <c r="A383" s="495"/>
      <c r="B383" s="496"/>
      <c r="C383" s="496"/>
      <c r="D383" s="497"/>
      <c r="E383" s="348"/>
      <c r="F383" s="461"/>
      <c r="G383" s="135" t="s">
        <v>91</v>
      </c>
      <c r="H383" s="107">
        <f>H355</f>
        <v>11808.126081299999</v>
      </c>
      <c r="I383" s="107">
        <f t="shared" ref="I383:K383" si="200">I355</f>
        <v>3737.1</v>
      </c>
      <c r="J383" s="107">
        <f t="shared" si="200"/>
        <v>3935.1662999999999</v>
      </c>
      <c r="K383" s="107">
        <f t="shared" si="200"/>
        <v>4135.8597812999997</v>
      </c>
      <c r="L383" s="306"/>
    </row>
    <row r="384" spans="1:12" ht="75" customHeight="1">
      <c r="A384" s="495"/>
      <c r="B384" s="496"/>
      <c r="C384" s="496"/>
      <c r="D384" s="497"/>
      <c r="E384" s="348" t="s">
        <v>76</v>
      </c>
      <c r="F384" s="461"/>
      <c r="G384" s="183" t="s">
        <v>90</v>
      </c>
      <c r="H384" s="106">
        <f>SUM(H385:H389)</f>
        <v>211289.18</v>
      </c>
      <c r="I384" s="106">
        <f t="shared" ref="I384:K384" si="201">SUM(I385:I389)</f>
        <v>77369.929999999993</v>
      </c>
      <c r="J384" s="106">
        <f t="shared" si="201"/>
        <v>67660.98</v>
      </c>
      <c r="K384" s="106">
        <f t="shared" si="201"/>
        <v>69427.399999999994</v>
      </c>
      <c r="L384" s="306"/>
    </row>
    <row r="385" spans="1:12" ht="75" customHeight="1">
      <c r="A385" s="495"/>
      <c r="B385" s="496"/>
      <c r="C385" s="496"/>
      <c r="D385" s="497"/>
      <c r="E385" s="348"/>
      <c r="F385" s="461"/>
      <c r="G385" s="265" t="s">
        <v>450</v>
      </c>
      <c r="H385" s="107">
        <f>H283+H320</f>
        <v>34186.879999999997</v>
      </c>
      <c r="I385" s="107">
        <f t="shared" ref="I385:K385" si="202">I283+I320</f>
        <v>13317.699999999997</v>
      </c>
      <c r="J385" s="107">
        <f>J283+J320</f>
        <v>10063.779999999999</v>
      </c>
      <c r="K385" s="107">
        <f t="shared" si="202"/>
        <v>10805.399999999998</v>
      </c>
      <c r="L385" s="306"/>
    </row>
    <row r="386" spans="1:12" ht="75" customHeight="1">
      <c r="A386" s="495"/>
      <c r="B386" s="496"/>
      <c r="C386" s="496"/>
      <c r="D386" s="497"/>
      <c r="E386" s="348"/>
      <c r="F386" s="461"/>
      <c r="G386" s="188" t="s">
        <v>96</v>
      </c>
      <c r="H386" s="107">
        <f>H284</f>
        <v>8160.1</v>
      </c>
      <c r="I386" s="107">
        <f t="shared" ref="I386:K386" si="203">I284</f>
        <v>8160.1</v>
      </c>
      <c r="J386" s="107">
        <f t="shared" si="203"/>
        <v>0</v>
      </c>
      <c r="K386" s="107">
        <f t="shared" si="203"/>
        <v>0</v>
      </c>
      <c r="L386" s="306"/>
    </row>
    <row r="387" spans="1:12" ht="75" customHeight="1">
      <c r="A387" s="495"/>
      <c r="B387" s="496"/>
      <c r="C387" s="496"/>
      <c r="D387" s="497"/>
      <c r="E387" s="348"/>
      <c r="F387" s="461"/>
      <c r="G387" s="166" t="s">
        <v>87</v>
      </c>
      <c r="H387" s="107">
        <f>H345</f>
        <v>124074.8</v>
      </c>
      <c r="I387" s="107">
        <f t="shared" ref="I387:K387" si="204">I345</f>
        <v>34703.800000000003</v>
      </c>
      <c r="J387" s="107">
        <f t="shared" si="204"/>
        <v>43574</v>
      </c>
      <c r="K387" s="107">
        <f t="shared" si="204"/>
        <v>45797</v>
      </c>
      <c r="L387" s="306"/>
    </row>
    <row r="388" spans="1:12" ht="75" customHeight="1">
      <c r="A388" s="495"/>
      <c r="B388" s="496"/>
      <c r="C388" s="496"/>
      <c r="D388" s="497"/>
      <c r="E388" s="348"/>
      <c r="F388" s="461"/>
      <c r="G388" s="265" t="s">
        <v>454</v>
      </c>
      <c r="H388" s="107">
        <f>H285+H339</f>
        <v>15845.3</v>
      </c>
      <c r="I388" s="107">
        <f>I285+I339</f>
        <v>12314.429999999998</v>
      </c>
      <c r="J388" s="107">
        <f>J285+J339</f>
        <v>4200</v>
      </c>
      <c r="K388" s="107">
        <f>K285+K339</f>
        <v>2500</v>
      </c>
      <c r="L388" s="306"/>
    </row>
    <row r="389" spans="1:12" ht="75" customHeight="1">
      <c r="A389" s="495"/>
      <c r="B389" s="496"/>
      <c r="C389" s="496"/>
      <c r="D389" s="497"/>
      <c r="E389" s="348"/>
      <c r="F389" s="461"/>
      <c r="G389" s="135" t="s">
        <v>91</v>
      </c>
      <c r="H389" s="107">
        <f>H356</f>
        <v>29022.1</v>
      </c>
      <c r="I389" s="107">
        <f t="shared" ref="I389:K389" si="205">I356</f>
        <v>8873.9</v>
      </c>
      <c r="J389" s="107">
        <f t="shared" si="205"/>
        <v>9823.2000000000007</v>
      </c>
      <c r="K389" s="107">
        <f t="shared" si="205"/>
        <v>10325</v>
      </c>
      <c r="L389" s="306"/>
    </row>
    <row r="390" spans="1:12" ht="75" customHeight="1">
      <c r="A390" s="495"/>
      <c r="B390" s="496"/>
      <c r="C390" s="496"/>
      <c r="D390" s="497"/>
      <c r="E390" s="348" t="s">
        <v>77</v>
      </c>
      <c r="F390" s="461"/>
      <c r="G390" s="183" t="s">
        <v>90</v>
      </c>
      <c r="H390" s="106">
        <f>SUM(H391:H396)</f>
        <v>377404.75820000004</v>
      </c>
      <c r="I390" s="106">
        <f t="shared" ref="I390:K390" si="206">SUM(I391:I396)</f>
        <v>145520.75400000002</v>
      </c>
      <c r="J390" s="106">
        <f t="shared" si="206"/>
        <v>120521.56999999999</v>
      </c>
      <c r="K390" s="106">
        <f t="shared" si="206"/>
        <v>111362.4342</v>
      </c>
      <c r="L390" s="306"/>
    </row>
    <row r="391" spans="1:12" ht="75" customHeight="1">
      <c r="A391" s="495"/>
      <c r="B391" s="496"/>
      <c r="C391" s="496"/>
      <c r="D391" s="497"/>
      <c r="E391" s="348"/>
      <c r="F391" s="461"/>
      <c r="G391" s="265" t="s">
        <v>450</v>
      </c>
      <c r="H391" s="107">
        <f>H287+H321</f>
        <v>38342.759999999995</v>
      </c>
      <c r="I391" s="107">
        <f t="shared" ref="I391:K391" si="207">I287+I321</f>
        <v>23086.2</v>
      </c>
      <c r="J391" s="107">
        <f t="shared" si="207"/>
        <v>7346.57</v>
      </c>
      <c r="K391" s="107">
        <f t="shared" si="207"/>
        <v>7909.99</v>
      </c>
      <c r="L391" s="306"/>
    </row>
    <row r="392" spans="1:12" ht="75" customHeight="1">
      <c r="A392" s="495"/>
      <c r="B392" s="496"/>
      <c r="C392" s="496"/>
      <c r="D392" s="497"/>
      <c r="E392" s="348"/>
      <c r="F392" s="461"/>
      <c r="G392" s="188" t="s">
        <v>96</v>
      </c>
      <c r="H392" s="107">
        <f>H288</f>
        <v>12866.2</v>
      </c>
      <c r="I392" s="107">
        <f t="shared" ref="I392:K392" si="208">I288</f>
        <v>12866.2</v>
      </c>
      <c r="J392" s="107">
        <f t="shared" si="208"/>
        <v>0</v>
      </c>
      <c r="K392" s="107">
        <f t="shared" si="208"/>
        <v>0</v>
      </c>
      <c r="L392" s="306"/>
    </row>
    <row r="393" spans="1:12" ht="171" customHeight="1">
      <c r="A393" s="495"/>
      <c r="B393" s="496"/>
      <c r="C393" s="496"/>
      <c r="D393" s="497"/>
      <c r="E393" s="348"/>
      <c r="F393" s="461"/>
      <c r="G393" s="188" t="s">
        <v>99</v>
      </c>
      <c r="H393" s="107">
        <f>H289</f>
        <v>2680.3</v>
      </c>
      <c r="I393" s="107">
        <f t="shared" ref="I393:K393" si="209">I289</f>
        <v>2680.3</v>
      </c>
      <c r="J393" s="107">
        <f t="shared" si="209"/>
        <v>0</v>
      </c>
      <c r="K393" s="107">
        <f t="shared" si="209"/>
        <v>0</v>
      </c>
      <c r="L393" s="306"/>
    </row>
    <row r="394" spans="1:12" ht="75" customHeight="1">
      <c r="A394" s="495"/>
      <c r="B394" s="496"/>
      <c r="C394" s="496"/>
      <c r="D394" s="497"/>
      <c r="E394" s="348"/>
      <c r="F394" s="461"/>
      <c r="G394" s="166" t="s">
        <v>87</v>
      </c>
      <c r="H394" s="107">
        <f>H346</f>
        <v>277984.3</v>
      </c>
      <c r="I394" s="107">
        <f t="shared" ref="I394:K394" si="210">I346</f>
        <v>87978</v>
      </c>
      <c r="J394" s="107">
        <f t="shared" si="210"/>
        <v>92640.8</v>
      </c>
      <c r="K394" s="107">
        <f t="shared" si="210"/>
        <v>97365.5</v>
      </c>
      <c r="L394" s="306"/>
    </row>
    <row r="395" spans="1:12" ht="75" customHeight="1">
      <c r="A395" s="495"/>
      <c r="B395" s="496"/>
      <c r="C395" s="496"/>
      <c r="D395" s="497"/>
      <c r="E395" s="348"/>
      <c r="F395" s="461"/>
      <c r="G395" s="265" t="s">
        <v>454</v>
      </c>
      <c r="H395" s="107">
        <f>H290+H340</f>
        <v>42427.954000000005</v>
      </c>
      <c r="I395" s="107">
        <f>I290+I340</f>
        <v>17927.954000000002</v>
      </c>
      <c r="J395" s="107">
        <f>J290+J340</f>
        <v>19500</v>
      </c>
      <c r="K395" s="107">
        <f>K290+K340</f>
        <v>5000</v>
      </c>
      <c r="L395" s="306"/>
    </row>
    <row r="396" spans="1:12" ht="75" customHeight="1">
      <c r="A396" s="495"/>
      <c r="B396" s="496"/>
      <c r="C396" s="496"/>
      <c r="D396" s="497"/>
      <c r="E396" s="348"/>
      <c r="F396" s="461"/>
      <c r="G396" s="135" t="s">
        <v>91</v>
      </c>
      <c r="H396" s="107">
        <f>H357</f>
        <v>3103.2442000000001</v>
      </c>
      <c r="I396" s="107">
        <f t="shared" ref="I396:K396" si="211">I357</f>
        <v>982.1</v>
      </c>
      <c r="J396" s="107">
        <f t="shared" si="211"/>
        <v>1034.2</v>
      </c>
      <c r="K396" s="107">
        <f t="shared" si="211"/>
        <v>1086.9441999999999</v>
      </c>
      <c r="L396" s="306"/>
    </row>
    <row r="397" spans="1:12" ht="75" customHeight="1">
      <c r="A397" s="495"/>
      <c r="B397" s="496"/>
      <c r="C397" s="496"/>
      <c r="D397" s="497"/>
      <c r="E397" s="318" t="s">
        <v>75</v>
      </c>
      <c r="F397" s="461"/>
      <c r="G397" s="183" t="s">
        <v>90</v>
      </c>
      <c r="H397" s="106">
        <f>SUM(H398:H405)</f>
        <v>376076.81699999998</v>
      </c>
      <c r="I397" s="106">
        <f t="shared" ref="I397:K397" si="212">SUM(I398:I405)</f>
        <v>161318.42500000002</v>
      </c>
      <c r="J397" s="106">
        <f t="shared" si="212"/>
        <v>112116.3</v>
      </c>
      <c r="K397" s="106">
        <f t="shared" si="212"/>
        <v>102642.09199999999</v>
      </c>
      <c r="L397" s="306"/>
    </row>
    <row r="398" spans="1:12" ht="75" customHeight="1">
      <c r="A398" s="495"/>
      <c r="B398" s="496"/>
      <c r="C398" s="496"/>
      <c r="D398" s="497"/>
      <c r="E398" s="319"/>
      <c r="F398" s="461"/>
      <c r="G398" s="268" t="s">
        <v>450</v>
      </c>
      <c r="H398" s="107">
        <f>H292+H329</f>
        <v>42431.604999999996</v>
      </c>
      <c r="I398" s="107">
        <f>I292+I329</f>
        <v>23201.383000000002</v>
      </c>
      <c r="J398" s="107">
        <f>J292+J329</f>
        <v>9996.0300000000007</v>
      </c>
      <c r="K398" s="107">
        <f>K292+K329</f>
        <v>9234.1920000000009</v>
      </c>
      <c r="L398" s="306"/>
    </row>
    <row r="399" spans="1:12" ht="75" customHeight="1">
      <c r="A399" s="495"/>
      <c r="B399" s="496"/>
      <c r="C399" s="496"/>
      <c r="D399" s="497"/>
      <c r="E399" s="319"/>
      <c r="F399" s="461"/>
      <c r="G399" s="188" t="s">
        <v>96</v>
      </c>
      <c r="H399" s="107">
        <f>H293</f>
        <v>11848</v>
      </c>
      <c r="I399" s="107">
        <f t="shared" ref="I399:K399" si="213">I293</f>
        <v>11848</v>
      </c>
      <c r="J399" s="107">
        <f t="shared" si="213"/>
        <v>0</v>
      </c>
      <c r="K399" s="107">
        <f t="shared" si="213"/>
        <v>0</v>
      </c>
      <c r="L399" s="306"/>
    </row>
    <row r="400" spans="1:12" ht="162.75" customHeight="1">
      <c r="A400" s="495"/>
      <c r="B400" s="496"/>
      <c r="C400" s="496"/>
      <c r="D400" s="497"/>
      <c r="E400" s="319"/>
      <c r="F400" s="461"/>
      <c r="G400" s="188" t="s">
        <v>207</v>
      </c>
      <c r="H400" s="107">
        <f>H294</f>
        <v>1412.0530000000003</v>
      </c>
      <c r="I400" s="107">
        <f t="shared" ref="I400:K400" si="214">I294</f>
        <v>1412.0530000000003</v>
      </c>
      <c r="J400" s="107">
        <f t="shared" si="214"/>
        <v>0</v>
      </c>
      <c r="K400" s="107">
        <f t="shared" si="214"/>
        <v>0</v>
      </c>
      <c r="L400" s="306"/>
    </row>
    <row r="401" spans="1:12" ht="75" customHeight="1">
      <c r="A401" s="495"/>
      <c r="B401" s="496"/>
      <c r="C401" s="496"/>
      <c r="D401" s="497"/>
      <c r="E401" s="319"/>
      <c r="F401" s="461"/>
      <c r="G401" s="166" t="s">
        <v>87</v>
      </c>
      <c r="H401" s="107">
        <f>H347</f>
        <v>241584.30000000002</v>
      </c>
      <c r="I401" s="107">
        <f t="shared" ref="I401:K401" si="215">I347</f>
        <v>70008.100000000006</v>
      </c>
      <c r="J401" s="107">
        <f t="shared" si="215"/>
        <v>83168.3</v>
      </c>
      <c r="K401" s="107">
        <f t="shared" si="215"/>
        <v>88407.9</v>
      </c>
      <c r="L401" s="306"/>
    </row>
    <row r="402" spans="1:12" ht="75" customHeight="1">
      <c r="A402" s="495"/>
      <c r="B402" s="496"/>
      <c r="C402" s="496"/>
      <c r="D402" s="497"/>
      <c r="E402" s="319"/>
      <c r="F402" s="461"/>
      <c r="G402" s="265" t="s">
        <v>454</v>
      </c>
      <c r="H402" s="107">
        <f>H295+H330</f>
        <v>55490.889000000003</v>
      </c>
      <c r="I402" s="107">
        <f>I295+I330</f>
        <v>33010.389000000003</v>
      </c>
      <c r="J402" s="107">
        <f>J295+J330</f>
        <v>17480.5</v>
      </c>
      <c r="K402" s="107">
        <f>K295+K330</f>
        <v>5000</v>
      </c>
      <c r="L402" s="306"/>
    </row>
    <row r="403" spans="1:12" ht="75" customHeight="1">
      <c r="A403" s="495"/>
      <c r="B403" s="496"/>
      <c r="C403" s="496"/>
      <c r="D403" s="497"/>
      <c r="E403" s="319"/>
      <c r="F403" s="461"/>
      <c r="G403" s="166" t="s">
        <v>400</v>
      </c>
      <c r="H403" s="107">
        <f>H331</f>
        <v>16186.17</v>
      </c>
      <c r="I403" s="107">
        <f t="shared" ref="I403:K403" si="216">I331</f>
        <v>14714.7</v>
      </c>
      <c r="J403" s="107">
        <f t="shared" si="216"/>
        <v>1471.47</v>
      </c>
      <c r="K403" s="107">
        <f t="shared" si="216"/>
        <v>0</v>
      </c>
      <c r="L403" s="306"/>
    </row>
    <row r="404" spans="1:12" ht="75" customHeight="1">
      <c r="A404" s="495"/>
      <c r="B404" s="496"/>
      <c r="C404" s="496"/>
      <c r="D404" s="497"/>
      <c r="E404" s="319"/>
      <c r="F404" s="461"/>
      <c r="G404" s="166" t="s">
        <v>84</v>
      </c>
      <c r="H404" s="107">
        <f>H332</f>
        <v>885</v>
      </c>
      <c r="I404" s="107">
        <f t="shared" ref="I404:K404" si="217">I332</f>
        <v>885</v>
      </c>
      <c r="J404" s="107">
        <f t="shared" si="217"/>
        <v>0</v>
      </c>
      <c r="K404" s="107">
        <f t="shared" si="217"/>
        <v>0</v>
      </c>
      <c r="L404" s="306"/>
    </row>
    <row r="405" spans="1:12" ht="75" customHeight="1">
      <c r="A405" s="495"/>
      <c r="B405" s="496"/>
      <c r="C405" s="496"/>
      <c r="D405" s="497"/>
      <c r="E405" s="320"/>
      <c r="F405" s="461"/>
      <c r="G405" s="166" t="s">
        <v>104</v>
      </c>
      <c r="H405" s="107">
        <f>H334</f>
        <v>6238.8</v>
      </c>
      <c r="I405" s="107">
        <f t="shared" ref="I405:K405" si="218">I334</f>
        <v>6238.8</v>
      </c>
      <c r="J405" s="107">
        <f t="shared" si="218"/>
        <v>0</v>
      </c>
      <c r="K405" s="107">
        <f t="shared" si="218"/>
        <v>0</v>
      </c>
      <c r="L405" s="306"/>
    </row>
    <row r="406" spans="1:12" ht="75" customHeight="1">
      <c r="A406" s="495"/>
      <c r="B406" s="496"/>
      <c r="C406" s="496"/>
      <c r="D406" s="497"/>
      <c r="E406" s="348" t="s">
        <v>79</v>
      </c>
      <c r="F406" s="461"/>
      <c r="G406" s="183" t="s">
        <v>90</v>
      </c>
      <c r="H406" s="106">
        <f>SUM(H407:H412)</f>
        <v>155890.5644265</v>
      </c>
      <c r="I406" s="106">
        <f t="shared" ref="I406:K406" si="219">SUM(I407:I412)</f>
        <v>65532.869999999995</v>
      </c>
      <c r="J406" s="106">
        <f t="shared" si="219"/>
        <v>49187.651500000007</v>
      </c>
      <c r="K406" s="106">
        <f t="shared" si="219"/>
        <v>41170.042926499998</v>
      </c>
      <c r="L406" s="306"/>
    </row>
    <row r="407" spans="1:12" ht="75" customHeight="1">
      <c r="A407" s="495"/>
      <c r="B407" s="496"/>
      <c r="C407" s="496"/>
      <c r="D407" s="497"/>
      <c r="E407" s="348"/>
      <c r="F407" s="461"/>
      <c r="G407" s="268" t="s">
        <v>450</v>
      </c>
      <c r="H407" s="107">
        <f>H297+H322</f>
        <v>13045.62</v>
      </c>
      <c r="I407" s="107">
        <f t="shared" ref="I407:K407" si="220">I297+I322</f>
        <v>6272.9000000000005</v>
      </c>
      <c r="J407" s="107">
        <f t="shared" si="220"/>
        <v>3258.8</v>
      </c>
      <c r="K407" s="107">
        <f t="shared" si="220"/>
        <v>3513.92</v>
      </c>
      <c r="L407" s="306"/>
    </row>
    <row r="408" spans="1:12" ht="154.5" customHeight="1">
      <c r="A408" s="495"/>
      <c r="B408" s="496"/>
      <c r="C408" s="496"/>
      <c r="D408" s="497"/>
      <c r="E408" s="348"/>
      <c r="F408" s="461"/>
      <c r="G408" s="188" t="s">
        <v>207</v>
      </c>
      <c r="H408" s="107">
        <f>H299</f>
        <v>930</v>
      </c>
      <c r="I408" s="107">
        <f t="shared" ref="I408:K408" si="221">I299</f>
        <v>930</v>
      </c>
      <c r="J408" s="107">
        <f t="shared" si="221"/>
        <v>0</v>
      </c>
      <c r="K408" s="107">
        <f t="shared" si="221"/>
        <v>0</v>
      </c>
      <c r="L408" s="306"/>
    </row>
    <row r="409" spans="1:12" ht="75" customHeight="1">
      <c r="A409" s="495"/>
      <c r="B409" s="496"/>
      <c r="C409" s="496"/>
      <c r="D409" s="497"/>
      <c r="E409" s="348"/>
      <c r="F409" s="461"/>
      <c r="G409" s="188" t="s">
        <v>96</v>
      </c>
      <c r="H409" s="107">
        <f>H298</f>
        <v>6347.6</v>
      </c>
      <c r="I409" s="107">
        <f t="shared" ref="I409:K409" si="222">I298</f>
        <v>6347.6</v>
      </c>
      <c r="J409" s="107">
        <f t="shared" si="222"/>
        <v>0</v>
      </c>
      <c r="K409" s="107">
        <f t="shared" si="222"/>
        <v>0</v>
      </c>
      <c r="L409" s="306"/>
    </row>
    <row r="410" spans="1:12" ht="75" customHeight="1">
      <c r="A410" s="495"/>
      <c r="B410" s="496"/>
      <c r="C410" s="496"/>
      <c r="D410" s="497"/>
      <c r="E410" s="348"/>
      <c r="F410" s="461"/>
      <c r="G410" s="166" t="s">
        <v>87</v>
      </c>
      <c r="H410" s="107">
        <f>H348</f>
        <v>105982.1260854</v>
      </c>
      <c r="I410" s="107">
        <f t="shared" ref="I410:K410" si="223">I348</f>
        <v>33541.800000000003</v>
      </c>
      <c r="J410" s="107">
        <f t="shared" si="223"/>
        <v>35319.515400000004</v>
      </c>
      <c r="K410" s="107">
        <f t="shared" si="223"/>
        <v>37120.8106854</v>
      </c>
      <c r="L410" s="306"/>
    </row>
    <row r="411" spans="1:12" ht="75" customHeight="1">
      <c r="A411" s="495"/>
      <c r="B411" s="496"/>
      <c r="C411" s="496"/>
      <c r="D411" s="497"/>
      <c r="E411" s="348"/>
      <c r="F411" s="461"/>
      <c r="G411" s="265" t="s">
        <v>454</v>
      </c>
      <c r="H411" s="107">
        <f>H300+H341</f>
        <v>28056.87</v>
      </c>
      <c r="I411" s="107">
        <f>I300+I341</f>
        <v>17956.87</v>
      </c>
      <c r="J411" s="107">
        <f>J300+J341</f>
        <v>10100</v>
      </c>
      <c r="K411" s="107">
        <f>K300+K341</f>
        <v>0</v>
      </c>
      <c r="L411" s="306"/>
    </row>
    <row r="412" spans="1:12" ht="75" customHeight="1">
      <c r="A412" s="495"/>
      <c r="B412" s="496"/>
      <c r="C412" s="496"/>
      <c r="D412" s="497"/>
      <c r="E412" s="348"/>
      <c r="F412" s="461"/>
      <c r="G412" s="135" t="s">
        <v>91</v>
      </c>
      <c r="H412" s="107">
        <f>H358</f>
        <v>1528.3483410999997</v>
      </c>
      <c r="I412" s="107">
        <f t="shared" ref="I412:K412" si="224">I358</f>
        <v>483.7</v>
      </c>
      <c r="J412" s="107">
        <f t="shared" si="224"/>
        <v>509.33609999999993</v>
      </c>
      <c r="K412" s="107">
        <f t="shared" si="224"/>
        <v>535.31224109999994</v>
      </c>
      <c r="L412" s="306"/>
    </row>
    <row r="413" spans="1:12" ht="75" customHeight="1">
      <c r="A413" s="495"/>
      <c r="B413" s="496"/>
      <c r="C413" s="496"/>
      <c r="D413" s="497"/>
      <c r="E413" s="348" t="s">
        <v>78</v>
      </c>
      <c r="F413" s="461"/>
      <c r="G413" s="183" t="s">
        <v>90</v>
      </c>
      <c r="H413" s="106">
        <f>SUM(H414:H418)</f>
        <v>54767.284700000004</v>
      </c>
      <c r="I413" s="106">
        <f t="shared" ref="I413:K413" si="225">SUM(I414:I418)</f>
        <v>17351.400000000001</v>
      </c>
      <c r="J413" s="106">
        <f t="shared" si="225"/>
        <v>18171.800000000003</v>
      </c>
      <c r="K413" s="106">
        <f t="shared" si="225"/>
        <v>19244.084699999999</v>
      </c>
      <c r="L413" s="306"/>
    </row>
    <row r="414" spans="1:12" ht="75" customHeight="1">
      <c r="A414" s="495"/>
      <c r="B414" s="496"/>
      <c r="C414" s="496"/>
      <c r="D414" s="497"/>
      <c r="E414" s="348"/>
      <c r="F414" s="461"/>
      <c r="G414" s="268" t="s">
        <v>450</v>
      </c>
      <c r="H414" s="107">
        <f>H302+H323</f>
        <v>26750.7</v>
      </c>
      <c r="I414" s="107">
        <f t="shared" ref="I414:K414" si="226">I302+I323</f>
        <v>7383</v>
      </c>
      <c r="J414" s="107">
        <f t="shared" si="226"/>
        <v>9372.1</v>
      </c>
      <c r="K414" s="107">
        <f t="shared" si="226"/>
        <v>9995.6</v>
      </c>
      <c r="L414" s="306"/>
    </row>
    <row r="415" spans="1:12" ht="75" customHeight="1">
      <c r="A415" s="495"/>
      <c r="B415" s="496"/>
      <c r="C415" s="496"/>
      <c r="D415" s="497"/>
      <c r="E415" s="348"/>
      <c r="F415" s="461"/>
      <c r="G415" s="188" t="s">
        <v>96</v>
      </c>
      <c r="H415" s="107">
        <f>H303</f>
        <v>1132.2</v>
      </c>
      <c r="I415" s="107">
        <f t="shared" ref="I415:K415" si="227">I303</f>
        <v>1132.2</v>
      </c>
      <c r="J415" s="107">
        <f t="shared" si="227"/>
        <v>0</v>
      </c>
      <c r="K415" s="107">
        <f t="shared" si="227"/>
        <v>0</v>
      </c>
      <c r="L415" s="306"/>
    </row>
    <row r="416" spans="1:12" ht="75" customHeight="1">
      <c r="A416" s="495"/>
      <c r="B416" s="496"/>
      <c r="C416" s="496"/>
      <c r="D416" s="497"/>
      <c r="E416" s="348"/>
      <c r="F416" s="461"/>
      <c r="G416" s="166" t="s">
        <v>87</v>
      </c>
      <c r="H416" s="107">
        <f>H349</f>
        <v>2239.9847</v>
      </c>
      <c r="I416" s="107">
        <f t="shared" ref="I416:K416" si="228">I349</f>
        <v>599.79999999999995</v>
      </c>
      <c r="J416" s="107">
        <f t="shared" si="228"/>
        <v>799.7</v>
      </c>
      <c r="K416" s="107">
        <f t="shared" si="228"/>
        <v>840.48469999999998</v>
      </c>
      <c r="L416" s="306"/>
    </row>
    <row r="417" spans="1:12" ht="75" customHeight="1">
      <c r="A417" s="495"/>
      <c r="B417" s="496"/>
      <c r="C417" s="496"/>
      <c r="D417" s="497"/>
      <c r="E417" s="348"/>
      <c r="F417" s="461"/>
      <c r="G417" s="265" t="s">
        <v>454</v>
      </c>
      <c r="H417" s="107">
        <f>H304</f>
        <v>1250</v>
      </c>
      <c r="I417" s="107">
        <f t="shared" ref="I417:K417" si="229">I304</f>
        <v>1250</v>
      </c>
      <c r="J417" s="107">
        <f t="shared" si="229"/>
        <v>0</v>
      </c>
      <c r="K417" s="107">
        <f t="shared" si="229"/>
        <v>0</v>
      </c>
      <c r="L417" s="306"/>
    </row>
    <row r="418" spans="1:12" ht="75" customHeight="1">
      <c r="A418" s="495"/>
      <c r="B418" s="496"/>
      <c r="C418" s="496"/>
      <c r="D418" s="497"/>
      <c r="E418" s="348"/>
      <c r="F418" s="461"/>
      <c r="G418" s="135" t="s">
        <v>91</v>
      </c>
      <c r="H418" s="107">
        <f>H359</f>
        <v>23394.400000000001</v>
      </c>
      <c r="I418" s="107">
        <f t="shared" ref="I418:K418" si="230">I359</f>
        <v>6986.4</v>
      </c>
      <c r="J418" s="107">
        <f t="shared" si="230"/>
        <v>8000</v>
      </c>
      <c r="K418" s="107">
        <f t="shared" si="230"/>
        <v>8408</v>
      </c>
      <c r="L418" s="306"/>
    </row>
    <row r="419" spans="1:12" ht="75" customHeight="1">
      <c r="A419" s="495"/>
      <c r="B419" s="496"/>
      <c r="C419" s="496"/>
      <c r="D419" s="497"/>
      <c r="E419" s="318" t="s">
        <v>80</v>
      </c>
      <c r="F419" s="461"/>
      <c r="G419" s="183" t="s">
        <v>90</v>
      </c>
      <c r="H419" s="106">
        <f>SUM(H420:H422)</f>
        <v>236443.70208999998</v>
      </c>
      <c r="I419" s="106">
        <f t="shared" ref="I419:K419" si="231">SUM(I420:I422)</f>
        <v>74637.41</v>
      </c>
      <c r="J419" s="106">
        <f t="shared" si="231"/>
        <v>78818.19</v>
      </c>
      <c r="K419" s="106">
        <f t="shared" si="231"/>
        <v>82988.102089999986</v>
      </c>
      <c r="L419" s="306"/>
    </row>
    <row r="420" spans="1:12" ht="75" customHeight="1">
      <c r="A420" s="495"/>
      <c r="B420" s="496"/>
      <c r="C420" s="496"/>
      <c r="D420" s="497"/>
      <c r="E420" s="319"/>
      <c r="F420" s="461"/>
      <c r="G420" s="268" t="s">
        <v>450</v>
      </c>
      <c r="H420" s="107">
        <f>H306</f>
        <v>24646.31</v>
      </c>
      <c r="I420" s="107">
        <f t="shared" ref="I420:K420" si="232">I306</f>
        <v>7604.91</v>
      </c>
      <c r="J420" s="107">
        <f t="shared" si="232"/>
        <v>8235.5999999999985</v>
      </c>
      <c r="K420" s="107">
        <f t="shared" si="232"/>
        <v>8805.7999999999993</v>
      </c>
      <c r="L420" s="306"/>
    </row>
    <row r="421" spans="1:12" ht="204" customHeight="1">
      <c r="A421" s="495"/>
      <c r="B421" s="496"/>
      <c r="C421" s="496"/>
      <c r="D421" s="497"/>
      <c r="E421" s="319"/>
      <c r="F421" s="461"/>
      <c r="G421" s="224" t="s">
        <v>100</v>
      </c>
      <c r="H421" s="107">
        <f>H307</f>
        <v>2.5</v>
      </c>
      <c r="I421" s="107">
        <f t="shared" ref="I421:K421" si="233">I307</f>
        <v>2.5</v>
      </c>
      <c r="J421" s="107">
        <f t="shared" si="233"/>
        <v>0</v>
      </c>
      <c r="K421" s="107">
        <f t="shared" si="233"/>
        <v>0</v>
      </c>
      <c r="L421" s="306"/>
    </row>
    <row r="422" spans="1:12" ht="75" customHeight="1">
      <c r="A422" s="495"/>
      <c r="B422" s="496"/>
      <c r="C422" s="496"/>
      <c r="D422" s="497"/>
      <c r="E422" s="320"/>
      <c r="F422" s="461"/>
      <c r="G422" s="182" t="s">
        <v>87</v>
      </c>
      <c r="H422" s="107">
        <f>H350+H352</f>
        <v>211794.89208999998</v>
      </c>
      <c r="I422" s="107">
        <f t="shared" ref="I422:K422" si="234">I350+I352</f>
        <v>67030</v>
      </c>
      <c r="J422" s="107">
        <f t="shared" si="234"/>
        <v>70582.59</v>
      </c>
      <c r="K422" s="107">
        <f t="shared" si="234"/>
        <v>74182.302089999983</v>
      </c>
      <c r="L422" s="306"/>
    </row>
    <row r="423" spans="1:12" ht="75" customHeight="1">
      <c r="A423" s="495"/>
      <c r="B423" s="496"/>
      <c r="C423" s="496"/>
      <c r="D423" s="497"/>
      <c r="E423" s="348" t="s">
        <v>81</v>
      </c>
      <c r="F423" s="461"/>
      <c r="G423" s="183" t="s">
        <v>90</v>
      </c>
      <c r="H423" s="106">
        <f>SUM(H424:H425)</f>
        <v>220697.64230000001</v>
      </c>
      <c r="I423" s="106">
        <f t="shared" ref="I423:K423" si="235">SUM(I424:I425)</f>
        <v>73428.89</v>
      </c>
      <c r="J423" s="106">
        <f t="shared" si="235"/>
        <v>73391.200000000012</v>
      </c>
      <c r="K423" s="106">
        <f t="shared" si="235"/>
        <v>73877.55230000001</v>
      </c>
      <c r="L423" s="306"/>
    </row>
    <row r="424" spans="1:12" ht="75" customHeight="1">
      <c r="A424" s="495"/>
      <c r="B424" s="496"/>
      <c r="C424" s="496"/>
      <c r="D424" s="497"/>
      <c r="E424" s="348"/>
      <c r="F424" s="461"/>
      <c r="G424" s="268" t="s">
        <v>450</v>
      </c>
      <c r="H424" s="107">
        <f>H309</f>
        <v>28054.842300000004</v>
      </c>
      <c r="I424" s="107">
        <f t="shared" ref="I424:K424" si="236">I309</f>
        <v>8442.69</v>
      </c>
      <c r="J424" s="107">
        <f t="shared" si="236"/>
        <v>9562.9000000000015</v>
      </c>
      <c r="K424" s="107">
        <f t="shared" si="236"/>
        <v>10049.2523</v>
      </c>
      <c r="L424" s="306"/>
    </row>
    <row r="425" spans="1:12" ht="75" customHeight="1">
      <c r="A425" s="495"/>
      <c r="B425" s="496"/>
      <c r="C425" s="496"/>
      <c r="D425" s="497"/>
      <c r="E425" s="348"/>
      <c r="F425" s="461"/>
      <c r="G425" s="182" t="s">
        <v>87</v>
      </c>
      <c r="H425" s="107">
        <f>H351+H353</f>
        <v>192642.8</v>
      </c>
      <c r="I425" s="107">
        <f t="shared" ref="I425:K425" si="237">I351+I353</f>
        <v>64986.2</v>
      </c>
      <c r="J425" s="107">
        <f t="shared" si="237"/>
        <v>63828.3</v>
      </c>
      <c r="K425" s="107">
        <f t="shared" si="237"/>
        <v>63828.3</v>
      </c>
      <c r="L425" s="306"/>
    </row>
    <row r="426" spans="1:12" ht="75" customHeight="1">
      <c r="A426" s="495"/>
      <c r="B426" s="496"/>
      <c r="C426" s="496"/>
      <c r="D426" s="497"/>
      <c r="E426" s="138" t="s">
        <v>426</v>
      </c>
      <c r="F426" s="461"/>
      <c r="G426" s="268" t="s">
        <v>450</v>
      </c>
      <c r="H426" s="106">
        <f>H310</f>
        <v>3000</v>
      </c>
      <c r="I426" s="106">
        <f t="shared" ref="I426:K426" si="238">I310</f>
        <v>3000</v>
      </c>
      <c r="J426" s="106">
        <f t="shared" si="238"/>
        <v>0</v>
      </c>
      <c r="K426" s="106">
        <f t="shared" si="238"/>
        <v>0</v>
      </c>
      <c r="L426" s="306"/>
    </row>
    <row r="427" spans="1:12" ht="75" customHeight="1">
      <c r="A427" s="495"/>
      <c r="B427" s="496"/>
      <c r="C427" s="496"/>
      <c r="D427" s="497"/>
      <c r="E427" s="348" t="s">
        <v>54</v>
      </c>
      <c r="F427" s="461"/>
      <c r="G427" s="183" t="s">
        <v>90</v>
      </c>
      <c r="H427" s="106">
        <f>SUM(H428:H433)</f>
        <v>81027.418999999994</v>
      </c>
      <c r="I427" s="106">
        <f t="shared" ref="I427:K427" si="239">SUM(I428:I433)</f>
        <v>52752.919000000009</v>
      </c>
      <c r="J427" s="106">
        <f t="shared" si="239"/>
        <v>25286.799999999999</v>
      </c>
      <c r="K427" s="106">
        <f t="shared" si="239"/>
        <v>2987.7</v>
      </c>
      <c r="L427" s="306"/>
    </row>
    <row r="428" spans="1:12" ht="75" customHeight="1">
      <c r="A428" s="495"/>
      <c r="B428" s="496"/>
      <c r="C428" s="496"/>
      <c r="D428" s="497"/>
      <c r="E428" s="348"/>
      <c r="F428" s="461"/>
      <c r="G428" s="268" t="s">
        <v>450</v>
      </c>
      <c r="H428" s="107">
        <f>H312</f>
        <v>25819.200000000001</v>
      </c>
      <c r="I428" s="107">
        <f t="shared" ref="I428:K428" si="240">I312</f>
        <v>17282.2</v>
      </c>
      <c r="J428" s="107">
        <f t="shared" si="240"/>
        <v>5549.3</v>
      </c>
      <c r="K428" s="107">
        <f t="shared" si="240"/>
        <v>2987.7</v>
      </c>
      <c r="L428" s="306"/>
    </row>
    <row r="429" spans="1:12" ht="227.25" customHeight="1">
      <c r="A429" s="495"/>
      <c r="B429" s="496"/>
      <c r="C429" s="496"/>
      <c r="D429" s="497"/>
      <c r="E429" s="348"/>
      <c r="F429" s="461"/>
      <c r="G429" s="188" t="s">
        <v>99</v>
      </c>
      <c r="H429" s="107">
        <f>H314</f>
        <v>1490.1</v>
      </c>
      <c r="I429" s="107">
        <f t="shared" ref="I429:K429" si="241">I314</f>
        <v>1490.1</v>
      </c>
      <c r="J429" s="107">
        <f t="shared" si="241"/>
        <v>0</v>
      </c>
      <c r="K429" s="107">
        <f t="shared" si="241"/>
        <v>0</v>
      </c>
      <c r="L429" s="306"/>
    </row>
    <row r="430" spans="1:12" ht="260.25" customHeight="1">
      <c r="A430" s="495"/>
      <c r="B430" s="496"/>
      <c r="C430" s="496"/>
      <c r="D430" s="497"/>
      <c r="E430" s="348"/>
      <c r="F430" s="461"/>
      <c r="G430" s="224" t="s">
        <v>100</v>
      </c>
      <c r="H430" s="107">
        <f>H313</f>
        <v>6609.6190000000006</v>
      </c>
      <c r="I430" s="107">
        <f t="shared" ref="I430:K430" si="242">I313</f>
        <v>6609.6190000000006</v>
      </c>
      <c r="J430" s="107">
        <f t="shared" si="242"/>
        <v>0</v>
      </c>
      <c r="K430" s="107">
        <f t="shared" si="242"/>
        <v>0</v>
      </c>
      <c r="L430" s="306"/>
    </row>
    <row r="431" spans="1:12" ht="75" customHeight="1">
      <c r="A431" s="495"/>
      <c r="B431" s="496"/>
      <c r="C431" s="496"/>
      <c r="D431" s="497"/>
      <c r="E431" s="348"/>
      <c r="F431" s="461"/>
      <c r="G431" s="170" t="s">
        <v>414</v>
      </c>
      <c r="H431" s="107">
        <f>H264</f>
        <v>799.7</v>
      </c>
      <c r="I431" s="107">
        <f t="shared" ref="I431:K431" si="243">I264</f>
        <v>799.7</v>
      </c>
      <c r="J431" s="107">
        <f t="shared" si="243"/>
        <v>0</v>
      </c>
      <c r="K431" s="107">
        <f t="shared" si="243"/>
        <v>0</v>
      </c>
      <c r="L431" s="306"/>
    </row>
    <row r="432" spans="1:12" ht="126.75" customHeight="1">
      <c r="A432" s="495"/>
      <c r="B432" s="496"/>
      <c r="C432" s="496"/>
      <c r="D432" s="497"/>
      <c r="E432" s="348"/>
      <c r="F432" s="461"/>
      <c r="G432" s="135" t="s">
        <v>416</v>
      </c>
      <c r="H432" s="107">
        <f>H336</f>
        <v>6848</v>
      </c>
      <c r="I432" s="107">
        <f t="shared" ref="I432:K432" si="244">I336</f>
        <v>6848</v>
      </c>
      <c r="J432" s="107">
        <f t="shared" si="244"/>
        <v>0</v>
      </c>
      <c r="K432" s="107">
        <f t="shared" si="244"/>
        <v>0</v>
      </c>
      <c r="L432" s="306"/>
    </row>
    <row r="433" spans="1:12" ht="75" customHeight="1">
      <c r="A433" s="498"/>
      <c r="B433" s="499"/>
      <c r="C433" s="499"/>
      <c r="D433" s="500"/>
      <c r="E433" s="348"/>
      <c r="F433" s="461"/>
      <c r="G433" s="265" t="s">
        <v>454</v>
      </c>
      <c r="H433" s="107">
        <f>H316</f>
        <v>39460.800000000003</v>
      </c>
      <c r="I433" s="107">
        <f t="shared" ref="I433:K433" si="245">I316</f>
        <v>19723.3</v>
      </c>
      <c r="J433" s="107">
        <f t="shared" si="245"/>
        <v>19737.5</v>
      </c>
      <c r="K433" s="107">
        <f t="shared" si="245"/>
        <v>0</v>
      </c>
      <c r="L433" s="347"/>
    </row>
    <row r="435" spans="1:12" ht="75" customHeight="1">
      <c r="B435" s="98" t="s">
        <v>460</v>
      </c>
      <c r="I435" s="102" t="s">
        <v>461</v>
      </c>
    </row>
    <row r="437" spans="1:12" ht="75" customHeight="1">
      <c r="H437" s="239"/>
    </row>
    <row r="438" spans="1:12" ht="75" customHeight="1">
      <c r="A438" s="103" t="s">
        <v>28</v>
      </c>
    </row>
    <row r="440" spans="1:12" s="98" customFormat="1" ht="75" customHeight="1">
      <c r="C440" s="99"/>
      <c r="D440" s="100"/>
      <c r="F440" s="101"/>
      <c r="G440" s="101"/>
      <c r="H440" s="101"/>
      <c r="I440" s="102"/>
      <c r="J440" s="101"/>
      <c r="K440" s="144"/>
      <c r="L440" s="240"/>
    </row>
    <row r="441" spans="1:12" ht="75" customHeight="1">
      <c r="A441" s="32"/>
      <c r="B441" s="32"/>
      <c r="C441" s="38"/>
      <c r="D441" s="33"/>
      <c r="E441" s="40"/>
      <c r="F441" s="34"/>
      <c r="G441" s="31"/>
      <c r="H441" s="34"/>
      <c r="I441" s="35"/>
      <c r="J441" s="34"/>
    </row>
    <row r="442" spans="1:12" ht="75" customHeight="1">
      <c r="A442" s="32"/>
      <c r="B442" s="32"/>
      <c r="C442" s="38"/>
      <c r="D442" s="33"/>
      <c r="E442" s="40"/>
      <c r="F442" s="34"/>
      <c r="G442" s="31"/>
      <c r="H442" s="34"/>
      <c r="I442" s="35"/>
      <c r="J442" s="34"/>
    </row>
    <row r="443" spans="1:12" ht="75" customHeight="1">
      <c r="A443" s="32"/>
      <c r="B443" s="32"/>
      <c r="C443" s="38"/>
      <c r="D443" s="33"/>
      <c r="E443" s="40"/>
      <c r="F443" s="34"/>
      <c r="G443" s="31"/>
      <c r="H443" s="34"/>
      <c r="I443" s="35"/>
      <c r="J443" s="34"/>
    </row>
    <row r="444" spans="1:12" ht="75" customHeight="1">
      <c r="A444" s="103"/>
      <c r="B444" s="32"/>
      <c r="D444" s="33"/>
      <c r="E444" s="40"/>
      <c r="F444" s="34"/>
      <c r="G444" s="31"/>
      <c r="H444" s="34"/>
      <c r="I444" s="34"/>
      <c r="J444" s="34"/>
    </row>
  </sheetData>
  <autoFilter ref="A7:L433">
    <filterColumn colId="3">
      <filters>
        <filter val="0712152"/>
      </filters>
    </filterColumn>
    <filterColumn colId="7" showButton="0"/>
    <filterColumn colId="8" showButton="0"/>
    <filterColumn colId="9" showButton="0"/>
  </autoFilter>
  <mergeCells count="283">
    <mergeCell ref="L329:L332"/>
    <mergeCell ref="L212:L222"/>
    <mergeCell ref="A275:D316"/>
    <mergeCell ref="A251:D265"/>
    <mergeCell ref="E141:E143"/>
    <mergeCell ref="A194:L194"/>
    <mergeCell ref="A177:F177"/>
    <mergeCell ref="A178:B178"/>
    <mergeCell ref="B209:D209"/>
    <mergeCell ref="A199:A209"/>
    <mergeCell ref="B199:B208"/>
    <mergeCell ref="L209:L211"/>
    <mergeCell ref="A210:F211"/>
    <mergeCell ref="F203:F208"/>
    <mergeCell ref="C200:C208"/>
    <mergeCell ref="D202:G202"/>
    <mergeCell ref="D200:G200"/>
    <mergeCell ref="D163:G163"/>
    <mergeCell ref="D167:G167"/>
    <mergeCell ref="F159:F162"/>
    <mergeCell ref="G226:G232"/>
    <mergeCell ref="A215:D222"/>
    <mergeCell ref="A213:B213"/>
    <mergeCell ref="A212:F212"/>
    <mergeCell ref="L118:L120"/>
    <mergeCell ref="D114:G114"/>
    <mergeCell ref="C114:C116"/>
    <mergeCell ref="E115:E116"/>
    <mergeCell ref="D115:D116"/>
    <mergeCell ref="A121:G121"/>
    <mergeCell ref="F126:F149"/>
    <mergeCell ref="A122:F125"/>
    <mergeCell ref="E126:E130"/>
    <mergeCell ref="E144:E146"/>
    <mergeCell ref="L57:L60"/>
    <mergeCell ref="G58:G60"/>
    <mergeCell ref="A224:A246"/>
    <mergeCell ref="B224:B246"/>
    <mergeCell ref="C224:C236"/>
    <mergeCell ref="D224:G224"/>
    <mergeCell ref="C238:C244"/>
    <mergeCell ref="D238:G238"/>
    <mergeCell ref="E131:E133"/>
    <mergeCell ref="E134:E137"/>
    <mergeCell ref="L171:L176"/>
    <mergeCell ref="L61:L65"/>
    <mergeCell ref="F62:F65"/>
    <mergeCell ref="L70:L72"/>
    <mergeCell ref="L105:L110"/>
    <mergeCell ref="L83:L103"/>
    <mergeCell ref="L114:L117"/>
    <mergeCell ref="E138:E140"/>
    <mergeCell ref="L111:L113"/>
    <mergeCell ref="E111:E113"/>
    <mergeCell ref="L163:L165"/>
    <mergeCell ref="A111:D113"/>
    <mergeCell ref="F111:F113"/>
    <mergeCell ref="E97:F100"/>
    <mergeCell ref="L360:L433"/>
    <mergeCell ref="A361:F374"/>
    <mergeCell ref="A375:D433"/>
    <mergeCell ref="E375:E383"/>
    <mergeCell ref="F375:F433"/>
    <mergeCell ref="E384:E389"/>
    <mergeCell ref="E390:E396"/>
    <mergeCell ref="E397:E405"/>
    <mergeCell ref="E406:E412"/>
    <mergeCell ref="E413:E418"/>
    <mergeCell ref="E419:E422"/>
    <mergeCell ref="E423:E425"/>
    <mergeCell ref="E427:E433"/>
    <mergeCell ref="A339:D341"/>
    <mergeCell ref="A334:D334"/>
    <mergeCell ref="B337:F337"/>
    <mergeCell ref="A338:D338"/>
    <mergeCell ref="A325:D332"/>
    <mergeCell ref="A360:F360"/>
    <mergeCell ref="A319:D323"/>
    <mergeCell ref="F319:F323"/>
    <mergeCell ref="B324:F324"/>
    <mergeCell ref="E329:E332"/>
    <mergeCell ref="F355:F359"/>
    <mergeCell ref="A355:D359"/>
    <mergeCell ref="B333:F333"/>
    <mergeCell ref="F329:F331"/>
    <mergeCell ref="L354:L359"/>
    <mergeCell ref="L343:L353"/>
    <mergeCell ref="L333:L334"/>
    <mergeCell ref="A317:L317"/>
    <mergeCell ref="B318:F318"/>
    <mergeCell ref="L318:L323"/>
    <mergeCell ref="G355:G359"/>
    <mergeCell ref="F239:F246"/>
    <mergeCell ref="A247:G247"/>
    <mergeCell ref="L247:L265"/>
    <mergeCell ref="A248:F250"/>
    <mergeCell ref="E251:E253"/>
    <mergeCell ref="F251:F265"/>
    <mergeCell ref="G254:G255"/>
    <mergeCell ref="E259:E261"/>
    <mergeCell ref="A266:F266"/>
    <mergeCell ref="L337:L341"/>
    <mergeCell ref="G338:G342"/>
    <mergeCell ref="G319:G323"/>
    <mergeCell ref="G344:G353"/>
    <mergeCell ref="B343:E343"/>
    <mergeCell ref="E256:E258"/>
    <mergeCell ref="A344:D353"/>
    <mergeCell ref="B335:F335"/>
    <mergeCell ref="A11:L11"/>
    <mergeCell ref="F13:F14"/>
    <mergeCell ref="G13:G14"/>
    <mergeCell ref="F19:F20"/>
    <mergeCell ref="G19:G20"/>
    <mergeCell ref="D35:E35"/>
    <mergeCell ref="L40:L44"/>
    <mergeCell ref="L12:L17"/>
    <mergeCell ref="B27:B72"/>
    <mergeCell ref="L27:L39"/>
    <mergeCell ref="E46:E47"/>
    <mergeCell ref="L45:L50"/>
    <mergeCell ref="D46:D47"/>
    <mergeCell ref="G35:G39"/>
    <mergeCell ref="B12:B23"/>
    <mergeCell ref="A12:A23"/>
    <mergeCell ref="G71:G82"/>
    <mergeCell ref="L75:L82"/>
    <mergeCell ref="C40:C44"/>
    <mergeCell ref="D40:G40"/>
    <mergeCell ref="F46:F50"/>
    <mergeCell ref="G48:G50"/>
    <mergeCell ref="C45:C50"/>
    <mergeCell ref="F41:F44"/>
    <mergeCell ref="A5:L5"/>
    <mergeCell ref="A7:A9"/>
    <mergeCell ref="B7:B9"/>
    <mergeCell ref="C7:C9"/>
    <mergeCell ref="D7:D9"/>
    <mergeCell ref="E7:E9"/>
    <mergeCell ref="F7:F9"/>
    <mergeCell ref="G7:G9"/>
    <mergeCell ref="H7:K7"/>
    <mergeCell ref="L7:L9"/>
    <mergeCell ref="H8:H9"/>
    <mergeCell ref="I8:K8"/>
    <mergeCell ref="C54:C56"/>
    <mergeCell ref="C57:C60"/>
    <mergeCell ref="C70:C72"/>
    <mergeCell ref="C61:C65"/>
    <mergeCell ref="D61:G61"/>
    <mergeCell ref="E83:F87"/>
    <mergeCell ref="E88:F88"/>
    <mergeCell ref="E89:F93"/>
    <mergeCell ref="E94:F96"/>
    <mergeCell ref="G41:G44"/>
    <mergeCell ref="G62:G65"/>
    <mergeCell ref="E101:F103"/>
    <mergeCell ref="F152:F153"/>
    <mergeCell ref="G152:G153"/>
    <mergeCell ref="C12:C14"/>
    <mergeCell ref="C15:C17"/>
    <mergeCell ref="C18:C20"/>
    <mergeCell ref="D12:G12"/>
    <mergeCell ref="D15:G15"/>
    <mergeCell ref="D18:G18"/>
    <mergeCell ref="G16:G17"/>
    <mergeCell ref="A24:D26"/>
    <mergeCell ref="E24:G24"/>
    <mergeCell ref="F25:F26"/>
    <mergeCell ref="D54:G54"/>
    <mergeCell ref="D55:D56"/>
    <mergeCell ref="F58:F60"/>
    <mergeCell ref="F115:F117"/>
    <mergeCell ref="A114:A117"/>
    <mergeCell ref="A105:A110"/>
    <mergeCell ref="B114:B117"/>
    <mergeCell ref="C105:C107"/>
    <mergeCell ref="D105:G105"/>
    <mergeCell ref="L154:L156"/>
    <mergeCell ref="F155:F156"/>
    <mergeCell ref="L55:L56"/>
    <mergeCell ref="A27:A72"/>
    <mergeCell ref="D45:G45"/>
    <mergeCell ref="F16:F17"/>
    <mergeCell ref="D27:G27"/>
    <mergeCell ref="C27:C39"/>
    <mergeCell ref="G29:G32"/>
    <mergeCell ref="F55:F56"/>
    <mergeCell ref="D57:G57"/>
    <mergeCell ref="F22:F23"/>
    <mergeCell ref="G22:G23"/>
    <mergeCell ref="D21:G21"/>
    <mergeCell ref="C21:C23"/>
    <mergeCell ref="L24:L26"/>
    <mergeCell ref="G25:G26"/>
    <mergeCell ref="L18:L20"/>
    <mergeCell ref="F29:F39"/>
    <mergeCell ref="D70:G70"/>
    <mergeCell ref="E55:E56"/>
    <mergeCell ref="A118:D120"/>
    <mergeCell ref="E118:E120"/>
    <mergeCell ref="F118:F120"/>
    <mergeCell ref="D154:G154"/>
    <mergeCell ref="A151:A176"/>
    <mergeCell ref="B151:B176"/>
    <mergeCell ref="C151:C153"/>
    <mergeCell ref="D151:G151"/>
    <mergeCell ref="A150:L150"/>
    <mergeCell ref="L151:L153"/>
    <mergeCell ref="C154:C156"/>
    <mergeCell ref="A126:D149"/>
    <mergeCell ref="L121:L149"/>
    <mergeCell ref="L167:L170"/>
    <mergeCell ref="D168:D170"/>
    <mergeCell ref="E168:E170"/>
    <mergeCell ref="F168:F170"/>
    <mergeCell ref="G155:G156"/>
    <mergeCell ref="F172:F176"/>
    <mergeCell ref="G174:G176"/>
    <mergeCell ref="F164:F165"/>
    <mergeCell ref="G164:G165"/>
    <mergeCell ref="D158:G158"/>
    <mergeCell ref="D171:G171"/>
    <mergeCell ref="D172:D173"/>
    <mergeCell ref="G159:G162"/>
    <mergeCell ref="E172:E173"/>
    <mergeCell ref="D106:D107"/>
    <mergeCell ref="E106:E107"/>
    <mergeCell ref="E104:F104"/>
    <mergeCell ref="A83:D104"/>
    <mergeCell ref="F106:F110"/>
    <mergeCell ref="B105:B110"/>
    <mergeCell ref="C75:C76"/>
    <mergeCell ref="D75:E75"/>
    <mergeCell ref="F71:F82"/>
    <mergeCell ref="C158:C161"/>
    <mergeCell ref="C163:C165"/>
    <mergeCell ref="C167:C170"/>
    <mergeCell ref="C171:C176"/>
    <mergeCell ref="L157:L162"/>
    <mergeCell ref="F234:F237"/>
    <mergeCell ref="G234:G237"/>
    <mergeCell ref="G239:G245"/>
    <mergeCell ref="L224:L245"/>
    <mergeCell ref="B197:D197"/>
    <mergeCell ref="B195:B196"/>
    <mergeCell ref="E185:F185"/>
    <mergeCell ref="G184:G189"/>
    <mergeCell ref="A223:L223"/>
    <mergeCell ref="E186:F186"/>
    <mergeCell ref="E187:F187"/>
    <mergeCell ref="E188:F188"/>
    <mergeCell ref="E189:F189"/>
    <mergeCell ref="E190:F193"/>
    <mergeCell ref="L200:L208"/>
    <mergeCell ref="G203:G208"/>
    <mergeCell ref="L177:L193"/>
    <mergeCell ref="E184:F184"/>
    <mergeCell ref="A181:D193"/>
    <mergeCell ref="L335:L336"/>
    <mergeCell ref="A336:D336"/>
    <mergeCell ref="D233:G233"/>
    <mergeCell ref="D225:G225"/>
    <mergeCell ref="F226:F232"/>
    <mergeCell ref="L266:L274"/>
    <mergeCell ref="A267:F274"/>
    <mergeCell ref="E263:E265"/>
    <mergeCell ref="D164:D165"/>
    <mergeCell ref="A195:A196"/>
    <mergeCell ref="E181:F183"/>
    <mergeCell ref="E275:E281"/>
    <mergeCell ref="F275:F316"/>
    <mergeCell ref="E282:E285"/>
    <mergeCell ref="E286:E290"/>
    <mergeCell ref="E291:E295"/>
    <mergeCell ref="E296:E300"/>
    <mergeCell ref="E301:E304"/>
    <mergeCell ref="E305:E307"/>
    <mergeCell ref="E308:E309"/>
    <mergeCell ref="E311:E316"/>
    <mergeCell ref="E215:E217"/>
    <mergeCell ref="F215:F222"/>
    <mergeCell ref="G218:G222"/>
  </mergeCells>
  <pageMargins left="1.1811023622047245" right="0.39370078740157483" top="0.19685039370078741" bottom="0.39370078740157483" header="0.31496062992125984" footer="0.31496062992125984"/>
  <pageSetup paperSize="9" scale="29" fitToHeight="25" orientation="landscape" r:id="rId1"/>
  <rowBreaks count="23" manualBreakCount="23">
    <brk id="23" max="11" man="1"/>
    <brk id="42" max="11" man="1"/>
    <brk id="55" max="11" man="1"/>
    <brk id="68" max="11" man="1"/>
    <brk id="85" max="11" man="1"/>
    <brk id="102" max="11" man="1"/>
    <brk id="120" max="11" man="1"/>
    <brk id="136" max="11" man="1"/>
    <brk id="151" max="11" man="1"/>
    <brk id="166" max="11" man="1"/>
    <brk id="179" max="11" man="1"/>
    <brk id="193" max="11" man="1"/>
    <brk id="206" max="11" man="1"/>
    <brk id="220" max="11" man="1"/>
    <brk id="240" max="11" man="1"/>
    <brk id="252" max="11" man="1"/>
    <brk id="269" max="11" man="1"/>
    <brk id="284" max="11" man="1"/>
    <brk id="301" max="11" man="1"/>
    <brk id="316" max="11" man="1"/>
    <brk id="335" max="11" man="1"/>
    <brk id="353" max="11" man="1"/>
    <brk id="369" max="11" man="1"/>
  </rowBreaks>
</worksheet>
</file>

<file path=xl/worksheets/sheet4.xml><?xml version="1.0" encoding="utf-8"?>
<worksheet xmlns="http://schemas.openxmlformats.org/spreadsheetml/2006/main" xmlns:r="http://schemas.openxmlformats.org/officeDocument/2006/relationships">
  <dimension ref="A1:L330"/>
  <sheetViews>
    <sheetView view="pageBreakPreview" topLeftCell="A289" zoomScale="50" zoomScaleNormal="61" zoomScaleSheetLayoutView="50" workbookViewId="0">
      <selection activeCell="I325" sqref="I325"/>
    </sheetView>
  </sheetViews>
  <sheetFormatPr defaultColWidth="9.140625" defaultRowHeight="20.25"/>
  <cols>
    <col min="1" max="1" width="87.140625" style="54" customWidth="1"/>
    <col min="2" max="2" width="23.42578125" style="54" customWidth="1"/>
    <col min="3" max="3" width="23.5703125" style="54" customWidth="1"/>
    <col min="4" max="4" width="20.5703125" style="54" customWidth="1"/>
    <col min="5" max="5" width="21.140625" style="54" customWidth="1"/>
    <col min="6" max="6" width="22.28515625" style="54" customWidth="1"/>
    <col min="7" max="7" width="19.7109375" style="54" customWidth="1"/>
    <col min="8" max="8" width="20.42578125" style="54" customWidth="1"/>
    <col min="9" max="9" width="19.140625" style="54" customWidth="1"/>
    <col min="10" max="10" width="21.140625" style="54" customWidth="1"/>
    <col min="11" max="11" width="20" style="54" customWidth="1"/>
    <col min="12" max="12" width="21.28515625" style="54" customWidth="1"/>
    <col min="13" max="13" width="17.42578125" style="54" bestFit="1" customWidth="1"/>
    <col min="14" max="16384" width="9.140625" style="54"/>
  </cols>
  <sheetData>
    <row r="1" spans="1:11" ht="208.5" customHeight="1">
      <c r="H1" s="545" t="s">
        <v>449</v>
      </c>
      <c r="I1" s="545"/>
      <c r="J1" s="545"/>
      <c r="K1" s="545"/>
    </row>
    <row r="2" spans="1:11" ht="44.25" customHeight="1">
      <c r="A2" s="55"/>
      <c r="H2" s="545" t="s">
        <v>456</v>
      </c>
      <c r="I2" s="545"/>
      <c r="J2" s="545"/>
      <c r="K2" s="545"/>
    </row>
    <row r="3" spans="1:11" ht="26.25" customHeight="1">
      <c r="H3" s="91"/>
      <c r="I3" s="91"/>
      <c r="J3" s="91"/>
      <c r="K3" s="92"/>
    </row>
    <row r="4" spans="1:11" ht="82.5" customHeight="1">
      <c r="A4" s="546" t="s">
        <v>438</v>
      </c>
      <c r="B4" s="546"/>
      <c r="C4" s="546"/>
      <c r="D4" s="546"/>
      <c r="E4" s="546"/>
      <c r="F4" s="546"/>
      <c r="G4" s="546"/>
      <c r="H4" s="546"/>
      <c r="I4" s="546"/>
      <c r="J4" s="546"/>
      <c r="K4" s="546"/>
    </row>
    <row r="5" spans="1:11" ht="15.75" customHeight="1">
      <c r="A5" s="56"/>
    </row>
    <row r="6" spans="1:11">
      <c r="A6" s="547" t="s">
        <v>110</v>
      </c>
      <c r="B6" s="547" t="s">
        <v>90</v>
      </c>
      <c r="C6" s="547" t="s">
        <v>111</v>
      </c>
      <c r="D6" s="547"/>
      <c r="E6" s="547"/>
      <c r="F6" s="547" t="s">
        <v>435</v>
      </c>
      <c r="G6" s="547"/>
      <c r="H6" s="547"/>
      <c r="I6" s="547" t="s">
        <v>112</v>
      </c>
      <c r="J6" s="547"/>
      <c r="K6" s="547"/>
    </row>
    <row r="7" spans="1:11">
      <c r="A7" s="547"/>
      <c r="B7" s="547"/>
      <c r="C7" s="547"/>
      <c r="D7" s="547"/>
      <c r="E7" s="547"/>
      <c r="F7" s="547"/>
      <c r="G7" s="547"/>
      <c r="H7" s="547"/>
      <c r="I7" s="547"/>
      <c r="J7" s="547"/>
      <c r="K7" s="547"/>
    </row>
    <row r="8" spans="1:11">
      <c r="A8" s="547"/>
      <c r="B8" s="547"/>
      <c r="C8" s="548" t="s">
        <v>98</v>
      </c>
      <c r="D8" s="548" t="s">
        <v>113</v>
      </c>
      <c r="E8" s="548"/>
      <c r="F8" s="548" t="s">
        <v>98</v>
      </c>
      <c r="G8" s="548" t="s">
        <v>113</v>
      </c>
      <c r="H8" s="548"/>
      <c r="I8" s="548" t="s">
        <v>98</v>
      </c>
      <c r="J8" s="548" t="s">
        <v>113</v>
      </c>
      <c r="K8" s="548"/>
    </row>
    <row r="9" spans="1:11" ht="40.5">
      <c r="A9" s="547"/>
      <c r="B9" s="547"/>
      <c r="C9" s="548"/>
      <c r="D9" s="245" t="s">
        <v>114</v>
      </c>
      <c r="E9" s="245" t="s">
        <v>115</v>
      </c>
      <c r="F9" s="548"/>
      <c r="G9" s="245" t="s">
        <v>114</v>
      </c>
      <c r="H9" s="245" t="s">
        <v>115</v>
      </c>
      <c r="I9" s="548"/>
      <c r="J9" s="245" t="s">
        <v>114</v>
      </c>
      <c r="K9" s="245" t="s">
        <v>115</v>
      </c>
    </row>
    <row r="10" spans="1:11">
      <c r="A10" s="244">
        <v>1</v>
      </c>
      <c r="B10" s="57">
        <v>2</v>
      </c>
      <c r="C10" s="245">
        <v>3</v>
      </c>
      <c r="D10" s="245">
        <v>4</v>
      </c>
      <c r="E10" s="245">
        <v>5</v>
      </c>
      <c r="F10" s="245">
        <v>6</v>
      </c>
      <c r="G10" s="245">
        <v>7</v>
      </c>
      <c r="H10" s="245">
        <v>8</v>
      </c>
      <c r="I10" s="245">
        <v>9</v>
      </c>
      <c r="J10" s="245">
        <v>10</v>
      </c>
      <c r="K10" s="245">
        <v>11</v>
      </c>
    </row>
    <row r="11" spans="1:11" ht="46.5">
      <c r="A11" s="58" t="s">
        <v>343</v>
      </c>
      <c r="B11" s="48">
        <f>B14+B163+B249+B291</f>
        <v>392459943.30000001</v>
      </c>
      <c r="C11" s="48">
        <f t="shared" ref="C11:K11" si="0">C14+C163+C249+C291</f>
        <v>321274721</v>
      </c>
      <c r="D11" s="48">
        <f>D14+D163+D249+D291</f>
        <v>188650742</v>
      </c>
      <c r="E11" s="48">
        <f t="shared" si="0"/>
        <v>132623979</v>
      </c>
      <c r="F11" s="48">
        <f t="shared" si="0"/>
        <v>33170000</v>
      </c>
      <c r="G11" s="48">
        <f t="shared" si="0"/>
        <v>33170000</v>
      </c>
      <c r="H11" s="48">
        <f t="shared" si="0"/>
        <v>0</v>
      </c>
      <c r="I11" s="48">
        <f t="shared" si="0"/>
        <v>38015222.299999997</v>
      </c>
      <c r="J11" s="48">
        <f t="shared" si="0"/>
        <v>38015222.299999997</v>
      </c>
      <c r="K11" s="48">
        <f t="shared" si="0"/>
        <v>0</v>
      </c>
    </row>
    <row r="12" spans="1:11" ht="45.75" customHeight="1">
      <c r="A12" s="539" t="s">
        <v>152</v>
      </c>
      <c r="B12" s="539"/>
      <c r="C12" s="539"/>
      <c r="D12" s="539"/>
      <c r="E12" s="539"/>
      <c r="F12" s="539"/>
      <c r="G12" s="539"/>
      <c r="H12" s="539"/>
      <c r="I12" s="539"/>
      <c r="J12" s="539"/>
      <c r="K12" s="539"/>
    </row>
    <row r="13" spans="1:11" ht="22.5">
      <c r="A13" s="535" t="s">
        <v>279</v>
      </c>
      <c r="B13" s="535"/>
      <c r="C13" s="535"/>
      <c r="D13" s="535"/>
      <c r="E13" s="535"/>
      <c r="F13" s="535"/>
      <c r="G13" s="535"/>
      <c r="H13" s="535"/>
      <c r="I13" s="535"/>
      <c r="J13" s="535"/>
      <c r="K13" s="535"/>
    </row>
    <row r="14" spans="1:11" ht="22.5">
      <c r="A14" s="59" t="s">
        <v>319</v>
      </c>
      <c r="B14" s="48">
        <f>B18+B23+B28+B37+B42+B47+B52+B61+B76+B85+B93+B104+B111+B125+B137+B147+B154+B159+B120</f>
        <v>165545643</v>
      </c>
      <c r="C14" s="48">
        <f t="shared" ref="C14:K14" si="1">C18+C23+C28+C37+C42+C47+C52+C61+C76+C85+C93+C104+C111+C125+C137+C147+C154+C159+C120</f>
        <v>137253223</v>
      </c>
      <c r="D14" s="48">
        <f t="shared" si="1"/>
        <v>137253223</v>
      </c>
      <c r="E14" s="48">
        <f t="shared" si="1"/>
        <v>0</v>
      </c>
      <c r="F14" s="48">
        <f t="shared" si="1"/>
        <v>12283100</v>
      </c>
      <c r="G14" s="48">
        <f t="shared" si="1"/>
        <v>12283100</v>
      </c>
      <c r="H14" s="48">
        <f t="shared" si="1"/>
        <v>0</v>
      </c>
      <c r="I14" s="48">
        <f t="shared" si="1"/>
        <v>16009319.999999998</v>
      </c>
      <c r="J14" s="48">
        <f t="shared" si="1"/>
        <v>16009319.999999998</v>
      </c>
      <c r="K14" s="48">
        <f t="shared" si="1"/>
        <v>0</v>
      </c>
    </row>
    <row r="15" spans="1:11" ht="22.5">
      <c r="A15" s="59" t="s">
        <v>118</v>
      </c>
      <c r="B15" s="536"/>
      <c r="C15" s="537"/>
      <c r="D15" s="537"/>
      <c r="E15" s="537"/>
      <c r="F15" s="537"/>
      <c r="G15" s="537"/>
      <c r="H15" s="537"/>
      <c r="I15" s="537"/>
      <c r="J15" s="537"/>
      <c r="K15" s="538"/>
    </row>
    <row r="16" spans="1:11" ht="23.25">
      <c r="A16" s="60" t="s">
        <v>116</v>
      </c>
      <c r="B16" s="544" t="s">
        <v>298</v>
      </c>
      <c r="C16" s="544"/>
      <c r="D16" s="544"/>
      <c r="E16" s="544"/>
      <c r="F16" s="544"/>
      <c r="G16" s="544"/>
      <c r="H16" s="544"/>
      <c r="I16" s="544"/>
      <c r="J16" s="544"/>
      <c r="K16" s="544"/>
    </row>
    <row r="17" spans="1:11" ht="20.25" customHeight="1">
      <c r="A17" s="246" t="s">
        <v>161</v>
      </c>
      <c r="B17" s="528" t="s">
        <v>162</v>
      </c>
      <c r="C17" s="529"/>
      <c r="D17" s="529"/>
      <c r="E17" s="529"/>
      <c r="F17" s="529"/>
      <c r="G17" s="529"/>
      <c r="H17" s="529"/>
      <c r="I17" s="529"/>
      <c r="J17" s="529"/>
      <c r="K17" s="530"/>
    </row>
    <row r="18" spans="1:11" ht="22.5">
      <c r="A18" s="53" t="s">
        <v>121</v>
      </c>
      <c r="B18" s="48">
        <f>C18+F18+I18</f>
        <v>240000</v>
      </c>
      <c r="C18" s="49">
        <f>D18+E18</f>
        <v>240000</v>
      </c>
      <c r="D18" s="49">
        <f>'Додаток 3'!I12*1000</f>
        <v>240000</v>
      </c>
      <c r="E18" s="49">
        <v>0</v>
      </c>
      <c r="F18" s="49">
        <f>G18+H18</f>
        <v>0</v>
      </c>
      <c r="G18" s="49">
        <v>0</v>
      </c>
      <c r="H18" s="49">
        <v>0</v>
      </c>
      <c r="I18" s="49">
        <f>J18+K18</f>
        <v>0</v>
      </c>
      <c r="J18" s="49">
        <v>0</v>
      </c>
      <c r="K18" s="49">
        <v>0</v>
      </c>
    </row>
    <row r="19" spans="1:11" ht="23.25">
      <c r="A19" s="53" t="s">
        <v>381</v>
      </c>
      <c r="B19" s="48"/>
      <c r="C19" s="50">
        <v>2</v>
      </c>
      <c r="D19" s="49"/>
      <c r="E19" s="49"/>
      <c r="F19" s="50"/>
      <c r="G19" s="50"/>
      <c r="H19" s="50"/>
      <c r="I19" s="50"/>
      <c r="J19" s="49"/>
      <c r="K19" s="49"/>
    </row>
    <row r="20" spans="1:11" ht="46.5">
      <c r="A20" s="53" t="s">
        <v>382</v>
      </c>
      <c r="B20" s="52"/>
      <c r="C20" s="50">
        <f>C18/C19</f>
        <v>120000</v>
      </c>
      <c r="D20" s="50"/>
      <c r="E20" s="50"/>
      <c r="F20" s="50"/>
      <c r="G20" s="50"/>
      <c r="H20" s="50"/>
      <c r="I20" s="50"/>
      <c r="J20" s="50"/>
      <c r="K20" s="49"/>
    </row>
    <row r="21" spans="1:11" ht="23.25">
      <c r="A21" s="60" t="s">
        <v>116</v>
      </c>
      <c r="B21" s="544" t="s">
        <v>299</v>
      </c>
      <c r="C21" s="544"/>
      <c r="D21" s="544"/>
      <c r="E21" s="544"/>
      <c r="F21" s="544"/>
      <c r="G21" s="544"/>
      <c r="H21" s="544"/>
      <c r="I21" s="544"/>
      <c r="J21" s="544"/>
      <c r="K21" s="544"/>
    </row>
    <row r="22" spans="1:11" ht="20.25" customHeight="1">
      <c r="A22" s="246" t="s">
        <v>161</v>
      </c>
      <c r="B22" s="528" t="s">
        <v>162</v>
      </c>
      <c r="C22" s="529"/>
      <c r="D22" s="529"/>
      <c r="E22" s="529"/>
      <c r="F22" s="529"/>
      <c r="G22" s="529"/>
      <c r="H22" s="529"/>
      <c r="I22" s="529"/>
      <c r="J22" s="529"/>
      <c r="K22" s="530"/>
    </row>
    <row r="23" spans="1:11" ht="22.5">
      <c r="A23" s="53" t="s">
        <v>121</v>
      </c>
      <c r="B23" s="48">
        <f>C23+F23+I23</f>
        <v>1577810</v>
      </c>
      <c r="C23" s="49">
        <f>D23+E23</f>
        <v>1577810</v>
      </c>
      <c r="D23" s="49">
        <f>'Додаток 3'!I15*1000</f>
        <v>1577810</v>
      </c>
      <c r="E23" s="49">
        <v>0</v>
      </c>
      <c r="F23" s="49">
        <f>G23+H23</f>
        <v>0</v>
      </c>
      <c r="G23" s="49">
        <f>'Додаток 3'!J29*1000</f>
        <v>0</v>
      </c>
      <c r="H23" s="49">
        <v>0</v>
      </c>
      <c r="I23" s="49">
        <f>J23+K23</f>
        <v>0</v>
      </c>
      <c r="J23" s="49">
        <f>'Додаток 3'!K29*1000</f>
        <v>0</v>
      </c>
      <c r="K23" s="49">
        <v>0</v>
      </c>
    </row>
    <row r="24" spans="1:11" ht="23.25">
      <c r="A24" s="53" t="s">
        <v>381</v>
      </c>
      <c r="B24" s="48"/>
      <c r="C24" s="50">
        <v>2</v>
      </c>
      <c r="D24" s="49"/>
      <c r="E24" s="49"/>
      <c r="F24" s="50">
        <v>2</v>
      </c>
      <c r="G24" s="50"/>
      <c r="H24" s="50"/>
      <c r="I24" s="50">
        <v>2</v>
      </c>
      <c r="J24" s="49"/>
      <c r="K24" s="49"/>
    </row>
    <row r="25" spans="1:11" ht="46.5">
      <c r="A25" s="53" t="s">
        <v>382</v>
      </c>
      <c r="B25" s="52"/>
      <c r="C25" s="50">
        <f>C23/C24</f>
        <v>788905</v>
      </c>
      <c r="D25" s="50"/>
      <c r="E25" s="50"/>
      <c r="F25" s="50">
        <f>F23/F24</f>
        <v>0</v>
      </c>
      <c r="G25" s="50"/>
      <c r="H25" s="50"/>
      <c r="I25" s="50">
        <f>I23/I24</f>
        <v>0</v>
      </c>
      <c r="J25" s="50"/>
      <c r="K25" s="49"/>
    </row>
    <row r="26" spans="1:11" ht="23.25">
      <c r="A26" s="60" t="s">
        <v>116</v>
      </c>
      <c r="B26" s="544" t="s">
        <v>401</v>
      </c>
      <c r="C26" s="544"/>
      <c r="D26" s="544"/>
      <c r="E26" s="544"/>
      <c r="F26" s="544"/>
      <c r="G26" s="544"/>
      <c r="H26" s="544"/>
      <c r="I26" s="544"/>
      <c r="J26" s="544"/>
      <c r="K26" s="544"/>
    </row>
    <row r="27" spans="1:11" ht="20.25" customHeight="1">
      <c r="A27" s="246" t="s">
        <v>161</v>
      </c>
      <c r="B27" s="528" t="s">
        <v>162</v>
      </c>
      <c r="C27" s="529"/>
      <c r="D27" s="529"/>
      <c r="E27" s="529"/>
      <c r="F27" s="529"/>
      <c r="G27" s="529"/>
      <c r="H27" s="529"/>
      <c r="I27" s="529"/>
      <c r="J27" s="529"/>
      <c r="K27" s="530"/>
    </row>
    <row r="28" spans="1:11" ht="22.5">
      <c r="A28" s="53" t="s">
        <v>121</v>
      </c>
      <c r="B28" s="48">
        <f>C28+F28+I28</f>
        <v>7027199.9999999991</v>
      </c>
      <c r="C28" s="49">
        <f>D28+E28</f>
        <v>1081800</v>
      </c>
      <c r="D28" s="49">
        <f>'Додаток 3'!I18*1000</f>
        <v>1081800</v>
      </c>
      <c r="E28" s="49">
        <v>0</v>
      </c>
      <c r="F28" s="49">
        <f>G28+H28</f>
        <v>1169300</v>
      </c>
      <c r="G28" s="49">
        <f>'Додаток 3'!J18*1000</f>
        <v>1169300</v>
      </c>
      <c r="H28" s="49">
        <v>0</v>
      </c>
      <c r="I28" s="49">
        <f>J28+K28</f>
        <v>4776099.9999999991</v>
      </c>
      <c r="J28" s="49">
        <f>'Додаток 3'!K24*1000</f>
        <v>4776099.9999999991</v>
      </c>
      <c r="K28" s="49">
        <v>0</v>
      </c>
    </row>
    <row r="29" spans="1:11" ht="23.25">
      <c r="A29" s="53" t="s">
        <v>301</v>
      </c>
      <c r="B29" s="48"/>
      <c r="C29" s="50"/>
      <c r="D29" s="49"/>
      <c r="E29" s="49"/>
      <c r="F29" s="50"/>
      <c r="G29" s="50"/>
      <c r="H29" s="50"/>
      <c r="I29" s="50"/>
      <c r="J29" s="49"/>
      <c r="K29" s="49"/>
    </row>
    <row r="30" spans="1:11" ht="26.25" customHeight="1">
      <c r="A30" s="61" t="s">
        <v>302</v>
      </c>
      <c r="B30" s="48"/>
      <c r="C30" s="50">
        <v>42186</v>
      </c>
      <c r="D30" s="49"/>
      <c r="E30" s="49"/>
      <c r="F30" s="50">
        <v>42186</v>
      </c>
      <c r="G30" s="51"/>
      <c r="H30" s="50"/>
      <c r="I30" s="50">
        <v>42186</v>
      </c>
      <c r="J30" s="51"/>
      <c r="K30" s="49"/>
    </row>
    <row r="31" spans="1:11" ht="23.25">
      <c r="A31" s="61" t="s">
        <v>303</v>
      </c>
      <c r="B31" s="48"/>
      <c r="C31" s="50">
        <v>42186</v>
      </c>
      <c r="D31" s="49"/>
      <c r="E31" s="49"/>
      <c r="F31" s="50">
        <v>42186</v>
      </c>
      <c r="G31" s="51"/>
      <c r="H31" s="50"/>
      <c r="I31" s="50">
        <v>42186</v>
      </c>
      <c r="J31" s="51"/>
      <c r="K31" s="49"/>
    </row>
    <row r="32" spans="1:11" ht="23.25">
      <c r="A32" s="53" t="s">
        <v>300</v>
      </c>
      <c r="B32" s="52"/>
      <c r="C32" s="50"/>
      <c r="D32" s="50"/>
      <c r="E32" s="50"/>
      <c r="F32" s="50"/>
      <c r="G32" s="51"/>
      <c r="H32" s="50"/>
      <c r="I32" s="50"/>
      <c r="J32" s="51"/>
      <c r="K32" s="49"/>
    </row>
    <row r="33" spans="1:11" ht="23.25">
      <c r="A33" s="61" t="s">
        <v>304</v>
      </c>
      <c r="B33" s="52"/>
      <c r="C33" s="50">
        <f>C28/C30</f>
        <v>25.643578438344473</v>
      </c>
      <c r="D33" s="50"/>
      <c r="E33" s="50"/>
      <c r="F33" s="50">
        <f>G28/F30</f>
        <v>27.717726259896647</v>
      </c>
      <c r="G33" s="51"/>
      <c r="H33" s="50"/>
      <c r="I33" s="50">
        <f>J28/I30</f>
        <v>113.21528469160383</v>
      </c>
      <c r="J33" s="51"/>
      <c r="K33" s="49"/>
    </row>
    <row r="34" spans="1:11" ht="23.25" customHeight="1">
      <c r="A34" s="61" t="s">
        <v>182</v>
      </c>
      <c r="B34" s="52"/>
      <c r="C34" s="50">
        <f>C31/C30*100</f>
        <v>100</v>
      </c>
      <c r="D34" s="50"/>
      <c r="E34" s="50"/>
      <c r="F34" s="50">
        <f>F31/F30*100</f>
        <v>100</v>
      </c>
      <c r="G34" s="51"/>
      <c r="H34" s="50"/>
      <c r="I34" s="50">
        <f>I31/I30*100</f>
        <v>100</v>
      </c>
      <c r="J34" s="51"/>
      <c r="K34" s="49"/>
    </row>
    <row r="35" spans="1:11" ht="23.25">
      <c r="A35" s="60" t="s">
        <v>116</v>
      </c>
      <c r="B35" s="544" t="s">
        <v>305</v>
      </c>
      <c r="C35" s="544"/>
      <c r="D35" s="544"/>
      <c r="E35" s="544"/>
      <c r="F35" s="544"/>
      <c r="G35" s="544"/>
      <c r="H35" s="544"/>
      <c r="I35" s="544"/>
      <c r="J35" s="544"/>
      <c r="K35" s="544"/>
    </row>
    <row r="36" spans="1:11" ht="22.5">
      <c r="A36" s="246" t="s">
        <v>119</v>
      </c>
      <c r="B36" s="539" t="s">
        <v>120</v>
      </c>
      <c r="C36" s="539"/>
      <c r="D36" s="539"/>
      <c r="E36" s="539"/>
      <c r="F36" s="539"/>
      <c r="G36" s="539"/>
      <c r="H36" s="539"/>
      <c r="I36" s="539"/>
      <c r="J36" s="539"/>
      <c r="K36" s="539"/>
    </row>
    <row r="37" spans="1:11" ht="22.5">
      <c r="A37" s="53" t="s">
        <v>121</v>
      </c>
      <c r="B37" s="48">
        <f>C37+F37+I37</f>
        <v>72841530</v>
      </c>
      <c r="C37" s="49">
        <f>D37+E37</f>
        <v>72841530</v>
      </c>
      <c r="D37" s="49">
        <f>'Додаток 3'!I27*1000</f>
        <v>72841530</v>
      </c>
      <c r="E37" s="49">
        <v>0</v>
      </c>
      <c r="F37" s="49">
        <f>G37+H37</f>
        <v>0</v>
      </c>
      <c r="G37" s="49">
        <v>0</v>
      </c>
      <c r="H37" s="49">
        <v>0</v>
      </c>
      <c r="I37" s="49">
        <v>0</v>
      </c>
      <c r="J37" s="49">
        <v>0</v>
      </c>
      <c r="K37" s="49">
        <v>0</v>
      </c>
    </row>
    <row r="38" spans="1:11" ht="23.25">
      <c r="A38" s="53" t="s">
        <v>381</v>
      </c>
      <c r="B38" s="48"/>
      <c r="C38" s="50">
        <v>4</v>
      </c>
      <c r="D38" s="49"/>
      <c r="E38" s="49"/>
      <c r="F38" s="50"/>
      <c r="G38" s="50"/>
      <c r="H38" s="50"/>
      <c r="I38" s="50"/>
      <c r="J38" s="49"/>
      <c r="K38" s="49"/>
    </row>
    <row r="39" spans="1:11" ht="46.5">
      <c r="A39" s="53" t="s">
        <v>382</v>
      </c>
      <c r="B39" s="52"/>
      <c r="C39" s="50">
        <f>C37/C38</f>
        <v>18210382.5</v>
      </c>
      <c r="D39" s="50"/>
      <c r="E39" s="50"/>
      <c r="F39" s="50"/>
      <c r="G39" s="50"/>
      <c r="H39" s="50"/>
      <c r="I39" s="50"/>
      <c r="J39" s="50"/>
      <c r="K39" s="49"/>
    </row>
    <row r="40" spans="1:11" ht="23.25">
      <c r="A40" s="60" t="s">
        <v>116</v>
      </c>
      <c r="B40" s="544" t="s">
        <v>306</v>
      </c>
      <c r="C40" s="544"/>
      <c r="D40" s="544"/>
      <c r="E40" s="544"/>
      <c r="F40" s="544"/>
      <c r="G40" s="544"/>
      <c r="H40" s="544"/>
      <c r="I40" s="544"/>
      <c r="J40" s="544"/>
      <c r="K40" s="544"/>
    </row>
    <row r="41" spans="1:11" ht="22.5">
      <c r="A41" s="246" t="s">
        <v>119</v>
      </c>
      <c r="B41" s="539" t="s">
        <v>120</v>
      </c>
      <c r="C41" s="539"/>
      <c r="D41" s="539"/>
      <c r="E41" s="539"/>
      <c r="F41" s="539"/>
      <c r="G41" s="539"/>
      <c r="H41" s="539"/>
      <c r="I41" s="539"/>
      <c r="J41" s="539"/>
      <c r="K41" s="539"/>
    </row>
    <row r="42" spans="1:11" ht="22.5">
      <c r="A42" s="53" t="s">
        <v>121</v>
      </c>
      <c r="B42" s="48">
        <f>C42+F42+I42</f>
        <v>18688000</v>
      </c>
      <c r="C42" s="49">
        <f>D42+E42</f>
        <v>18688000</v>
      </c>
      <c r="D42" s="49">
        <f>'Додаток 3'!I40*1000</f>
        <v>18688000</v>
      </c>
      <c r="E42" s="49">
        <v>0</v>
      </c>
      <c r="F42" s="49">
        <f>G42+H42</f>
        <v>0</v>
      </c>
      <c r="G42" s="49">
        <v>0</v>
      </c>
      <c r="H42" s="49">
        <v>0</v>
      </c>
      <c r="I42" s="49">
        <v>0</v>
      </c>
      <c r="J42" s="49">
        <v>0</v>
      </c>
      <c r="K42" s="49">
        <v>0</v>
      </c>
    </row>
    <row r="43" spans="1:11" ht="23.25">
      <c r="A43" s="53" t="s">
        <v>381</v>
      </c>
      <c r="B43" s="48"/>
      <c r="C43" s="50">
        <v>4</v>
      </c>
      <c r="D43" s="49"/>
      <c r="E43" s="49"/>
      <c r="F43" s="50"/>
      <c r="G43" s="50"/>
      <c r="H43" s="50"/>
      <c r="I43" s="50"/>
      <c r="J43" s="49"/>
      <c r="K43" s="49"/>
    </row>
    <row r="44" spans="1:11" ht="46.5">
      <c r="A44" s="53" t="s">
        <v>382</v>
      </c>
      <c r="B44" s="52"/>
      <c r="C44" s="50">
        <f>C42/C43</f>
        <v>4672000</v>
      </c>
      <c r="D44" s="50"/>
      <c r="E44" s="50"/>
      <c r="F44" s="50"/>
      <c r="G44" s="50"/>
      <c r="H44" s="50"/>
      <c r="I44" s="50"/>
      <c r="J44" s="50"/>
      <c r="K44" s="49"/>
    </row>
    <row r="45" spans="1:11" ht="23.25">
      <c r="A45" s="60" t="s">
        <v>116</v>
      </c>
      <c r="B45" s="544" t="s">
        <v>307</v>
      </c>
      <c r="C45" s="544"/>
      <c r="D45" s="544"/>
      <c r="E45" s="544"/>
      <c r="F45" s="544"/>
      <c r="G45" s="544"/>
      <c r="H45" s="544"/>
      <c r="I45" s="544"/>
      <c r="J45" s="544"/>
      <c r="K45" s="544"/>
    </row>
    <row r="46" spans="1:11" ht="22.5">
      <c r="A46" s="246" t="s">
        <v>119</v>
      </c>
      <c r="B46" s="539" t="s">
        <v>120</v>
      </c>
      <c r="C46" s="539"/>
      <c r="D46" s="539"/>
      <c r="E46" s="539"/>
      <c r="F46" s="539"/>
      <c r="G46" s="539"/>
      <c r="H46" s="539"/>
      <c r="I46" s="539"/>
      <c r="J46" s="539"/>
      <c r="K46" s="539"/>
    </row>
    <row r="47" spans="1:11" ht="22.5">
      <c r="A47" s="53" t="s">
        <v>121</v>
      </c>
      <c r="B47" s="48">
        <f>C47+F47+I47</f>
        <v>9972655</v>
      </c>
      <c r="C47" s="49">
        <f>D47+E47</f>
        <v>4584213</v>
      </c>
      <c r="D47" s="49">
        <f>'Додаток 3'!I45*1000</f>
        <v>4584213</v>
      </c>
      <c r="E47" s="49">
        <v>0</v>
      </c>
      <c r="F47" s="49">
        <f>G47+H47</f>
        <v>2606900</v>
      </c>
      <c r="G47" s="49">
        <f>'Додаток 3'!J45*1000</f>
        <v>2606900</v>
      </c>
      <c r="H47" s="49">
        <v>0</v>
      </c>
      <c r="I47" s="49">
        <f>J47+K47</f>
        <v>2781542</v>
      </c>
      <c r="J47" s="49">
        <f>'Додаток 3'!K45*1000</f>
        <v>2781542</v>
      </c>
      <c r="K47" s="49">
        <v>0</v>
      </c>
    </row>
    <row r="48" spans="1:11" ht="51" customHeight="1">
      <c r="A48" s="53" t="s">
        <v>383</v>
      </c>
      <c r="B48" s="48"/>
      <c r="C48" s="50">
        <v>439112</v>
      </c>
      <c r="D48" s="49"/>
      <c r="E48" s="49"/>
      <c r="F48" s="50">
        <v>439112</v>
      </c>
      <c r="G48" s="50"/>
      <c r="H48" s="50"/>
      <c r="I48" s="50">
        <v>439112</v>
      </c>
      <c r="J48" s="49"/>
      <c r="K48" s="49"/>
    </row>
    <row r="49" spans="1:11" ht="51" customHeight="1">
      <c r="A49" s="53" t="s">
        <v>411</v>
      </c>
      <c r="B49" s="52"/>
      <c r="C49" s="50">
        <f>C47/C48</f>
        <v>10.43973519284374</v>
      </c>
      <c r="D49" s="50"/>
      <c r="E49" s="50"/>
      <c r="F49" s="50">
        <f t="shared" ref="F49:I49" si="2">F47/F48</f>
        <v>5.9367541766109788</v>
      </c>
      <c r="G49" s="50"/>
      <c r="H49" s="50"/>
      <c r="I49" s="50">
        <f t="shared" si="2"/>
        <v>6.3344704767804112</v>
      </c>
      <c r="J49" s="50"/>
      <c r="K49" s="49"/>
    </row>
    <row r="50" spans="1:11" ht="23.25">
      <c r="A50" s="60" t="s">
        <v>116</v>
      </c>
      <c r="B50" s="544" t="s">
        <v>52</v>
      </c>
      <c r="C50" s="544"/>
      <c r="D50" s="544"/>
      <c r="E50" s="544"/>
      <c r="F50" s="544"/>
      <c r="G50" s="544"/>
      <c r="H50" s="544"/>
      <c r="I50" s="544"/>
      <c r="J50" s="544"/>
      <c r="K50" s="544"/>
    </row>
    <row r="51" spans="1:11" ht="22.5">
      <c r="A51" s="246" t="s">
        <v>119</v>
      </c>
      <c r="B51" s="539" t="s">
        <v>120</v>
      </c>
      <c r="C51" s="539"/>
      <c r="D51" s="539"/>
      <c r="E51" s="539"/>
      <c r="F51" s="539"/>
      <c r="G51" s="539"/>
      <c r="H51" s="539"/>
      <c r="I51" s="539"/>
      <c r="J51" s="539"/>
      <c r="K51" s="539"/>
    </row>
    <row r="52" spans="1:11" ht="22.5">
      <c r="A52" s="53" t="s">
        <v>121</v>
      </c>
      <c r="B52" s="48">
        <f>C52+F52+I52</f>
        <v>1307300</v>
      </c>
      <c r="C52" s="49">
        <f>D52+E52</f>
        <v>690000</v>
      </c>
      <c r="D52" s="49">
        <f>'Додаток 3'!I51*1000</f>
        <v>690000</v>
      </c>
      <c r="E52" s="49">
        <v>0</v>
      </c>
      <c r="F52" s="49">
        <f>G52+H52</f>
        <v>300000</v>
      </c>
      <c r="G52" s="49">
        <f>'Додаток 3'!J51*1000</f>
        <v>300000</v>
      </c>
      <c r="H52" s="49">
        <v>0</v>
      </c>
      <c r="I52" s="49">
        <f>J52+K52</f>
        <v>317300</v>
      </c>
      <c r="J52" s="49">
        <f>'Додаток 3'!K51*1000</f>
        <v>317300</v>
      </c>
      <c r="K52" s="49">
        <v>0</v>
      </c>
    </row>
    <row r="53" spans="1:11" ht="24" customHeight="1">
      <c r="A53" s="53" t="s">
        <v>301</v>
      </c>
      <c r="B53" s="48"/>
      <c r="C53" s="50"/>
      <c r="D53" s="49"/>
      <c r="E53" s="49"/>
      <c r="F53" s="50"/>
      <c r="G53" s="50"/>
      <c r="H53" s="50"/>
      <c r="I53" s="50"/>
      <c r="J53" s="49"/>
      <c r="K53" s="49"/>
    </row>
    <row r="54" spans="1:11" ht="24" customHeight="1">
      <c r="A54" s="61" t="s">
        <v>308</v>
      </c>
      <c r="B54" s="48"/>
      <c r="C54" s="50">
        <v>170</v>
      </c>
      <c r="D54" s="49"/>
      <c r="E54" s="49"/>
      <c r="F54" s="50">
        <v>170</v>
      </c>
      <c r="G54" s="50"/>
      <c r="H54" s="50"/>
      <c r="I54" s="50">
        <v>170</v>
      </c>
      <c r="J54" s="49"/>
      <c r="K54" s="49"/>
    </row>
    <row r="55" spans="1:11" ht="24" customHeight="1">
      <c r="A55" s="61" t="s">
        <v>309</v>
      </c>
      <c r="B55" s="48"/>
      <c r="C55" s="50">
        <v>170</v>
      </c>
      <c r="D55" s="49"/>
      <c r="E55" s="49"/>
      <c r="F55" s="50">
        <v>170</v>
      </c>
      <c r="G55" s="50"/>
      <c r="H55" s="50"/>
      <c r="I55" s="50">
        <v>170</v>
      </c>
      <c r="J55" s="49"/>
      <c r="K55" s="49"/>
    </row>
    <row r="56" spans="1:11" ht="23.25">
      <c r="A56" s="53" t="s">
        <v>300</v>
      </c>
      <c r="B56" s="52"/>
      <c r="C56" s="50"/>
      <c r="D56" s="50"/>
      <c r="E56" s="50"/>
      <c r="F56" s="50"/>
      <c r="G56" s="50"/>
      <c r="H56" s="50"/>
      <c r="I56" s="50"/>
      <c r="J56" s="50"/>
      <c r="K56" s="49"/>
    </row>
    <row r="57" spans="1:11" ht="46.5">
      <c r="A57" s="61" t="s">
        <v>310</v>
      </c>
      <c r="B57" s="52"/>
      <c r="C57" s="50">
        <f>C52/C54</f>
        <v>4058.8235294117649</v>
      </c>
      <c r="D57" s="50"/>
      <c r="E57" s="50"/>
      <c r="F57" s="50">
        <f t="shared" ref="F57:I57" si="3">F52/F54</f>
        <v>1764.7058823529412</v>
      </c>
      <c r="G57" s="50"/>
      <c r="H57" s="50"/>
      <c r="I57" s="50">
        <f t="shared" si="3"/>
        <v>1866.4705882352941</v>
      </c>
      <c r="J57" s="50"/>
      <c r="K57" s="49"/>
    </row>
    <row r="58" spans="1:11" ht="23.25" customHeight="1">
      <c r="A58" s="61" t="s">
        <v>311</v>
      </c>
      <c r="B58" s="52"/>
      <c r="C58" s="50">
        <f>C55/C54*100</f>
        <v>100</v>
      </c>
      <c r="D58" s="50"/>
      <c r="E58" s="50"/>
      <c r="F58" s="50">
        <f t="shared" ref="F58:I58" si="4">F55/F54*100</f>
        <v>100</v>
      </c>
      <c r="G58" s="50"/>
      <c r="H58" s="50"/>
      <c r="I58" s="50">
        <f t="shared" si="4"/>
        <v>100</v>
      </c>
      <c r="J58" s="50"/>
      <c r="K58" s="49"/>
    </row>
    <row r="59" spans="1:11" ht="23.25">
      <c r="A59" s="60" t="s">
        <v>116</v>
      </c>
      <c r="B59" s="544" t="s">
        <v>53</v>
      </c>
      <c r="C59" s="544"/>
      <c r="D59" s="544"/>
      <c r="E59" s="544"/>
      <c r="F59" s="544"/>
      <c r="G59" s="544"/>
      <c r="H59" s="544"/>
      <c r="I59" s="544"/>
      <c r="J59" s="544"/>
      <c r="K59" s="544"/>
    </row>
    <row r="60" spans="1:11" ht="22.5">
      <c r="A60" s="246" t="s">
        <v>119</v>
      </c>
      <c r="B60" s="539" t="s">
        <v>120</v>
      </c>
      <c r="C60" s="539"/>
      <c r="D60" s="539"/>
      <c r="E60" s="539"/>
      <c r="F60" s="539"/>
      <c r="G60" s="539"/>
      <c r="H60" s="539"/>
      <c r="I60" s="539"/>
      <c r="J60" s="539"/>
      <c r="K60" s="539"/>
    </row>
    <row r="61" spans="1:11" ht="22.5">
      <c r="A61" s="53" t="s">
        <v>121</v>
      </c>
      <c r="B61" s="48">
        <f>C61+F61+I61</f>
        <v>1200000</v>
      </c>
      <c r="C61" s="49">
        <f>D61+E61</f>
        <v>1200000</v>
      </c>
      <c r="D61" s="49">
        <f>'Додаток 3'!I52*1000</f>
        <v>1200000</v>
      </c>
      <c r="E61" s="49">
        <v>0</v>
      </c>
      <c r="F61" s="49">
        <f>G61+H61</f>
        <v>0</v>
      </c>
      <c r="G61" s="49">
        <f>'Додаток 3'!J52*1000</f>
        <v>0</v>
      </c>
      <c r="H61" s="49">
        <v>0</v>
      </c>
      <c r="I61" s="49">
        <f>J61+K61</f>
        <v>0</v>
      </c>
      <c r="J61" s="49">
        <f>'Додаток 3'!K52*1000</f>
        <v>0</v>
      </c>
      <c r="K61" s="49">
        <v>0</v>
      </c>
    </row>
    <row r="62" spans="1:11" ht="22.5" customHeight="1">
      <c r="A62" s="62" t="s">
        <v>132</v>
      </c>
      <c r="B62" s="48"/>
      <c r="C62" s="49">
        <v>200000</v>
      </c>
      <c r="D62" s="49"/>
      <c r="E62" s="49"/>
      <c r="F62" s="49">
        <v>211200</v>
      </c>
      <c r="G62" s="49"/>
      <c r="H62" s="49"/>
      <c r="I62" s="49">
        <v>221971</v>
      </c>
      <c r="J62" s="49"/>
      <c r="K62" s="49"/>
    </row>
    <row r="63" spans="1:11" ht="46.5">
      <c r="A63" s="62" t="s">
        <v>133</v>
      </c>
      <c r="B63" s="48"/>
      <c r="C63" s="49">
        <v>1000000</v>
      </c>
      <c r="D63" s="49"/>
      <c r="E63" s="49"/>
      <c r="F63" s="49">
        <v>1056000</v>
      </c>
      <c r="G63" s="49"/>
      <c r="H63" s="49"/>
      <c r="I63" s="49">
        <v>1109856</v>
      </c>
      <c r="J63" s="49"/>
      <c r="K63" s="49"/>
    </row>
    <row r="64" spans="1:11" ht="24" customHeight="1">
      <c r="A64" s="53" t="s">
        <v>301</v>
      </c>
      <c r="B64" s="48"/>
      <c r="C64" s="50"/>
      <c r="D64" s="49"/>
      <c r="E64" s="49"/>
      <c r="F64" s="50"/>
      <c r="G64" s="50"/>
      <c r="H64" s="50"/>
      <c r="I64" s="50"/>
      <c r="J64" s="49"/>
      <c r="K64" s="49"/>
    </row>
    <row r="65" spans="1:11" ht="46.5">
      <c r="A65" s="62" t="s">
        <v>134</v>
      </c>
      <c r="B65" s="52"/>
      <c r="C65" s="247">
        <v>30</v>
      </c>
      <c r="D65" s="50"/>
      <c r="E65" s="50"/>
      <c r="F65" s="247">
        <v>30</v>
      </c>
      <c r="G65" s="50"/>
      <c r="H65" s="50"/>
      <c r="I65" s="247">
        <v>30</v>
      </c>
      <c r="J65" s="50"/>
      <c r="K65" s="49"/>
    </row>
    <row r="66" spans="1:11" ht="46.5">
      <c r="A66" s="62" t="s">
        <v>135</v>
      </c>
      <c r="B66" s="52"/>
      <c r="C66" s="247">
        <v>170</v>
      </c>
      <c r="D66" s="50"/>
      <c r="E66" s="50"/>
      <c r="F66" s="247">
        <v>170</v>
      </c>
      <c r="G66" s="50"/>
      <c r="H66" s="50"/>
      <c r="I66" s="247">
        <v>170</v>
      </c>
      <c r="J66" s="50"/>
      <c r="K66" s="49"/>
    </row>
    <row r="67" spans="1:11" ht="23.25" customHeight="1">
      <c r="A67" s="62" t="s">
        <v>136</v>
      </c>
      <c r="B67" s="52"/>
      <c r="C67" s="247">
        <v>30</v>
      </c>
      <c r="D67" s="50"/>
      <c r="E67" s="50"/>
      <c r="F67" s="247">
        <v>30</v>
      </c>
      <c r="G67" s="50"/>
      <c r="H67" s="50"/>
      <c r="I67" s="247">
        <v>30</v>
      </c>
      <c r="J67" s="50"/>
      <c r="K67" s="49"/>
    </row>
    <row r="68" spans="1:11" ht="46.5">
      <c r="A68" s="62" t="s">
        <v>137</v>
      </c>
      <c r="B68" s="52"/>
      <c r="C68" s="247">
        <v>55</v>
      </c>
      <c r="D68" s="50"/>
      <c r="E68" s="50"/>
      <c r="F68" s="247">
        <v>55</v>
      </c>
      <c r="G68" s="50"/>
      <c r="H68" s="50"/>
      <c r="I68" s="247">
        <v>55</v>
      </c>
      <c r="J68" s="50"/>
      <c r="K68" s="49"/>
    </row>
    <row r="69" spans="1:11" ht="23.25">
      <c r="A69" s="53" t="s">
        <v>124</v>
      </c>
      <c r="B69" s="52"/>
      <c r="C69" s="50"/>
      <c r="D69" s="50"/>
      <c r="E69" s="50"/>
      <c r="F69" s="50"/>
      <c r="G69" s="50"/>
      <c r="H69" s="50"/>
      <c r="I69" s="50"/>
      <c r="J69" s="50"/>
      <c r="K69" s="49"/>
    </row>
    <row r="70" spans="1:11" ht="23.25">
      <c r="A70" s="62" t="s">
        <v>138</v>
      </c>
      <c r="B70" s="52"/>
      <c r="C70" s="50">
        <f>C62/C65</f>
        <v>6666.666666666667</v>
      </c>
      <c r="D70" s="50"/>
      <c r="E70" s="50"/>
      <c r="F70" s="50">
        <f>F62/F65</f>
        <v>7040</v>
      </c>
      <c r="G70" s="50"/>
      <c r="H70" s="50"/>
      <c r="I70" s="50">
        <f>I62/I65</f>
        <v>7399.0333333333338</v>
      </c>
      <c r="J70" s="50"/>
      <c r="K70" s="49"/>
    </row>
    <row r="71" spans="1:11" ht="46.5">
      <c r="A71" s="62" t="s">
        <v>139</v>
      </c>
      <c r="B71" s="52"/>
      <c r="C71" s="50">
        <f>C63/C68</f>
        <v>18181.81818181818</v>
      </c>
      <c r="D71" s="50"/>
      <c r="E71" s="50"/>
      <c r="F71" s="50">
        <f>F63/F68</f>
        <v>19200</v>
      </c>
      <c r="G71" s="50"/>
      <c r="H71" s="50"/>
      <c r="I71" s="50">
        <f>I63/I68</f>
        <v>20179.2</v>
      </c>
      <c r="J71" s="50"/>
      <c r="K71" s="49"/>
    </row>
    <row r="72" spans="1:11" ht="46.5">
      <c r="A72" s="62" t="s">
        <v>140</v>
      </c>
      <c r="B72" s="52"/>
      <c r="C72" s="50">
        <f>C67/C65*100</f>
        <v>100</v>
      </c>
      <c r="D72" s="50"/>
      <c r="E72" s="50"/>
      <c r="F72" s="50">
        <f>F67/F65*100</f>
        <v>100</v>
      </c>
      <c r="G72" s="50"/>
      <c r="H72" s="50"/>
      <c r="I72" s="50">
        <f>I67/I65*100</f>
        <v>100</v>
      </c>
      <c r="J72" s="50"/>
      <c r="K72" s="49"/>
    </row>
    <row r="73" spans="1:11" ht="46.5">
      <c r="A73" s="62" t="s">
        <v>141</v>
      </c>
      <c r="B73" s="52"/>
      <c r="C73" s="50">
        <f>C68/C66*100</f>
        <v>32.352941176470587</v>
      </c>
      <c r="D73" s="50"/>
      <c r="E73" s="50"/>
      <c r="F73" s="50">
        <f>F68/F66*100</f>
        <v>32.352941176470587</v>
      </c>
      <c r="G73" s="50"/>
      <c r="H73" s="50"/>
      <c r="I73" s="50">
        <f>I68/I66*100</f>
        <v>32.352941176470587</v>
      </c>
      <c r="J73" s="50"/>
      <c r="K73" s="49"/>
    </row>
    <row r="74" spans="1:11" ht="23.25">
      <c r="A74" s="60" t="s">
        <v>116</v>
      </c>
      <c r="B74" s="544" t="s">
        <v>384</v>
      </c>
      <c r="C74" s="544"/>
      <c r="D74" s="544"/>
      <c r="E74" s="544"/>
      <c r="F74" s="544"/>
      <c r="G74" s="544"/>
      <c r="H74" s="544"/>
      <c r="I74" s="544"/>
      <c r="J74" s="544"/>
      <c r="K74" s="544"/>
    </row>
    <row r="75" spans="1:11" ht="22.5">
      <c r="A75" s="246" t="s">
        <v>119</v>
      </c>
      <c r="B75" s="539" t="s">
        <v>120</v>
      </c>
      <c r="C75" s="539"/>
      <c r="D75" s="539"/>
      <c r="E75" s="539"/>
      <c r="F75" s="539"/>
      <c r="G75" s="539"/>
      <c r="H75" s="539"/>
      <c r="I75" s="539"/>
      <c r="J75" s="539"/>
      <c r="K75" s="539"/>
    </row>
    <row r="76" spans="1:11" ht="22.5">
      <c r="A76" s="53" t="s">
        <v>121</v>
      </c>
      <c r="B76" s="48">
        <f>C76+F76+I76</f>
        <v>1300000</v>
      </c>
      <c r="C76" s="49">
        <f>D76+E76</f>
        <v>1000000</v>
      </c>
      <c r="D76" s="49">
        <f>'Додаток 3'!I53*1000</f>
        <v>1000000</v>
      </c>
      <c r="E76" s="49">
        <v>0</v>
      </c>
      <c r="F76" s="49">
        <f>G76+H76</f>
        <v>300000</v>
      </c>
      <c r="G76" s="49">
        <f>'Додаток 3'!J53*1000</f>
        <v>300000</v>
      </c>
      <c r="H76" s="49">
        <v>0</v>
      </c>
      <c r="I76" s="49">
        <f>J76+K76</f>
        <v>0</v>
      </c>
      <c r="J76" s="49">
        <f>'Додаток 3'!K53*1000</f>
        <v>0</v>
      </c>
      <c r="K76" s="49">
        <v>0</v>
      </c>
    </row>
    <row r="77" spans="1:11" ht="24" customHeight="1">
      <c r="A77" s="53" t="s">
        <v>301</v>
      </c>
      <c r="B77" s="48"/>
      <c r="C77" s="50"/>
      <c r="D77" s="49"/>
      <c r="E77" s="49"/>
      <c r="F77" s="50"/>
      <c r="G77" s="50"/>
      <c r="H77" s="50"/>
      <c r="I77" s="50"/>
      <c r="J77" s="49"/>
      <c r="K77" s="49"/>
    </row>
    <row r="78" spans="1:11" ht="46.5">
      <c r="A78" s="62" t="s">
        <v>142</v>
      </c>
      <c r="B78" s="52"/>
      <c r="C78" s="247">
        <v>750</v>
      </c>
      <c r="D78" s="50"/>
      <c r="E78" s="50"/>
      <c r="F78" s="247">
        <v>750</v>
      </c>
      <c r="G78" s="50"/>
      <c r="H78" s="50"/>
      <c r="I78" s="247">
        <v>750</v>
      </c>
      <c r="J78" s="50"/>
      <c r="K78" s="49"/>
    </row>
    <row r="79" spans="1:11" ht="23.25">
      <c r="A79" s="62" t="s">
        <v>143</v>
      </c>
      <c r="B79" s="52"/>
      <c r="C79" s="247">
        <v>37</v>
      </c>
      <c r="D79" s="50"/>
      <c r="E79" s="50"/>
      <c r="F79" s="247">
        <v>37</v>
      </c>
      <c r="G79" s="50"/>
      <c r="H79" s="50"/>
      <c r="I79" s="247">
        <v>37</v>
      </c>
      <c r="J79" s="50"/>
      <c r="K79" s="49"/>
    </row>
    <row r="80" spans="1:11" ht="23.25">
      <c r="A80" s="53" t="s">
        <v>124</v>
      </c>
      <c r="B80" s="52"/>
      <c r="C80" s="50"/>
      <c r="D80" s="50"/>
      <c r="E80" s="50"/>
      <c r="F80" s="50"/>
      <c r="G80" s="50"/>
      <c r="H80" s="50"/>
      <c r="I80" s="50"/>
      <c r="J80" s="50"/>
      <c r="K80" s="49"/>
    </row>
    <row r="81" spans="1:11" ht="26.25" customHeight="1">
      <c r="A81" s="62" t="s">
        <v>138</v>
      </c>
      <c r="B81" s="52"/>
      <c r="C81" s="50">
        <f>C76/C79</f>
        <v>27027.027027027027</v>
      </c>
      <c r="D81" s="50"/>
      <c r="E81" s="50"/>
      <c r="F81" s="50">
        <f>F76/F79</f>
        <v>8108.1081081081084</v>
      </c>
      <c r="G81" s="50"/>
      <c r="H81" s="50"/>
      <c r="I81" s="50">
        <f>I76/I79</f>
        <v>0</v>
      </c>
      <c r="J81" s="50"/>
      <c r="K81" s="49"/>
    </row>
    <row r="82" spans="1:11" ht="46.5">
      <c r="A82" s="62" t="s">
        <v>144</v>
      </c>
      <c r="B82" s="52"/>
      <c r="C82" s="50">
        <f>C79/C78*100</f>
        <v>4.9333333333333336</v>
      </c>
      <c r="D82" s="50"/>
      <c r="E82" s="50"/>
      <c r="F82" s="50">
        <f>F79/F78*100</f>
        <v>4.9333333333333336</v>
      </c>
      <c r="G82" s="50"/>
      <c r="H82" s="50"/>
      <c r="I82" s="50">
        <f>I79/I78*100</f>
        <v>4.9333333333333336</v>
      </c>
      <c r="J82" s="50"/>
      <c r="K82" s="49"/>
    </row>
    <row r="83" spans="1:11" ht="23.25">
      <c r="A83" s="60" t="s">
        <v>116</v>
      </c>
      <c r="B83" s="544" t="s">
        <v>410</v>
      </c>
      <c r="C83" s="544"/>
      <c r="D83" s="544"/>
      <c r="E83" s="544"/>
      <c r="F83" s="544"/>
      <c r="G83" s="544"/>
      <c r="H83" s="544"/>
      <c r="I83" s="544"/>
      <c r="J83" s="544"/>
      <c r="K83" s="544"/>
    </row>
    <row r="84" spans="1:11" ht="22.5">
      <c r="A84" s="246" t="s">
        <v>119</v>
      </c>
      <c r="B84" s="539" t="s">
        <v>120</v>
      </c>
      <c r="C84" s="539"/>
      <c r="D84" s="539"/>
      <c r="E84" s="539"/>
      <c r="F84" s="539"/>
      <c r="G84" s="539"/>
      <c r="H84" s="539"/>
      <c r="I84" s="539"/>
      <c r="J84" s="539"/>
      <c r="K84" s="539"/>
    </row>
    <row r="85" spans="1:11" ht="22.5">
      <c r="A85" s="53" t="s">
        <v>121</v>
      </c>
      <c r="B85" s="53">
        <f>C85+F85+I85</f>
        <v>3883000</v>
      </c>
      <c r="C85" s="49">
        <f>D85+E85</f>
        <v>3883000</v>
      </c>
      <c r="D85" s="49">
        <f>'Додаток 3'!I54*1000</f>
        <v>3883000</v>
      </c>
      <c r="E85" s="49">
        <v>0</v>
      </c>
      <c r="F85" s="49">
        <f>G85+H85</f>
        <v>0</v>
      </c>
      <c r="G85" s="49">
        <f>'Додаток 3'!J54*1000</f>
        <v>0</v>
      </c>
      <c r="H85" s="49">
        <v>0</v>
      </c>
      <c r="I85" s="49">
        <f>J85+K85</f>
        <v>0</v>
      </c>
      <c r="J85" s="49">
        <f>'Додаток 3'!K54*1000</f>
        <v>0</v>
      </c>
      <c r="K85" s="49">
        <v>0</v>
      </c>
    </row>
    <row r="86" spans="1:11" ht="24" customHeight="1">
      <c r="A86" s="53" t="s">
        <v>301</v>
      </c>
      <c r="B86" s="48"/>
      <c r="C86" s="50"/>
      <c r="D86" s="49"/>
      <c r="E86" s="49"/>
      <c r="F86" s="50"/>
      <c r="G86" s="50"/>
      <c r="H86" s="50"/>
      <c r="I86" s="50"/>
      <c r="J86" s="49"/>
      <c r="K86" s="49"/>
    </row>
    <row r="87" spans="1:11" ht="48.75" customHeight="1">
      <c r="A87" s="62" t="s">
        <v>145</v>
      </c>
      <c r="B87" s="52"/>
      <c r="C87" s="50">
        <v>70</v>
      </c>
      <c r="D87" s="50"/>
      <c r="E87" s="50"/>
      <c r="F87" s="50"/>
      <c r="G87" s="50"/>
      <c r="H87" s="50"/>
      <c r="I87" s="50"/>
      <c r="J87" s="50"/>
      <c r="K87" s="49"/>
    </row>
    <row r="88" spans="1:11" ht="47.25" customHeight="1">
      <c r="A88" s="62" t="s">
        <v>380</v>
      </c>
      <c r="B88" s="52"/>
      <c r="C88" s="247">
        <v>70</v>
      </c>
      <c r="D88" s="50"/>
      <c r="E88" s="50"/>
      <c r="F88" s="247"/>
      <c r="G88" s="50"/>
      <c r="H88" s="50"/>
      <c r="I88" s="247"/>
      <c r="J88" s="50"/>
      <c r="K88" s="49"/>
    </row>
    <row r="89" spans="1:11" ht="23.25">
      <c r="A89" s="53" t="s">
        <v>124</v>
      </c>
      <c r="B89" s="52"/>
      <c r="C89" s="50"/>
      <c r="D89" s="50"/>
      <c r="E89" s="50"/>
      <c r="F89" s="50"/>
      <c r="G89" s="50"/>
      <c r="H89" s="50"/>
      <c r="I89" s="50"/>
      <c r="J89" s="50"/>
      <c r="K89" s="49"/>
    </row>
    <row r="90" spans="1:11" ht="69.75">
      <c r="A90" s="62" t="s">
        <v>146</v>
      </c>
      <c r="B90" s="52"/>
      <c r="C90" s="50">
        <f>C85/C88</f>
        <v>55471.428571428572</v>
      </c>
      <c r="D90" s="50"/>
      <c r="E90" s="50"/>
      <c r="F90" s="50"/>
      <c r="G90" s="50"/>
      <c r="H90" s="50"/>
      <c r="I90" s="50"/>
      <c r="J90" s="50"/>
      <c r="K90" s="49"/>
    </row>
    <row r="91" spans="1:11" ht="23.25">
      <c r="A91" s="60" t="s">
        <v>116</v>
      </c>
      <c r="B91" s="549" t="s">
        <v>56</v>
      </c>
      <c r="C91" s="550"/>
      <c r="D91" s="550"/>
      <c r="E91" s="550"/>
      <c r="F91" s="550"/>
      <c r="G91" s="550"/>
      <c r="H91" s="550"/>
      <c r="I91" s="550"/>
      <c r="J91" s="550"/>
      <c r="K91" s="551"/>
    </row>
    <row r="92" spans="1:11" ht="22.5">
      <c r="A92" s="246" t="s">
        <v>119</v>
      </c>
      <c r="B92" s="543" t="s">
        <v>120</v>
      </c>
      <c r="C92" s="543"/>
      <c r="D92" s="543"/>
      <c r="E92" s="543"/>
      <c r="F92" s="543"/>
      <c r="G92" s="543"/>
      <c r="H92" s="543"/>
      <c r="I92" s="543"/>
      <c r="J92" s="543"/>
      <c r="K92" s="543"/>
    </row>
    <row r="93" spans="1:11" ht="22.5">
      <c r="A93" s="53" t="s">
        <v>121</v>
      </c>
      <c r="B93" s="53">
        <f>C93+F93+I93</f>
        <v>850000</v>
      </c>
      <c r="C93" s="49">
        <f>D93+E93</f>
        <v>850000</v>
      </c>
      <c r="D93" s="49">
        <f>'Додаток 3'!I57*1000</f>
        <v>850000</v>
      </c>
      <c r="E93" s="53"/>
      <c r="F93" s="248"/>
      <c r="G93" s="248"/>
      <c r="H93" s="248"/>
      <c r="I93" s="248"/>
      <c r="J93" s="248"/>
      <c r="K93" s="248"/>
    </row>
    <row r="94" spans="1:11" ht="23.25">
      <c r="A94" s="53" t="s">
        <v>123</v>
      </c>
      <c r="B94" s="50"/>
      <c r="C94" s="50"/>
      <c r="D94" s="50"/>
      <c r="E94" s="50"/>
      <c r="F94" s="50"/>
      <c r="G94" s="50"/>
      <c r="H94" s="50"/>
      <c r="I94" s="50"/>
      <c r="J94" s="50"/>
      <c r="K94" s="49"/>
    </row>
    <row r="95" spans="1:11" ht="22.5" customHeight="1">
      <c r="A95" s="62" t="s">
        <v>385</v>
      </c>
      <c r="B95" s="52"/>
      <c r="C95" s="50">
        <v>1200</v>
      </c>
      <c r="D95" s="50"/>
      <c r="E95" s="50"/>
      <c r="F95" s="50"/>
      <c r="G95" s="50"/>
      <c r="H95" s="50"/>
      <c r="I95" s="50"/>
      <c r="J95" s="50"/>
      <c r="K95" s="49"/>
    </row>
    <row r="96" spans="1:11" ht="23.25">
      <c r="A96" s="62" t="s">
        <v>209</v>
      </c>
      <c r="B96" s="52"/>
      <c r="C96" s="247">
        <v>845</v>
      </c>
      <c r="D96" s="50"/>
      <c r="E96" s="50"/>
      <c r="F96" s="247"/>
      <c r="G96" s="50"/>
      <c r="H96" s="50"/>
      <c r="I96" s="247"/>
      <c r="J96" s="50"/>
      <c r="K96" s="49"/>
    </row>
    <row r="97" spans="1:11" ht="23.25">
      <c r="A97" s="53" t="s">
        <v>124</v>
      </c>
      <c r="B97" s="52"/>
      <c r="C97" s="50"/>
      <c r="D97" s="50"/>
      <c r="E97" s="50"/>
      <c r="F97" s="50"/>
      <c r="G97" s="50"/>
      <c r="H97" s="50"/>
      <c r="I97" s="50"/>
      <c r="J97" s="50"/>
      <c r="K97" s="49"/>
    </row>
    <row r="98" spans="1:11" ht="23.25">
      <c r="A98" s="62" t="s">
        <v>409</v>
      </c>
      <c r="B98" s="52"/>
      <c r="C98" s="50">
        <f>C93/C96</f>
        <v>1005.9171597633136</v>
      </c>
      <c r="D98" s="50"/>
      <c r="E98" s="50"/>
      <c r="F98" s="50"/>
      <c r="G98" s="50"/>
      <c r="H98" s="50"/>
      <c r="I98" s="50"/>
      <c r="J98" s="50"/>
      <c r="K98" s="49"/>
    </row>
    <row r="99" spans="1:11" ht="23.25">
      <c r="A99" s="70" t="s">
        <v>125</v>
      </c>
      <c r="B99" s="52"/>
      <c r="C99" s="50"/>
      <c r="D99" s="50"/>
      <c r="E99" s="50"/>
      <c r="F99" s="50"/>
      <c r="G99" s="50"/>
      <c r="H99" s="50"/>
      <c r="I99" s="50"/>
      <c r="J99" s="50"/>
      <c r="K99" s="49"/>
    </row>
    <row r="100" spans="1:11" ht="23.25">
      <c r="A100" s="62" t="s">
        <v>386</v>
      </c>
      <c r="B100" s="52"/>
      <c r="C100" s="50">
        <f>C96/C95*100</f>
        <v>70.416666666666671</v>
      </c>
      <c r="D100" s="50"/>
      <c r="E100" s="50"/>
      <c r="F100" s="50"/>
      <c r="G100" s="50"/>
      <c r="H100" s="50"/>
      <c r="I100" s="50"/>
      <c r="J100" s="50"/>
      <c r="K100" s="49"/>
    </row>
    <row r="101" spans="1:11" ht="23.25">
      <c r="A101" s="63" t="s">
        <v>116</v>
      </c>
      <c r="B101" s="531" t="s">
        <v>312</v>
      </c>
      <c r="C101" s="531"/>
      <c r="D101" s="531"/>
      <c r="E101" s="531"/>
      <c r="F101" s="531"/>
      <c r="G101" s="531"/>
      <c r="H101" s="531"/>
      <c r="I101" s="531"/>
      <c r="J101" s="531"/>
      <c r="K101" s="531"/>
    </row>
    <row r="102" spans="1:11" ht="22.5">
      <c r="A102" s="246" t="s">
        <v>119</v>
      </c>
      <c r="B102" s="543" t="s">
        <v>120</v>
      </c>
      <c r="C102" s="543"/>
      <c r="D102" s="543"/>
      <c r="E102" s="543"/>
      <c r="F102" s="543"/>
      <c r="G102" s="543"/>
      <c r="H102" s="543"/>
      <c r="I102" s="543"/>
      <c r="J102" s="543"/>
      <c r="K102" s="543"/>
    </row>
    <row r="103" spans="1:11" ht="22.5">
      <c r="A103" s="246" t="s">
        <v>126</v>
      </c>
      <c r="B103" s="543" t="s">
        <v>127</v>
      </c>
      <c r="C103" s="543"/>
      <c r="D103" s="543"/>
      <c r="E103" s="543"/>
      <c r="F103" s="543"/>
      <c r="G103" s="543"/>
      <c r="H103" s="543"/>
      <c r="I103" s="543"/>
      <c r="J103" s="543"/>
      <c r="K103" s="543"/>
    </row>
    <row r="104" spans="1:11" ht="22.5">
      <c r="A104" s="53" t="s">
        <v>121</v>
      </c>
      <c r="B104" s="53">
        <f>C104+F104+I104</f>
        <v>6385688.0000000009</v>
      </c>
      <c r="C104" s="248">
        <f>D104+E104</f>
        <v>2947900.0000000005</v>
      </c>
      <c r="D104" s="248">
        <f>('Додаток 3'!I61+'Додаток 3'!I110)*1000</f>
        <v>2947900.0000000005</v>
      </c>
      <c r="E104" s="53"/>
      <c r="F104" s="248">
        <f>G104+H104</f>
        <v>1659800.0000000002</v>
      </c>
      <c r="G104" s="248">
        <f>('Додаток 3'!J110+'Додаток 3'!J61)*1000</f>
        <v>1659800.0000000002</v>
      </c>
      <c r="H104" s="248"/>
      <c r="I104" s="248">
        <f>J104+K104</f>
        <v>1777987.9999999998</v>
      </c>
      <c r="J104" s="248">
        <f>('Додаток 3'!K61+'Додаток 3'!K110)*1000</f>
        <v>1777987.9999999998</v>
      </c>
      <c r="K104" s="248"/>
    </row>
    <row r="105" spans="1:11" ht="23.25">
      <c r="A105" s="53" t="s">
        <v>123</v>
      </c>
      <c r="B105" s="52"/>
      <c r="C105" s="50"/>
      <c r="D105" s="50"/>
      <c r="E105" s="50"/>
      <c r="F105" s="50"/>
      <c r="G105" s="50"/>
      <c r="H105" s="50"/>
      <c r="I105" s="50"/>
      <c r="J105" s="50"/>
      <c r="K105" s="49"/>
    </row>
    <row r="106" spans="1:11" ht="23.25">
      <c r="A106" s="64" t="s">
        <v>131</v>
      </c>
      <c r="B106" s="52"/>
      <c r="C106" s="50">
        <v>46</v>
      </c>
      <c r="D106" s="50"/>
      <c r="E106" s="50"/>
      <c r="F106" s="50">
        <v>33</v>
      </c>
      <c r="G106" s="50"/>
      <c r="H106" s="50"/>
      <c r="I106" s="50">
        <v>11</v>
      </c>
      <c r="J106" s="50"/>
      <c r="K106" s="49"/>
    </row>
    <row r="107" spans="1:11" ht="23.25">
      <c r="A107" s="53" t="s">
        <v>124</v>
      </c>
      <c r="B107" s="52"/>
      <c r="C107" s="50"/>
      <c r="D107" s="50"/>
      <c r="E107" s="50"/>
      <c r="F107" s="50"/>
      <c r="G107" s="50"/>
      <c r="H107" s="50"/>
      <c r="I107" s="50"/>
      <c r="J107" s="50"/>
      <c r="K107" s="49"/>
    </row>
    <row r="108" spans="1:11" ht="45.75" customHeight="1">
      <c r="A108" s="64" t="s">
        <v>388</v>
      </c>
      <c r="B108" s="52"/>
      <c r="C108" s="50">
        <f>C104/C106</f>
        <v>64084.782608695663</v>
      </c>
      <c r="D108" s="50"/>
      <c r="E108" s="50"/>
      <c r="F108" s="50">
        <f>F104/F106</f>
        <v>50296.969696969703</v>
      </c>
      <c r="G108" s="50"/>
      <c r="H108" s="50"/>
      <c r="I108" s="50">
        <f>I104/I106</f>
        <v>161635.27272727271</v>
      </c>
      <c r="J108" s="50"/>
      <c r="K108" s="49"/>
    </row>
    <row r="109" spans="1:11" ht="21" customHeight="1">
      <c r="A109" s="63" t="s">
        <v>116</v>
      </c>
      <c r="B109" s="531" t="s">
        <v>313</v>
      </c>
      <c r="C109" s="531"/>
      <c r="D109" s="531"/>
      <c r="E109" s="531"/>
      <c r="F109" s="531"/>
      <c r="G109" s="531"/>
      <c r="H109" s="531"/>
      <c r="I109" s="531"/>
      <c r="J109" s="531"/>
      <c r="K109" s="531"/>
    </row>
    <row r="110" spans="1:11" ht="22.5">
      <c r="A110" s="246" t="s">
        <v>119</v>
      </c>
      <c r="B110" s="543" t="s">
        <v>120</v>
      </c>
      <c r="C110" s="543"/>
      <c r="D110" s="543"/>
      <c r="E110" s="543"/>
      <c r="F110" s="543"/>
      <c r="G110" s="543"/>
      <c r="H110" s="543"/>
      <c r="I110" s="543"/>
      <c r="J110" s="543"/>
      <c r="K110" s="543"/>
    </row>
    <row r="111" spans="1:11" ht="22.5">
      <c r="A111" s="53" t="s">
        <v>121</v>
      </c>
      <c r="B111" s="53">
        <f>C111+F111+I111</f>
        <v>5834000</v>
      </c>
      <c r="C111" s="53">
        <f>D111+E111</f>
        <v>1700000</v>
      </c>
      <c r="D111" s="53">
        <f>'Додаток 3'!I66*1000</f>
        <v>1700000</v>
      </c>
      <c r="E111" s="248"/>
      <c r="F111" s="248">
        <f>G111+H111</f>
        <v>2000000</v>
      </c>
      <c r="G111" s="248">
        <f>'Додаток 3'!J66*1000</f>
        <v>2000000</v>
      </c>
      <c r="H111" s="248"/>
      <c r="I111" s="248">
        <f>J111+K111</f>
        <v>2134000</v>
      </c>
      <c r="J111" s="248">
        <f>'Додаток 3'!K66*1000</f>
        <v>2134000</v>
      </c>
      <c r="K111" s="248"/>
    </row>
    <row r="112" spans="1:11" ht="23.25">
      <c r="A112" s="53" t="s">
        <v>123</v>
      </c>
      <c r="B112" s="52"/>
      <c r="C112" s="50"/>
      <c r="D112" s="50"/>
      <c r="E112" s="50"/>
      <c r="F112" s="50"/>
      <c r="G112" s="50"/>
      <c r="H112" s="50"/>
      <c r="I112" s="50"/>
      <c r="J112" s="50"/>
      <c r="K112" s="49"/>
    </row>
    <row r="113" spans="1:11" ht="46.5">
      <c r="A113" s="64" t="s">
        <v>389</v>
      </c>
      <c r="B113" s="52"/>
      <c r="C113" s="50">
        <v>6217</v>
      </c>
      <c r="D113" s="50"/>
      <c r="E113" s="50"/>
      <c r="F113" s="50">
        <v>6217</v>
      </c>
      <c r="G113" s="50"/>
      <c r="H113" s="50"/>
      <c r="I113" s="50">
        <v>6217</v>
      </c>
      <c r="J113" s="50"/>
      <c r="K113" s="49"/>
    </row>
    <row r="114" spans="1:11" ht="23.25">
      <c r="A114" s="64" t="s">
        <v>390</v>
      </c>
      <c r="B114" s="52"/>
      <c r="C114" s="50">
        <v>6217</v>
      </c>
      <c r="D114" s="50"/>
      <c r="E114" s="50"/>
      <c r="F114" s="50">
        <v>6217</v>
      </c>
      <c r="G114" s="50"/>
      <c r="H114" s="50"/>
      <c r="I114" s="50">
        <v>6217</v>
      </c>
      <c r="J114" s="50"/>
      <c r="K114" s="49"/>
    </row>
    <row r="115" spans="1:11" ht="23.25">
      <c r="A115" s="53" t="s">
        <v>124</v>
      </c>
      <c r="B115" s="52"/>
      <c r="C115" s="50"/>
      <c r="D115" s="50"/>
      <c r="E115" s="50"/>
      <c r="F115" s="50"/>
      <c r="G115" s="50"/>
      <c r="H115" s="50"/>
      <c r="I115" s="50"/>
      <c r="J115" s="50"/>
      <c r="K115" s="49"/>
    </row>
    <row r="116" spans="1:11" ht="48.75" customHeight="1">
      <c r="A116" s="64" t="s">
        <v>391</v>
      </c>
      <c r="B116" s="52"/>
      <c r="C116" s="50">
        <f>C111/C114</f>
        <v>273.44378317516487</v>
      </c>
      <c r="D116" s="50"/>
      <c r="E116" s="50"/>
      <c r="F116" s="50">
        <f>F111/F114</f>
        <v>321.69856844137041</v>
      </c>
      <c r="G116" s="50"/>
      <c r="H116" s="50"/>
      <c r="I116" s="50">
        <f>I111/I114</f>
        <v>343.25237252694228</v>
      </c>
      <c r="J116" s="50"/>
      <c r="K116" s="49"/>
    </row>
    <row r="117" spans="1:11" ht="23.25">
      <c r="A117" s="249" t="s">
        <v>206</v>
      </c>
      <c r="B117" s="52"/>
      <c r="C117" s="50">
        <f>C114/C113*100</f>
        <v>100</v>
      </c>
      <c r="D117" s="50"/>
      <c r="E117" s="50"/>
      <c r="F117" s="50">
        <f>C117</f>
        <v>100</v>
      </c>
      <c r="G117" s="50"/>
      <c r="H117" s="50"/>
      <c r="I117" s="50">
        <f>F117</f>
        <v>100</v>
      </c>
      <c r="J117" s="50"/>
      <c r="K117" s="49"/>
    </row>
    <row r="118" spans="1:11" ht="23.25">
      <c r="A118" s="60" t="s">
        <v>116</v>
      </c>
      <c r="B118" s="544" t="s">
        <v>457</v>
      </c>
      <c r="C118" s="544"/>
      <c r="D118" s="544"/>
      <c r="E118" s="544"/>
      <c r="F118" s="544"/>
      <c r="G118" s="544"/>
      <c r="H118" s="544"/>
      <c r="I118" s="544"/>
      <c r="J118" s="544"/>
      <c r="K118" s="544"/>
    </row>
    <row r="119" spans="1:11" ht="20.25" customHeight="1">
      <c r="A119" s="246" t="s">
        <v>432</v>
      </c>
      <c r="B119" s="528" t="s">
        <v>433</v>
      </c>
      <c r="C119" s="529"/>
      <c r="D119" s="529"/>
      <c r="E119" s="529"/>
      <c r="F119" s="529"/>
      <c r="G119" s="529"/>
      <c r="H119" s="529"/>
      <c r="I119" s="529"/>
      <c r="J119" s="529"/>
      <c r="K119" s="530"/>
    </row>
    <row r="120" spans="1:11" ht="22.5">
      <c r="A120" s="53" t="s">
        <v>121</v>
      </c>
      <c r="B120" s="48">
        <f>C120+F120+I120</f>
        <v>3000000</v>
      </c>
      <c r="C120" s="49">
        <f>D120+E120</f>
        <v>3000000</v>
      </c>
      <c r="D120" s="49">
        <f>'Додаток 3'!I67*1000</f>
        <v>3000000</v>
      </c>
      <c r="E120" s="49">
        <v>0</v>
      </c>
      <c r="F120" s="49">
        <f>G120+H120</f>
        <v>0</v>
      </c>
      <c r="G120" s="49">
        <v>0</v>
      </c>
      <c r="H120" s="49">
        <v>0</v>
      </c>
      <c r="I120" s="49">
        <f>J120+K120</f>
        <v>0</v>
      </c>
      <c r="J120" s="49">
        <v>0</v>
      </c>
      <c r="K120" s="49">
        <v>0</v>
      </c>
    </row>
    <row r="121" spans="1:11" ht="23.25">
      <c r="A121" s="53" t="s">
        <v>381</v>
      </c>
      <c r="B121" s="48"/>
      <c r="C121" s="50">
        <v>1</v>
      </c>
      <c r="D121" s="49"/>
      <c r="E121" s="49"/>
      <c r="F121" s="50"/>
      <c r="G121" s="50"/>
      <c r="H121" s="50"/>
      <c r="I121" s="50"/>
      <c r="J121" s="49"/>
      <c r="K121" s="49"/>
    </row>
    <row r="122" spans="1:11" ht="46.5">
      <c r="A122" s="53" t="s">
        <v>387</v>
      </c>
      <c r="B122" s="52"/>
      <c r="C122" s="50">
        <f>C120/C121/3</f>
        <v>1000000</v>
      </c>
      <c r="D122" s="50"/>
      <c r="E122" s="50"/>
      <c r="F122" s="50"/>
      <c r="G122" s="50"/>
      <c r="H122" s="50"/>
      <c r="I122" s="50"/>
      <c r="J122" s="50"/>
      <c r="K122" s="49"/>
    </row>
    <row r="123" spans="1:11" ht="23.25">
      <c r="A123" s="63" t="s">
        <v>116</v>
      </c>
      <c r="B123" s="531" t="s">
        <v>314</v>
      </c>
      <c r="C123" s="531"/>
      <c r="D123" s="531"/>
      <c r="E123" s="531"/>
      <c r="F123" s="531"/>
      <c r="G123" s="531"/>
      <c r="H123" s="531"/>
      <c r="I123" s="531"/>
      <c r="J123" s="531"/>
      <c r="K123" s="531"/>
    </row>
    <row r="124" spans="1:11" ht="22.5">
      <c r="A124" s="246" t="s">
        <v>119</v>
      </c>
      <c r="B124" s="543" t="s">
        <v>120</v>
      </c>
      <c r="C124" s="543"/>
      <c r="D124" s="543"/>
      <c r="E124" s="543"/>
      <c r="F124" s="543"/>
      <c r="G124" s="543"/>
      <c r="H124" s="543"/>
      <c r="I124" s="543"/>
      <c r="J124" s="543"/>
      <c r="K124" s="543"/>
    </row>
    <row r="125" spans="1:11" ht="22.5">
      <c r="A125" s="53" t="s">
        <v>121</v>
      </c>
      <c r="B125" s="250">
        <f>C125+F125+I125</f>
        <v>2173500</v>
      </c>
      <c r="C125" s="250">
        <f>D125+E125</f>
        <v>1867700</v>
      </c>
      <c r="D125" s="250">
        <f>'Додаток 3'!I68*1000</f>
        <v>1867700</v>
      </c>
      <c r="E125" s="250"/>
      <c r="F125" s="250">
        <f>G125+H125</f>
        <v>305800</v>
      </c>
      <c r="G125" s="250">
        <f>'Додаток 3'!J68*1000</f>
        <v>305800</v>
      </c>
      <c r="H125" s="250"/>
      <c r="I125" s="250">
        <f>J125+K125</f>
        <v>0</v>
      </c>
      <c r="J125" s="250">
        <f>'Додаток 3'!K68*1000</f>
        <v>0</v>
      </c>
      <c r="K125" s="251"/>
    </row>
    <row r="126" spans="1:11" ht="50.25" customHeight="1">
      <c r="A126" s="62" t="s">
        <v>406</v>
      </c>
      <c r="B126" s="52"/>
      <c r="C126" s="50">
        <v>44900</v>
      </c>
      <c r="D126" s="51"/>
      <c r="E126" s="50"/>
      <c r="F126" s="50">
        <f>C126*1.056</f>
        <v>47414.400000000001</v>
      </c>
      <c r="G126" s="50"/>
      <c r="H126" s="50"/>
      <c r="I126" s="50">
        <f>F126*1.051</f>
        <v>49832.534399999997</v>
      </c>
      <c r="J126" s="50"/>
      <c r="K126" s="49"/>
    </row>
    <row r="127" spans="1:11" ht="23.25">
      <c r="A127" s="62" t="s">
        <v>153</v>
      </c>
      <c r="B127" s="52"/>
      <c r="C127" s="50">
        <v>335300</v>
      </c>
      <c r="D127" s="51"/>
      <c r="E127" s="50"/>
      <c r="F127" s="50">
        <f>C127*1.056</f>
        <v>354076.8</v>
      </c>
      <c r="G127" s="50"/>
      <c r="H127" s="50"/>
      <c r="I127" s="50">
        <f>F127+1.051</f>
        <v>354077.85099999997</v>
      </c>
      <c r="J127" s="50"/>
      <c r="K127" s="49"/>
    </row>
    <row r="128" spans="1:11" ht="23.25">
      <c r="A128" s="53" t="s">
        <v>123</v>
      </c>
      <c r="B128" s="52"/>
      <c r="C128" s="50"/>
      <c r="D128" s="50"/>
      <c r="E128" s="50"/>
      <c r="F128" s="50"/>
      <c r="G128" s="50"/>
      <c r="H128" s="50"/>
      <c r="I128" s="50"/>
      <c r="J128" s="50"/>
      <c r="K128" s="49"/>
    </row>
    <row r="129" spans="1:11" ht="45.75" customHeight="1">
      <c r="A129" s="252" t="s">
        <v>405</v>
      </c>
      <c r="B129" s="52"/>
      <c r="C129" s="50">
        <v>8</v>
      </c>
      <c r="D129" s="51"/>
      <c r="E129" s="50"/>
      <c r="F129" s="50">
        <v>8</v>
      </c>
      <c r="G129" s="50"/>
      <c r="H129" s="50"/>
      <c r="I129" s="50">
        <v>8</v>
      </c>
      <c r="J129" s="50"/>
      <c r="K129" s="49"/>
    </row>
    <row r="130" spans="1:11" ht="23.25">
      <c r="A130" s="252" t="s">
        <v>154</v>
      </c>
      <c r="B130" s="52"/>
      <c r="C130" s="50">
        <v>100</v>
      </c>
      <c r="D130" s="51"/>
      <c r="E130" s="50"/>
      <c r="F130" s="50">
        <v>100</v>
      </c>
      <c r="G130" s="50"/>
      <c r="H130" s="50"/>
      <c r="I130" s="50">
        <v>100</v>
      </c>
      <c r="J130" s="50"/>
      <c r="K130" s="49"/>
    </row>
    <row r="131" spans="1:11" ht="23.25">
      <c r="A131" s="53" t="s">
        <v>124</v>
      </c>
      <c r="B131" s="52"/>
      <c r="C131" s="50"/>
      <c r="D131" s="51"/>
      <c r="E131" s="50"/>
      <c r="F131" s="50"/>
      <c r="G131" s="50"/>
      <c r="H131" s="50"/>
      <c r="I131" s="50"/>
      <c r="J131" s="50"/>
      <c r="K131" s="49"/>
    </row>
    <row r="132" spans="1:11" ht="47.25" customHeight="1">
      <c r="A132" s="253" t="s">
        <v>408</v>
      </c>
      <c r="B132" s="52"/>
      <c r="C132" s="50">
        <f>C126/C129/12</f>
        <v>467.70833333333331</v>
      </c>
      <c r="D132" s="50"/>
      <c r="E132" s="50"/>
      <c r="F132" s="50">
        <f t="shared" ref="F132:I132" si="5">F126/F129/12</f>
        <v>493.90000000000003</v>
      </c>
      <c r="G132" s="50"/>
      <c r="H132" s="50"/>
      <c r="I132" s="50">
        <f t="shared" si="5"/>
        <v>519.08889999999997</v>
      </c>
      <c r="J132" s="50"/>
      <c r="K132" s="49"/>
    </row>
    <row r="133" spans="1:11" ht="46.5">
      <c r="A133" s="253" t="s">
        <v>407</v>
      </c>
      <c r="B133" s="52"/>
      <c r="C133" s="50">
        <f>C127/C130/12</f>
        <v>279.41666666666669</v>
      </c>
      <c r="D133" s="50"/>
      <c r="E133" s="50"/>
      <c r="F133" s="50">
        <f t="shared" ref="F133:I133" si="6">F127/F130/12</f>
        <v>295.06400000000002</v>
      </c>
      <c r="G133" s="50"/>
      <c r="H133" s="50"/>
      <c r="I133" s="50">
        <f t="shared" si="6"/>
        <v>295.0648758333333</v>
      </c>
      <c r="J133" s="50"/>
      <c r="K133" s="49"/>
    </row>
    <row r="134" spans="1:11" ht="46.5">
      <c r="A134" s="253" t="s">
        <v>316</v>
      </c>
      <c r="B134" s="52"/>
      <c r="C134" s="50">
        <f>C125/12</f>
        <v>155641.66666666666</v>
      </c>
      <c r="D134" s="50"/>
      <c r="E134" s="50"/>
      <c r="F134" s="50">
        <f t="shared" ref="F134:I134" si="7">F125/12</f>
        <v>25483.333333333332</v>
      </c>
      <c r="G134" s="50"/>
      <c r="H134" s="50"/>
      <c r="I134" s="50">
        <f t="shared" si="7"/>
        <v>0</v>
      </c>
      <c r="J134" s="50"/>
      <c r="K134" s="49"/>
    </row>
    <row r="135" spans="1:11" ht="23.25">
      <c r="A135" s="63" t="s">
        <v>116</v>
      </c>
      <c r="B135" s="531" t="s">
        <v>315</v>
      </c>
      <c r="C135" s="531"/>
      <c r="D135" s="531"/>
      <c r="E135" s="531"/>
      <c r="F135" s="531"/>
      <c r="G135" s="531"/>
      <c r="H135" s="531"/>
      <c r="I135" s="531"/>
      <c r="J135" s="531"/>
      <c r="K135" s="531"/>
    </row>
    <row r="136" spans="1:11" ht="22.5">
      <c r="A136" s="246" t="s">
        <v>119</v>
      </c>
      <c r="B136" s="543" t="s">
        <v>120</v>
      </c>
      <c r="C136" s="543"/>
      <c r="D136" s="543"/>
      <c r="E136" s="543"/>
      <c r="F136" s="543"/>
      <c r="G136" s="543"/>
      <c r="H136" s="543"/>
      <c r="I136" s="543"/>
      <c r="J136" s="543"/>
      <c r="K136" s="543"/>
    </row>
    <row r="137" spans="1:11" ht="22.5">
      <c r="A137" s="53" t="s">
        <v>121</v>
      </c>
      <c r="B137" s="250">
        <f>C137+F137+I137</f>
        <v>3716540</v>
      </c>
      <c r="C137" s="250">
        <f>D137+E137</f>
        <v>946270</v>
      </c>
      <c r="D137" s="250">
        <f>'Додаток 3'!I69*1000</f>
        <v>946270</v>
      </c>
      <c r="E137" s="250"/>
      <c r="F137" s="250">
        <f>G137+H137</f>
        <v>1337300</v>
      </c>
      <c r="G137" s="250">
        <f>'Додаток 3'!J69*1000</f>
        <v>1337300</v>
      </c>
      <c r="H137" s="250"/>
      <c r="I137" s="250">
        <f>J137+K137</f>
        <v>1432970</v>
      </c>
      <c r="J137" s="250">
        <f>'Додаток 3'!K69*1000</f>
        <v>1432970</v>
      </c>
      <c r="K137" s="251"/>
    </row>
    <row r="138" spans="1:11" ht="23.25">
      <c r="A138" s="254" t="s">
        <v>155</v>
      </c>
      <c r="B138" s="52"/>
      <c r="C138" s="255">
        <v>8.25</v>
      </c>
      <c r="D138" s="51"/>
      <c r="E138" s="50"/>
      <c r="F138" s="255">
        <v>8.25</v>
      </c>
      <c r="G138" s="50"/>
      <c r="H138" s="50"/>
      <c r="I138" s="255">
        <v>8.25</v>
      </c>
      <c r="J138" s="50"/>
      <c r="K138" s="49"/>
    </row>
    <row r="139" spans="1:11" ht="23.25">
      <c r="A139" s="256" t="s">
        <v>156</v>
      </c>
      <c r="B139" s="52"/>
      <c r="C139" s="255">
        <v>2.75</v>
      </c>
      <c r="D139" s="51"/>
      <c r="E139" s="50"/>
      <c r="F139" s="255">
        <v>2.75</v>
      </c>
      <c r="G139" s="50"/>
      <c r="H139" s="50"/>
      <c r="I139" s="255">
        <v>2.75</v>
      </c>
      <c r="J139" s="50"/>
      <c r="K139" s="49"/>
    </row>
    <row r="140" spans="1:11" ht="23.25">
      <c r="A140" s="53" t="s">
        <v>123</v>
      </c>
      <c r="B140" s="52"/>
      <c r="C140" s="50"/>
      <c r="D140" s="50"/>
      <c r="E140" s="50"/>
      <c r="F140" s="50"/>
      <c r="G140" s="50"/>
      <c r="H140" s="50"/>
      <c r="I140" s="50"/>
      <c r="J140" s="50"/>
      <c r="K140" s="49"/>
    </row>
    <row r="141" spans="1:11" ht="23.25">
      <c r="A141" s="252" t="s">
        <v>157</v>
      </c>
      <c r="B141" s="52"/>
      <c r="C141" s="64">
        <v>2915</v>
      </c>
      <c r="D141" s="64"/>
      <c r="E141" s="64"/>
      <c r="F141" s="64">
        <v>2915</v>
      </c>
      <c r="G141" s="64"/>
      <c r="H141" s="64"/>
      <c r="I141" s="64">
        <v>2915</v>
      </c>
      <c r="J141" s="50"/>
      <c r="K141" s="49"/>
    </row>
    <row r="142" spans="1:11" ht="23.25">
      <c r="A142" s="53" t="s">
        <v>124</v>
      </c>
      <c r="B142" s="52"/>
      <c r="C142" s="50"/>
      <c r="D142" s="51"/>
      <c r="E142" s="50"/>
      <c r="F142" s="50"/>
      <c r="G142" s="50"/>
      <c r="H142" s="50"/>
      <c r="I142" s="50"/>
      <c r="J142" s="50"/>
      <c r="K142" s="49"/>
    </row>
    <row r="143" spans="1:11" ht="46.5">
      <c r="A143" s="65" t="s">
        <v>158</v>
      </c>
      <c r="B143" s="52"/>
      <c r="C143" s="255">
        <f>C141/C139</f>
        <v>1060</v>
      </c>
      <c r="D143" s="255"/>
      <c r="E143" s="255"/>
      <c r="F143" s="255">
        <f t="shared" ref="F143" si="8">F141/F139</f>
        <v>1060</v>
      </c>
      <c r="G143" s="255"/>
      <c r="H143" s="255"/>
      <c r="I143" s="255">
        <f>I141/I139</f>
        <v>1060</v>
      </c>
      <c r="J143" s="50"/>
      <c r="K143" s="49"/>
    </row>
    <row r="144" spans="1:11" ht="46.5">
      <c r="A144" s="253" t="s">
        <v>317</v>
      </c>
      <c r="B144" s="52"/>
      <c r="C144" s="255">
        <f>C137/12</f>
        <v>78855.833333333328</v>
      </c>
      <c r="D144" s="255"/>
      <c r="E144" s="255"/>
      <c r="F144" s="255">
        <f t="shared" ref="F144:I144" si="9">F137/12</f>
        <v>111441.66666666667</v>
      </c>
      <c r="G144" s="255"/>
      <c r="H144" s="255"/>
      <c r="I144" s="255">
        <f t="shared" si="9"/>
        <v>119414.16666666667</v>
      </c>
      <c r="J144" s="50"/>
      <c r="K144" s="49"/>
    </row>
    <row r="145" spans="1:11" ht="23.25">
      <c r="A145" s="63" t="s">
        <v>116</v>
      </c>
      <c r="B145" s="531" t="s">
        <v>318</v>
      </c>
      <c r="C145" s="531"/>
      <c r="D145" s="531"/>
      <c r="E145" s="531"/>
      <c r="F145" s="531"/>
      <c r="G145" s="531"/>
      <c r="H145" s="531"/>
      <c r="I145" s="531"/>
      <c r="J145" s="531"/>
      <c r="K145" s="531"/>
    </row>
    <row r="146" spans="1:11" ht="22.5">
      <c r="A146" s="246" t="s">
        <v>119</v>
      </c>
      <c r="B146" s="543" t="s">
        <v>120</v>
      </c>
      <c r="C146" s="543"/>
      <c r="D146" s="543"/>
      <c r="E146" s="543"/>
      <c r="F146" s="543"/>
      <c r="G146" s="543"/>
      <c r="H146" s="543"/>
      <c r="I146" s="543"/>
      <c r="J146" s="543"/>
      <c r="K146" s="543"/>
    </row>
    <row r="147" spans="1:11" ht="22.5">
      <c r="A147" s="53" t="s">
        <v>121</v>
      </c>
      <c r="B147" s="250">
        <f>C147+F147+I147</f>
        <v>6073800</v>
      </c>
      <c r="C147" s="250">
        <f>D147+E147</f>
        <v>1217800</v>
      </c>
      <c r="D147" s="250">
        <f>'Додаток 3'!I70*1000</f>
        <v>1217800</v>
      </c>
      <c r="E147" s="250"/>
      <c r="F147" s="250">
        <f>G147+H147</f>
        <v>2344000</v>
      </c>
      <c r="G147" s="250">
        <f>'Додаток 3'!J70*1000</f>
        <v>2344000</v>
      </c>
      <c r="H147" s="250"/>
      <c r="I147" s="250">
        <f>J147+K147</f>
        <v>2512000</v>
      </c>
      <c r="J147" s="250">
        <f>'Додаток 3'!K70*1000</f>
        <v>2512000</v>
      </c>
      <c r="K147" s="250"/>
    </row>
    <row r="148" spans="1:11" ht="23.25">
      <c r="A148" s="53" t="s">
        <v>123</v>
      </c>
      <c r="B148" s="52"/>
      <c r="C148" s="50"/>
      <c r="D148" s="51"/>
      <c r="E148" s="50"/>
      <c r="F148" s="255"/>
      <c r="G148" s="255"/>
      <c r="H148" s="255"/>
      <c r="I148" s="255"/>
      <c r="J148" s="50"/>
      <c r="K148" s="49"/>
    </row>
    <row r="149" spans="1:11" ht="23.25">
      <c r="A149" s="252" t="s">
        <v>159</v>
      </c>
      <c r="B149" s="52"/>
      <c r="C149" s="64">
        <v>600</v>
      </c>
      <c r="D149" s="51"/>
      <c r="E149" s="50"/>
      <c r="F149" s="255">
        <v>600</v>
      </c>
      <c r="G149" s="255"/>
      <c r="H149" s="255"/>
      <c r="I149" s="255">
        <v>600</v>
      </c>
      <c r="J149" s="50"/>
      <c r="K149" s="49"/>
    </row>
    <row r="150" spans="1:11" ht="23.25">
      <c r="A150" s="53" t="s">
        <v>124</v>
      </c>
      <c r="B150" s="52"/>
      <c r="C150" s="50"/>
      <c r="D150" s="51"/>
      <c r="E150" s="50"/>
      <c r="F150" s="50"/>
      <c r="G150" s="50"/>
      <c r="H150" s="50"/>
      <c r="I150" s="50"/>
      <c r="J150" s="50"/>
      <c r="K150" s="49"/>
    </row>
    <row r="151" spans="1:11" ht="23.25">
      <c r="A151" s="257" t="s">
        <v>160</v>
      </c>
      <c r="B151" s="52"/>
      <c r="C151" s="255">
        <f>C147/C149</f>
        <v>2029.6666666666667</v>
      </c>
      <c r="D151" s="255"/>
      <c r="E151" s="255"/>
      <c r="F151" s="255">
        <f>F147/F149</f>
        <v>3906.6666666666665</v>
      </c>
      <c r="G151" s="255"/>
      <c r="H151" s="255"/>
      <c r="I151" s="255">
        <f>I147/I149</f>
        <v>4186.666666666667</v>
      </c>
      <c r="J151" s="50"/>
      <c r="K151" s="49"/>
    </row>
    <row r="152" spans="1:11" ht="23.25">
      <c r="A152" s="60" t="s">
        <v>116</v>
      </c>
      <c r="B152" s="544" t="s">
        <v>239</v>
      </c>
      <c r="C152" s="544"/>
      <c r="D152" s="544"/>
      <c r="E152" s="544"/>
      <c r="F152" s="544"/>
      <c r="G152" s="544"/>
      <c r="H152" s="544"/>
      <c r="I152" s="544"/>
      <c r="J152" s="544"/>
      <c r="K152" s="544"/>
    </row>
    <row r="153" spans="1:11" ht="20.25" customHeight="1">
      <c r="A153" s="246" t="s">
        <v>126</v>
      </c>
      <c r="B153" s="543" t="s">
        <v>164</v>
      </c>
      <c r="C153" s="543"/>
      <c r="D153" s="543"/>
      <c r="E153" s="543"/>
      <c r="F153" s="543"/>
      <c r="G153" s="543"/>
      <c r="H153" s="543"/>
      <c r="I153" s="543"/>
      <c r="J153" s="543"/>
      <c r="K153" s="543"/>
    </row>
    <row r="154" spans="1:11" ht="22.5">
      <c r="A154" s="53" t="s">
        <v>121</v>
      </c>
      <c r="B154" s="48">
        <f>C154+F154+I154</f>
        <v>12736620</v>
      </c>
      <c r="C154" s="49">
        <f>D154+E154</f>
        <v>12199200</v>
      </c>
      <c r="D154" s="49">
        <f>('Додаток 3'!I105+'Додаток 3'!I108+'Додаток 3'!I109)*1000</f>
        <v>12199200</v>
      </c>
      <c r="E154" s="49"/>
      <c r="F154" s="49">
        <f>G154+H154</f>
        <v>260000</v>
      </c>
      <c r="G154" s="49">
        <f>'Додаток 3'!J109*1000</f>
        <v>260000</v>
      </c>
      <c r="H154" s="49"/>
      <c r="I154" s="49">
        <f>J154+K154</f>
        <v>277420</v>
      </c>
      <c r="J154" s="49">
        <f>'Додаток 3'!K109*1000</f>
        <v>277420</v>
      </c>
      <c r="K154" s="49"/>
    </row>
    <row r="155" spans="1:11" ht="23.25">
      <c r="A155" s="53" t="s">
        <v>381</v>
      </c>
      <c r="B155" s="48"/>
      <c r="C155" s="50">
        <v>1</v>
      </c>
      <c r="D155" s="49"/>
      <c r="E155" s="49"/>
      <c r="F155" s="50">
        <v>1</v>
      </c>
      <c r="G155" s="50"/>
      <c r="H155" s="50"/>
      <c r="I155" s="50">
        <v>1</v>
      </c>
      <c r="J155" s="49"/>
      <c r="K155" s="49"/>
    </row>
    <row r="156" spans="1:11" ht="46.5">
      <c r="A156" s="53" t="s">
        <v>387</v>
      </c>
      <c r="B156" s="52"/>
      <c r="C156" s="50">
        <f>C154/C155/12</f>
        <v>1016600</v>
      </c>
      <c r="D156" s="50"/>
      <c r="E156" s="50"/>
      <c r="F156" s="50">
        <f>F154/F155/12</f>
        <v>21666.666666666668</v>
      </c>
      <c r="G156" s="50"/>
      <c r="H156" s="50"/>
      <c r="I156" s="50">
        <f t="shared" ref="I156" si="10">I154/I155/12</f>
        <v>23118.333333333332</v>
      </c>
      <c r="J156" s="50"/>
      <c r="K156" s="49"/>
    </row>
    <row r="157" spans="1:11" ht="23.25">
      <c r="A157" s="60" t="s">
        <v>116</v>
      </c>
      <c r="B157" s="544" t="s">
        <v>283</v>
      </c>
      <c r="C157" s="544"/>
      <c r="D157" s="544"/>
      <c r="E157" s="544"/>
      <c r="F157" s="544"/>
      <c r="G157" s="544"/>
      <c r="H157" s="544"/>
      <c r="I157" s="544"/>
      <c r="J157" s="544"/>
      <c r="K157" s="544"/>
    </row>
    <row r="158" spans="1:11" ht="20.25" customHeight="1">
      <c r="A158" s="246" t="s">
        <v>128</v>
      </c>
      <c r="B158" s="539" t="s">
        <v>129</v>
      </c>
      <c r="C158" s="539"/>
      <c r="D158" s="539"/>
      <c r="E158" s="539"/>
      <c r="F158" s="539"/>
      <c r="G158" s="539"/>
      <c r="H158" s="539"/>
      <c r="I158" s="539"/>
      <c r="J158" s="539"/>
      <c r="K158" s="539"/>
    </row>
    <row r="159" spans="1:11" ht="22.5">
      <c r="A159" s="53" t="s">
        <v>121</v>
      </c>
      <c r="B159" s="48">
        <f>C159+F159+I159</f>
        <v>6738000</v>
      </c>
      <c r="C159" s="53">
        <f>D159+E159</f>
        <v>6738000</v>
      </c>
      <c r="D159" s="53">
        <f>'Додаток 3'!I118*1000</f>
        <v>6738000</v>
      </c>
      <c r="E159" s="53"/>
      <c r="F159" s="53"/>
      <c r="G159" s="53"/>
      <c r="H159" s="53"/>
      <c r="I159" s="53"/>
      <c r="J159" s="53"/>
      <c r="K159" s="53"/>
    </row>
    <row r="160" spans="1:11" ht="23.25">
      <c r="A160" s="53" t="s">
        <v>381</v>
      </c>
      <c r="B160" s="48"/>
      <c r="C160" s="50">
        <v>1</v>
      </c>
      <c r="D160" s="49"/>
      <c r="E160" s="49"/>
      <c r="F160" s="50"/>
      <c r="G160" s="50"/>
      <c r="H160" s="50"/>
      <c r="I160" s="50"/>
      <c r="J160" s="49"/>
      <c r="K160" s="49"/>
    </row>
    <row r="161" spans="1:11" ht="46.5">
      <c r="A161" s="53" t="s">
        <v>392</v>
      </c>
      <c r="B161" s="52"/>
      <c r="C161" s="50">
        <f>C159/C160/12</f>
        <v>561500</v>
      </c>
      <c r="D161" s="50"/>
      <c r="E161" s="50"/>
      <c r="F161" s="50"/>
      <c r="G161" s="50"/>
      <c r="H161" s="50"/>
      <c r="I161" s="50"/>
      <c r="J161" s="50"/>
      <c r="K161" s="49"/>
    </row>
    <row r="162" spans="1:11" ht="22.5">
      <c r="A162" s="535" t="s">
        <v>224</v>
      </c>
      <c r="B162" s="535"/>
      <c r="C162" s="535"/>
      <c r="D162" s="535"/>
      <c r="E162" s="535"/>
      <c r="F162" s="535"/>
      <c r="G162" s="535"/>
      <c r="H162" s="535"/>
      <c r="I162" s="535"/>
      <c r="J162" s="535"/>
      <c r="K162" s="535"/>
    </row>
    <row r="163" spans="1:11" ht="22.5">
      <c r="A163" s="59" t="s">
        <v>320</v>
      </c>
      <c r="B163" s="48">
        <f t="shared" ref="B163:K163" si="11">B167+B174+B188+B196+B203+B210+B219+B235+B243</f>
        <v>66024231.299999997</v>
      </c>
      <c r="C163" s="48">
        <f t="shared" si="11"/>
        <v>29168429</v>
      </c>
      <c r="D163" s="48">
        <f t="shared" si="11"/>
        <v>29168429</v>
      </c>
      <c r="E163" s="48">
        <f t="shared" si="11"/>
        <v>0</v>
      </c>
      <c r="F163" s="48">
        <f t="shared" si="11"/>
        <v>17837600</v>
      </c>
      <c r="G163" s="48">
        <f t="shared" si="11"/>
        <v>17837600</v>
      </c>
      <c r="H163" s="48">
        <f t="shared" si="11"/>
        <v>0</v>
      </c>
      <c r="I163" s="48">
        <f t="shared" si="11"/>
        <v>19018202.300000001</v>
      </c>
      <c r="J163" s="48">
        <f t="shared" si="11"/>
        <v>19018202.300000001</v>
      </c>
      <c r="K163" s="48">
        <f t="shared" si="11"/>
        <v>0</v>
      </c>
    </row>
    <row r="164" spans="1:11" ht="22.5">
      <c r="A164" s="59" t="s">
        <v>118</v>
      </c>
      <c r="B164" s="536"/>
      <c r="C164" s="537"/>
      <c r="D164" s="537"/>
      <c r="E164" s="537"/>
      <c r="F164" s="537"/>
      <c r="G164" s="537"/>
      <c r="H164" s="537"/>
      <c r="I164" s="537"/>
      <c r="J164" s="537"/>
      <c r="K164" s="538"/>
    </row>
    <row r="165" spans="1:11" ht="23.25">
      <c r="A165" s="63" t="s">
        <v>116</v>
      </c>
      <c r="B165" s="531" t="s">
        <v>321</v>
      </c>
      <c r="C165" s="531"/>
      <c r="D165" s="531"/>
      <c r="E165" s="531"/>
      <c r="F165" s="531"/>
      <c r="G165" s="531"/>
      <c r="H165" s="531"/>
      <c r="I165" s="531"/>
      <c r="J165" s="531"/>
      <c r="K165" s="531"/>
    </row>
    <row r="166" spans="1:11" ht="22.5">
      <c r="A166" s="246" t="s">
        <v>148</v>
      </c>
      <c r="B166" s="528" t="s">
        <v>166</v>
      </c>
      <c r="C166" s="529"/>
      <c r="D166" s="529"/>
      <c r="E166" s="529"/>
      <c r="F166" s="529"/>
      <c r="G166" s="529"/>
      <c r="H166" s="529"/>
      <c r="I166" s="529"/>
      <c r="J166" s="529"/>
      <c r="K166" s="530"/>
    </row>
    <row r="167" spans="1:11" ht="22.5">
      <c r="A167" s="53" t="s">
        <v>121</v>
      </c>
      <c r="B167" s="250">
        <f>C167+F167+I167</f>
        <v>16126574.089599997</v>
      </c>
      <c r="C167" s="250">
        <f>D167+E167</f>
        <v>5194000</v>
      </c>
      <c r="D167" s="250">
        <f>'Додаток 3'!I151*1000</f>
        <v>5194000</v>
      </c>
      <c r="E167" s="250"/>
      <c r="F167" s="250">
        <f>G167+H167</f>
        <v>5234409.5999999987</v>
      </c>
      <c r="G167" s="250">
        <f>'Додаток 3'!J151*1000</f>
        <v>5234409.5999999987</v>
      </c>
      <c r="H167" s="250"/>
      <c r="I167" s="250">
        <f>J167+K167</f>
        <v>5698164.4896</v>
      </c>
      <c r="J167" s="250">
        <f>'Додаток 3'!K151*1000</f>
        <v>5698164.4896</v>
      </c>
      <c r="K167" s="258"/>
    </row>
    <row r="168" spans="1:11" ht="23.25">
      <c r="A168" s="53" t="s">
        <v>123</v>
      </c>
      <c r="B168" s="52"/>
      <c r="C168" s="50"/>
      <c r="D168" s="50"/>
      <c r="E168" s="50"/>
      <c r="F168" s="50"/>
      <c r="G168" s="50"/>
      <c r="H168" s="50"/>
      <c r="I168" s="50"/>
      <c r="J168" s="50"/>
      <c r="K168" s="49"/>
    </row>
    <row r="169" spans="1:11" ht="23.25">
      <c r="A169" s="64" t="s">
        <v>165</v>
      </c>
      <c r="B169" s="52"/>
      <c r="C169" s="50">
        <v>51807</v>
      </c>
      <c r="D169" s="50"/>
      <c r="E169" s="50"/>
      <c r="F169" s="50">
        <v>51807</v>
      </c>
      <c r="G169" s="50"/>
      <c r="H169" s="50"/>
      <c r="I169" s="50">
        <v>51807</v>
      </c>
      <c r="J169" s="50"/>
      <c r="K169" s="49"/>
    </row>
    <row r="170" spans="1:11" ht="23.25">
      <c r="A170" s="53" t="s">
        <v>124</v>
      </c>
      <c r="B170" s="52"/>
      <c r="C170" s="50"/>
      <c r="D170" s="50"/>
      <c r="E170" s="50"/>
      <c r="F170" s="50"/>
      <c r="G170" s="50"/>
      <c r="H170" s="50"/>
      <c r="I170" s="50"/>
      <c r="J170" s="50"/>
      <c r="K170" s="49"/>
    </row>
    <row r="171" spans="1:11" ht="23.25">
      <c r="A171" s="62" t="s">
        <v>322</v>
      </c>
      <c r="B171" s="52"/>
      <c r="C171" s="50">
        <f>C167/C169</f>
        <v>100.25672206458587</v>
      </c>
      <c r="D171" s="50"/>
      <c r="E171" s="50"/>
      <c r="F171" s="50">
        <f>F167/F169</f>
        <v>101.03672476692337</v>
      </c>
      <c r="G171" s="50"/>
      <c r="H171" s="50"/>
      <c r="I171" s="50">
        <f>I167/I169</f>
        <v>109.98831218947247</v>
      </c>
      <c r="J171" s="50"/>
      <c r="K171" s="49"/>
    </row>
    <row r="172" spans="1:11" ht="23.25">
      <c r="A172" s="63" t="s">
        <v>116</v>
      </c>
      <c r="B172" s="531" t="s">
        <v>323</v>
      </c>
      <c r="C172" s="531"/>
      <c r="D172" s="531"/>
      <c r="E172" s="531"/>
      <c r="F172" s="531"/>
      <c r="G172" s="531"/>
      <c r="H172" s="531"/>
      <c r="I172" s="531"/>
      <c r="J172" s="531"/>
      <c r="K172" s="531"/>
    </row>
    <row r="173" spans="1:11" ht="22.5">
      <c r="A173" s="246" t="s">
        <v>148</v>
      </c>
      <c r="B173" s="528" t="s">
        <v>166</v>
      </c>
      <c r="C173" s="529"/>
      <c r="D173" s="529"/>
      <c r="E173" s="529"/>
      <c r="F173" s="529"/>
      <c r="G173" s="529"/>
      <c r="H173" s="529"/>
      <c r="I173" s="529"/>
      <c r="J173" s="529"/>
      <c r="K173" s="530"/>
    </row>
    <row r="174" spans="1:11" ht="22.5">
      <c r="A174" s="53" t="s">
        <v>121</v>
      </c>
      <c r="B174" s="250">
        <f>C174+F174+I174</f>
        <v>2688952.3</v>
      </c>
      <c r="C174" s="250">
        <f>D174+E174</f>
        <v>833400.00000000012</v>
      </c>
      <c r="D174" s="250">
        <f>'Додаток 3'!I154*1000</f>
        <v>833400.00000000012</v>
      </c>
      <c r="E174" s="250"/>
      <c r="F174" s="250">
        <f>G174+H174</f>
        <v>900700</v>
      </c>
      <c r="G174" s="250">
        <f>'Додаток 3'!J154*1000</f>
        <v>900700</v>
      </c>
      <c r="H174" s="250"/>
      <c r="I174" s="250">
        <f>J174+K174</f>
        <v>954852.3</v>
      </c>
      <c r="J174" s="250">
        <f>'Додаток 3'!K154*1000</f>
        <v>954852.3</v>
      </c>
      <c r="K174" s="250"/>
    </row>
    <row r="175" spans="1:11" ht="23.25">
      <c r="A175" s="66" t="s">
        <v>395</v>
      </c>
      <c r="B175" s="250"/>
      <c r="C175" s="247">
        <v>665590</v>
      </c>
      <c r="D175" s="68"/>
      <c r="E175" s="259"/>
      <c r="F175" s="247">
        <f>C175*1.056</f>
        <v>702863.04</v>
      </c>
      <c r="G175" s="259"/>
      <c r="H175" s="259"/>
      <c r="I175" s="247">
        <f>F175*1.051</f>
        <v>738709.05504000001</v>
      </c>
      <c r="J175" s="250"/>
      <c r="K175" s="250"/>
    </row>
    <row r="176" spans="1:11" ht="46.5">
      <c r="A176" s="66" t="s">
        <v>396</v>
      </c>
      <c r="B176" s="250"/>
      <c r="C176" s="247">
        <v>155810</v>
      </c>
      <c r="D176" s="68"/>
      <c r="E176" s="259"/>
      <c r="F176" s="247">
        <f>C176*1.056</f>
        <v>164535.36000000002</v>
      </c>
      <c r="G176" s="259"/>
      <c r="H176" s="259"/>
      <c r="I176" s="247">
        <f>F176*1.051</f>
        <v>172926.66336000001</v>
      </c>
      <c r="J176" s="250"/>
      <c r="K176" s="250"/>
    </row>
    <row r="177" spans="1:11" ht="47.25" customHeight="1">
      <c r="A177" s="66" t="s">
        <v>397</v>
      </c>
      <c r="B177" s="250"/>
      <c r="C177" s="247">
        <v>12000</v>
      </c>
      <c r="D177" s="68"/>
      <c r="E177" s="259"/>
      <c r="F177" s="247">
        <f>C177*1.056</f>
        <v>12672</v>
      </c>
      <c r="G177" s="259"/>
      <c r="H177" s="259"/>
      <c r="I177" s="247">
        <f>F177*1.051</f>
        <v>13318.271999999999</v>
      </c>
      <c r="J177" s="250"/>
      <c r="K177" s="250"/>
    </row>
    <row r="178" spans="1:11" ht="23.25">
      <c r="A178" s="53" t="s">
        <v>123</v>
      </c>
      <c r="B178" s="52"/>
      <c r="C178" s="50"/>
      <c r="D178" s="50"/>
      <c r="E178" s="50"/>
      <c r="F178" s="50"/>
      <c r="G178" s="50"/>
      <c r="H178" s="50"/>
      <c r="I178" s="50"/>
      <c r="J178" s="50"/>
      <c r="K178" s="49"/>
    </row>
    <row r="179" spans="1:11" ht="23.25">
      <c r="A179" s="66" t="s">
        <v>167</v>
      </c>
      <c r="B179" s="52"/>
      <c r="C179" s="50">
        <v>60100</v>
      </c>
      <c r="D179" s="51"/>
      <c r="E179" s="50"/>
      <c r="F179" s="50">
        <v>60100</v>
      </c>
      <c r="G179" s="50"/>
      <c r="H179" s="50"/>
      <c r="I179" s="50">
        <v>60100</v>
      </c>
      <c r="J179" s="50"/>
      <c r="K179" s="49"/>
    </row>
    <row r="180" spans="1:11" ht="23.25">
      <c r="A180" s="66" t="s">
        <v>168</v>
      </c>
      <c r="B180" s="52"/>
      <c r="C180" s="50">
        <v>2250</v>
      </c>
      <c r="D180" s="51"/>
      <c r="E180" s="50"/>
      <c r="F180" s="50">
        <v>2250</v>
      </c>
      <c r="G180" s="50"/>
      <c r="H180" s="50"/>
      <c r="I180" s="50">
        <v>2250</v>
      </c>
      <c r="J180" s="50"/>
      <c r="K180" s="49"/>
    </row>
    <row r="181" spans="1:11" ht="23.25">
      <c r="A181" s="66" t="s">
        <v>169</v>
      </c>
      <c r="B181" s="52"/>
      <c r="C181" s="50">
        <v>150</v>
      </c>
      <c r="D181" s="51"/>
      <c r="E181" s="50"/>
      <c r="F181" s="50">
        <v>150</v>
      </c>
      <c r="G181" s="50"/>
      <c r="H181" s="50"/>
      <c r="I181" s="50">
        <v>150</v>
      </c>
      <c r="J181" s="50"/>
      <c r="K181" s="49"/>
    </row>
    <row r="182" spans="1:11" ht="23.25">
      <c r="A182" s="53" t="s">
        <v>124</v>
      </c>
      <c r="B182" s="52"/>
      <c r="C182" s="50"/>
      <c r="D182" s="50"/>
      <c r="E182" s="50"/>
      <c r="F182" s="50"/>
      <c r="G182" s="50"/>
      <c r="H182" s="50"/>
      <c r="I182" s="50"/>
      <c r="J182" s="50"/>
      <c r="K182" s="49"/>
    </row>
    <row r="183" spans="1:11" ht="23.25">
      <c r="A183" s="62" t="s">
        <v>170</v>
      </c>
      <c r="B183" s="52"/>
      <c r="C183" s="50">
        <f>C175/C179</f>
        <v>11.074708818635607</v>
      </c>
      <c r="D183" s="50"/>
      <c r="E183" s="50"/>
      <c r="F183" s="50">
        <f>F175/F179</f>
        <v>11.694892512479202</v>
      </c>
      <c r="G183" s="50"/>
      <c r="H183" s="50"/>
      <c r="I183" s="50">
        <f>I175/I179</f>
        <v>12.29133203061564</v>
      </c>
      <c r="J183" s="50"/>
      <c r="K183" s="49"/>
    </row>
    <row r="184" spans="1:11" ht="46.5">
      <c r="A184" s="62" t="s">
        <v>393</v>
      </c>
      <c r="B184" s="52"/>
      <c r="C184" s="50">
        <f>C176/C180</f>
        <v>69.248888888888885</v>
      </c>
      <c r="D184" s="50"/>
      <c r="E184" s="50"/>
      <c r="F184" s="50">
        <f>F176/F180</f>
        <v>73.126826666666673</v>
      </c>
      <c r="G184" s="50"/>
      <c r="H184" s="50"/>
      <c r="I184" s="50">
        <f>I176/I180</f>
        <v>76.856294826666669</v>
      </c>
      <c r="J184" s="50"/>
      <c r="K184" s="49"/>
    </row>
    <row r="185" spans="1:11" ht="46.5">
      <c r="A185" s="62" t="s">
        <v>394</v>
      </c>
      <c r="B185" s="52"/>
      <c r="C185" s="50">
        <f>C177/C181</f>
        <v>80</v>
      </c>
      <c r="D185" s="50"/>
      <c r="E185" s="50"/>
      <c r="F185" s="50">
        <f>F177/F181</f>
        <v>84.48</v>
      </c>
      <c r="G185" s="50"/>
      <c r="H185" s="50"/>
      <c r="I185" s="50">
        <f>I177/I181</f>
        <v>88.788479999999993</v>
      </c>
      <c r="J185" s="50"/>
      <c r="K185" s="49"/>
    </row>
    <row r="186" spans="1:11" ht="23.25">
      <c r="A186" s="63" t="s">
        <v>116</v>
      </c>
      <c r="B186" s="531" t="s">
        <v>324</v>
      </c>
      <c r="C186" s="531"/>
      <c r="D186" s="531"/>
      <c r="E186" s="531"/>
      <c r="F186" s="531"/>
      <c r="G186" s="531"/>
      <c r="H186" s="531"/>
      <c r="I186" s="531"/>
      <c r="J186" s="531"/>
      <c r="K186" s="531"/>
    </row>
    <row r="187" spans="1:11" ht="22.5">
      <c r="A187" s="246" t="s">
        <v>119</v>
      </c>
      <c r="B187" s="528" t="s">
        <v>163</v>
      </c>
      <c r="C187" s="529"/>
      <c r="D187" s="529"/>
      <c r="E187" s="529"/>
      <c r="F187" s="529"/>
      <c r="G187" s="529"/>
      <c r="H187" s="529"/>
      <c r="I187" s="529"/>
      <c r="J187" s="529"/>
      <c r="K187" s="530"/>
    </row>
    <row r="188" spans="1:11" ht="23.25">
      <c r="A188" s="53" t="s">
        <v>121</v>
      </c>
      <c r="B188" s="250">
        <f>C188+F188+I188</f>
        <v>900000</v>
      </c>
      <c r="C188" s="250">
        <f>D188+E188</f>
        <v>900000</v>
      </c>
      <c r="D188" s="242">
        <f>'Додаток 3'!I157*1000</f>
        <v>900000</v>
      </c>
      <c r="E188" s="250"/>
      <c r="F188" s="250">
        <f>G188+H188</f>
        <v>0</v>
      </c>
      <c r="G188" s="250">
        <f>'Додаток 3'!J157*1000</f>
        <v>0</v>
      </c>
      <c r="H188" s="250"/>
      <c r="I188" s="250">
        <f>J188+K188</f>
        <v>0</v>
      </c>
      <c r="J188" s="250">
        <f>'Додаток 3'!K157*1000</f>
        <v>0</v>
      </c>
      <c r="K188" s="250"/>
    </row>
    <row r="189" spans="1:11" ht="23.25">
      <c r="A189" s="53" t="s">
        <v>123</v>
      </c>
      <c r="B189" s="52"/>
      <c r="C189" s="50"/>
      <c r="D189" s="50"/>
      <c r="E189" s="50"/>
      <c r="F189" s="50"/>
      <c r="G189" s="50"/>
      <c r="H189" s="50"/>
      <c r="I189" s="50"/>
      <c r="J189" s="50"/>
      <c r="K189" s="49"/>
    </row>
    <row r="190" spans="1:11" ht="46.5">
      <c r="A190" s="66" t="s">
        <v>171</v>
      </c>
      <c r="B190" s="52"/>
      <c r="C190" s="50">
        <v>6</v>
      </c>
      <c r="D190" s="50"/>
      <c r="E190" s="50"/>
      <c r="F190" s="50">
        <v>6</v>
      </c>
      <c r="G190" s="50"/>
      <c r="H190" s="50"/>
      <c r="I190" s="50">
        <v>6</v>
      </c>
      <c r="J190" s="50"/>
      <c r="K190" s="49"/>
    </row>
    <row r="191" spans="1:11" ht="23.25">
      <c r="A191" s="53" t="s">
        <v>124</v>
      </c>
      <c r="B191" s="52"/>
      <c r="C191" s="50"/>
      <c r="D191" s="50"/>
      <c r="E191" s="50"/>
      <c r="F191" s="50"/>
      <c r="G191" s="50"/>
      <c r="H191" s="50"/>
      <c r="I191" s="50"/>
      <c r="J191" s="50"/>
      <c r="K191" s="49"/>
    </row>
    <row r="192" spans="1:11" ht="53.25" customHeight="1">
      <c r="A192" s="62" t="s">
        <v>398</v>
      </c>
      <c r="B192" s="52"/>
      <c r="C192" s="50">
        <f>C188/C190</f>
        <v>150000</v>
      </c>
      <c r="D192" s="50"/>
      <c r="E192" s="50"/>
      <c r="F192" s="50">
        <f t="shared" ref="F192:I192" si="12">F188/F190</f>
        <v>0</v>
      </c>
      <c r="G192" s="50"/>
      <c r="H192" s="50"/>
      <c r="I192" s="50">
        <f t="shared" si="12"/>
        <v>0</v>
      </c>
      <c r="J192" s="50"/>
      <c r="K192" s="49"/>
    </row>
    <row r="193" spans="1:11" ht="23.25">
      <c r="A193" s="63" t="s">
        <v>116</v>
      </c>
      <c r="B193" s="531" t="s">
        <v>325</v>
      </c>
      <c r="C193" s="531"/>
      <c r="D193" s="531"/>
      <c r="E193" s="531"/>
      <c r="F193" s="531"/>
      <c r="G193" s="531"/>
      <c r="H193" s="531"/>
      <c r="I193" s="531"/>
      <c r="J193" s="531"/>
      <c r="K193" s="531"/>
    </row>
    <row r="194" spans="1:11" ht="22.5">
      <c r="A194" s="246" t="s">
        <v>119</v>
      </c>
      <c r="B194" s="528" t="s">
        <v>163</v>
      </c>
      <c r="C194" s="529"/>
      <c r="D194" s="529"/>
      <c r="E194" s="529"/>
      <c r="F194" s="529"/>
      <c r="G194" s="529"/>
      <c r="H194" s="529"/>
      <c r="I194" s="529"/>
      <c r="J194" s="529"/>
      <c r="K194" s="530"/>
    </row>
    <row r="195" spans="1:11" ht="20.25" customHeight="1">
      <c r="A195" s="246" t="s">
        <v>161</v>
      </c>
      <c r="B195" s="528" t="s">
        <v>162</v>
      </c>
      <c r="C195" s="529"/>
      <c r="D195" s="529"/>
      <c r="E195" s="529"/>
      <c r="F195" s="529"/>
      <c r="G195" s="529"/>
      <c r="H195" s="529"/>
      <c r="I195" s="529"/>
      <c r="J195" s="529"/>
      <c r="K195" s="530"/>
    </row>
    <row r="196" spans="1:11" ht="22.5">
      <c r="A196" s="53" t="s">
        <v>121</v>
      </c>
      <c r="B196" s="250">
        <f>C196+F196+I196</f>
        <v>25082925.910400003</v>
      </c>
      <c r="C196" s="250">
        <f>D196+E196</f>
        <v>7490900</v>
      </c>
      <c r="D196" s="250">
        <f>'Додаток 3'!I158*1000</f>
        <v>7490900</v>
      </c>
      <c r="E196" s="250"/>
      <c r="F196" s="250">
        <f>G196+H196</f>
        <v>8565590.4000000004</v>
      </c>
      <c r="G196" s="250">
        <f>'Додаток 3'!J158*1000</f>
        <v>8565590.4000000004</v>
      </c>
      <c r="H196" s="250"/>
      <c r="I196" s="250">
        <f>J196+K196</f>
        <v>9026435.510400001</v>
      </c>
      <c r="J196" s="250">
        <f>'Додаток 3'!K158*1000</f>
        <v>9026435.510400001</v>
      </c>
      <c r="K196" s="250"/>
    </row>
    <row r="197" spans="1:11" ht="23.25">
      <c r="A197" s="53" t="s">
        <v>123</v>
      </c>
      <c r="B197" s="52"/>
      <c r="C197" s="50"/>
      <c r="D197" s="50"/>
      <c r="E197" s="50"/>
      <c r="F197" s="50"/>
      <c r="G197" s="50"/>
      <c r="H197" s="50"/>
      <c r="I197" s="50"/>
      <c r="J197" s="50"/>
      <c r="K197" s="49"/>
    </row>
    <row r="198" spans="1:11" ht="46.5">
      <c r="A198" s="66" t="s">
        <v>172</v>
      </c>
      <c r="B198" s="52"/>
      <c r="C198" s="50">
        <v>39</v>
      </c>
      <c r="D198" s="50"/>
      <c r="E198" s="50"/>
      <c r="F198" s="50">
        <v>39</v>
      </c>
      <c r="G198" s="50"/>
      <c r="H198" s="50"/>
      <c r="I198" s="50">
        <v>39</v>
      </c>
      <c r="J198" s="50"/>
      <c r="K198" s="49"/>
    </row>
    <row r="199" spans="1:11" ht="23.25">
      <c r="A199" s="53" t="s">
        <v>124</v>
      </c>
      <c r="B199" s="52"/>
      <c r="C199" s="50"/>
      <c r="D199" s="50"/>
      <c r="E199" s="50"/>
      <c r="F199" s="50"/>
      <c r="G199" s="50"/>
      <c r="H199" s="50"/>
      <c r="I199" s="50"/>
      <c r="J199" s="50"/>
      <c r="K199" s="49"/>
    </row>
    <row r="200" spans="1:11" ht="69.75" customHeight="1">
      <c r="A200" s="62" t="s">
        <v>173</v>
      </c>
      <c r="B200" s="52"/>
      <c r="C200" s="50">
        <f>C196/C198</f>
        <v>192074.35897435897</v>
      </c>
      <c r="D200" s="50"/>
      <c r="E200" s="50"/>
      <c r="F200" s="50">
        <f t="shared" ref="F200:I200" si="13">F196/F198</f>
        <v>219630.5230769231</v>
      </c>
      <c r="G200" s="50"/>
      <c r="H200" s="50"/>
      <c r="I200" s="50">
        <f t="shared" si="13"/>
        <v>231447.06436923079</v>
      </c>
      <c r="J200" s="50"/>
      <c r="K200" s="49"/>
    </row>
    <row r="201" spans="1:11" ht="23.25">
      <c r="A201" s="63" t="s">
        <v>116</v>
      </c>
      <c r="B201" s="531" t="s">
        <v>326</v>
      </c>
      <c r="C201" s="531"/>
      <c r="D201" s="531"/>
      <c r="E201" s="531"/>
      <c r="F201" s="531"/>
      <c r="G201" s="531"/>
      <c r="H201" s="531"/>
      <c r="I201" s="531"/>
      <c r="J201" s="531"/>
      <c r="K201" s="531"/>
    </row>
    <row r="202" spans="1:11" ht="22.5">
      <c r="A202" s="246" t="s">
        <v>119</v>
      </c>
      <c r="B202" s="528" t="s">
        <v>163</v>
      </c>
      <c r="C202" s="529"/>
      <c r="D202" s="529"/>
      <c r="E202" s="529"/>
      <c r="F202" s="529"/>
      <c r="G202" s="529"/>
      <c r="H202" s="529"/>
      <c r="I202" s="529"/>
      <c r="J202" s="529"/>
      <c r="K202" s="530"/>
    </row>
    <row r="203" spans="1:11" ht="22.5">
      <c r="A203" s="53" t="s">
        <v>121</v>
      </c>
      <c r="B203" s="250">
        <f>C203+F203+I203</f>
        <v>420000</v>
      </c>
      <c r="C203" s="250">
        <f>D203+E203</f>
        <v>420000</v>
      </c>
      <c r="D203" s="250">
        <f>'Додаток 3'!I162*1000</f>
        <v>420000</v>
      </c>
      <c r="E203" s="250"/>
      <c r="F203" s="250">
        <f>G203+H203</f>
        <v>0</v>
      </c>
      <c r="G203" s="250">
        <f>'Додаток 3'!J162*1000</f>
        <v>0</v>
      </c>
      <c r="H203" s="250"/>
      <c r="I203" s="250">
        <f>J203+K203</f>
        <v>0</v>
      </c>
      <c r="J203" s="250">
        <f>'Додаток 3'!K162*1000</f>
        <v>0</v>
      </c>
      <c r="K203" s="250"/>
    </row>
    <row r="204" spans="1:11" ht="23.25">
      <c r="A204" s="53" t="s">
        <v>123</v>
      </c>
      <c r="B204" s="52"/>
      <c r="C204" s="50"/>
      <c r="D204" s="50"/>
      <c r="E204" s="50"/>
      <c r="F204" s="50"/>
      <c r="G204" s="50"/>
      <c r="H204" s="50"/>
      <c r="I204" s="50"/>
      <c r="J204" s="50"/>
      <c r="K204" s="49"/>
    </row>
    <row r="205" spans="1:11" ht="46.5">
      <c r="A205" s="66" t="s">
        <v>327</v>
      </c>
      <c r="B205" s="52"/>
      <c r="C205" s="50">
        <v>2</v>
      </c>
      <c r="D205" s="50"/>
      <c r="E205" s="50"/>
      <c r="F205" s="50">
        <v>2</v>
      </c>
      <c r="G205" s="50"/>
      <c r="H205" s="50"/>
      <c r="I205" s="50">
        <v>2</v>
      </c>
      <c r="J205" s="50"/>
      <c r="K205" s="49"/>
    </row>
    <row r="206" spans="1:11" ht="23.25">
      <c r="A206" s="53" t="s">
        <v>124</v>
      </c>
      <c r="B206" s="52"/>
      <c r="C206" s="50"/>
      <c r="D206" s="50"/>
      <c r="E206" s="50"/>
      <c r="F206" s="50"/>
      <c r="G206" s="50"/>
      <c r="H206" s="50"/>
      <c r="I206" s="50"/>
      <c r="J206" s="50"/>
      <c r="K206" s="49"/>
    </row>
    <row r="207" spans="1:11" ht="69.75">
      <c r="A207" s="62" t="s">
        <v>174</v>
      </c>
      <c r="B207" s="52"/>
      <c r="C207" s="50">
        <f>C203/C205</f>
        <v>210000</v>
      </c>
      <c r="D207" s="50"/>
      <c r="E207" s="50"/>
      <c r="F207" s="50">
        <f t="shared" ref="F207" si="14">F203/F205</f>
        <v>0</v>
      </c>
      <c r="G207" s="50"/>
      <c r="H207" s="50"/>
      <c r="I207" s="50">
        <f t="shared" ref="I207" si="15">I203/I205</f>
        <v>0</v>
      </c>
      <c r="J207" s="50"/>
      <c r="K207" s="49"/>
    </row>
    <row r="208" spans="1:11" ht="23.25">
      <c r="A208" s="63" t="s">
        <v>116</v>
      </c>
      <c r="B208" s="531" t="s">
        <v>57</v>
      </c>
      <c r="C208" s="531"/>
      <c r="D208" s="531"/>
      <c r="E208" s="531"/>
      <c r="F208" s="531"/>
      <c r="G208" s="531"/>
      <c r="H208" s="531"/>
      <c r="I208" s="531"/>
      <c r="J208" s="531"/>
      <c r="K208" s="531"/>
    </row>
    <row r="209" spans="1:12" ht="22.5">
      <c r="A209" s="246" t="s">
        <v>148</v>
      </c>
      <c r="B209" s="528" t="s">
        <v>166</v>
      </c>
      <c r="C209" s="529"/>
      <c r="D209" s="529"/>
      <c r="E209" s="529"/>
      <c r="F209" s="529"/>
      <c r="G209" s="529"/>
      <c r="H209" s="529"/>
      <c r="I209" s="529"/>
      <c r="J209" s="529"/>
      <c r="K209" s="530"/>
    </row>
    <row r="210" spans="1:12" ht="23.25">
      <c r="A210" s="53" t="s">
        <v>121</v>
      </c>
      <c r="B210" s="250">
        <f>C210+F210+I210</f>
        <v>5857500</v>
      </c>
      <c r="C210" s="250">
        <f>D210+E210</f>
        <v>1920900</v>
      </c>
      <c r="D210" s="242">
        <f>'Додаток 3'!I163*1000</f>
        <v>1920900</v>
      </c>
      <c r="E210" s="250"/>
      <c r="F210" s="250">
        <f>G210+H210</f>
        <v>1906600</v>
      </c>
      <c r="G210" s="250">
        <f>'Додаток 3'!J163*1000</f>
        <v>1906600</v>
      </c>
      <c r="H210" s="250"/>
      <c r="I210" s="250">
        <f>J210+K210</f>
        <v>2030000</v>
      </c>
      <c r="J210" s="250">
        <f>'Додаток 3'!K163*1000</f>
        <v>2030000</v>
      </c>
      <c r="K210" s="251"/>
    </row>
    <row r="211" spans="1:12" ht="23.25">
      <c r="A211" s="53" t="s">
        <v>123</v>
      </c>
      <c r="B211" s="52"/>
      <c r="C211" s="50"/>
      <c r="D211" s="50"/>
      <c r="E211" s="50"/>
      <c r="F211" s="50"/>
      <c r="G211" s="50"/>
      <c r="H211" s="50"/>
      <c r="I211" s="50"/>
      <c r="J211" s="50"/>
      <c r="K211" s="49"/>
    </row>
    <row r="212" spans="1:12" ht="46.5">
      <c r="A212" s="66" t="s">
        <v>175</v>
      </c>
      <c r="B212" s="52"/>
      <c r="C212" s="50">
        <v>8805</v>
      </c>
      <c r="D212" s="50"/>
      <c r="E212" s="50"/>
      <c r="F212" s="50">
        <f>C212</f>
        <v>8805</v>
      </c>
      <c r="G212" s="50"/>
      <c r="H212" s="50"/>
      <c r="I212" s="50">
        <f>F212</f>
        <v>8805</v>
      </c>
      <c r="J212" s="50"/>
      <c r="K212" s="49"/>
    </row>
    <row r="213" spans="1:12" ht="54.75" customHeight="1">
      <c r="A213" s="66" t="s">
        <v>176</v>
      </c>
      <c r="B213" s="52"/>
      <c r="C213" s="50">
        <v>749</v>
      </c>
      <c r="D213" s="50"/>
      <c r="E213" s="50"/>
      <c r="F213" s="50">
        <v>749</v>
      </c>
      <c r="G213" s="50"/>
      <c r="H213" s="50"/>
      <c r="I213" s="50">
        <v>749</v>
      </c>
      <c r="J213" s="50"/>
      <c r="K213" s="49"/>
    </row>
    <row r="214" spans="1:12" ht="23.25">
      <c r="A214" s="53" t="s">
        <v>124</v>
      </c>
      <c r="B214" s="52"/>
      <c r="C214" s="50"/>
      <c r="D214" s="50"/>
      <c r="E214" s="50"/>
      <c r="F214" s="50"/>
      <c r="G214" s="50"/>
      <c r="H214" s="50"/>
      <c r="I214" s="50"/>
      <c r="J214" s="50"/>
      <c r="K214" s="49"/>
    </row>
    <row r="215" spans="1:12" ht="24" customHeight="1">
      <c r="A215" s="62" t="s">
        <v>177</v>
      </c>
      <c r="B215" s="52"/>
      <c r="C215" s="50">
        <f>C210/C213</f>
        <v>2564.619492656876</v>
      </c>
      <c r="D215" s="50"/>
      <c r="E215" s="50"/>
      <c r="F215" s="50">
        <f>F210/F213</f>
        <v>2545.5273698264355</v>
      </c>
      <c r="G215" s="50"/>
      <c r="H215" s="50"/>
      <c r="I215" s="50">
        <f>I210/I213</f>
        <v>2710.2803738317757</v>
      </c>
      <c r="J215" s="50"/>
      <c r="K215" s="49"/>
    </row>
    <row r="216" spans="1:12" ht="69.75">
      <c r="A216" s="62" t="s">
        <v>178</v>
      </c>
      <c r="B216" s="52"/>
      <c r="C216" s="50">
        <f>C213/C212*100</f>
        <v>8.5065303804656445</v>
      </c>
      <c r="D216" s="50"/>
      <c r="E216" s="50"/>
      <c r="F216" s="50">
        <f t="shared" ref="F216:I216" si="16">F213/F212*100</f>
        <v>8.5065303804656445</v>
      </c>
      <c r="G216" s="50"/>
      <c r="H216" s="50"/>
      <c r="I216" s="50">
        <f t="shared" si="16"/>
        <v>8.5065303804656445</v>
      </c>
      <c r="J216" s="50"/>
      <c r="K216" s="49"/>
    </row>
    <row r="217" spans="1:12" ht="23.25">
      <c r="A217" s="63" t="s">
        <v>116</v>
      </c>
      <c r="B217" s="531" t="s">
        <v>328</v>
      </c>
      <c r="C217" s="531"/>
      <c r="D217" s="531"/>
      <c r="E217" s="531"/>
      <c r="F217" s="531"/>
      <c r="G217" s="531"/>
      <c r="H217" s="531"/>
      <c r="I217" s="531"/>
      <c r="J217" s="531"/>
      <c r="K217" s="531"/>
    </row>
    <row r="218" spans="1:12" ht="22.5">
      <c r="A218" s="246" t="s">
        <v>119</v>
      </c>
      <c r="B218" s="528" t="s">
        <v>163</v>
      </c>
      <c r="C218" s="529"/>
      <c r="D218" s="529"/>
      <c r="E218" s="529"/>
      <c r="F218" s="529"/>
      <c r="G218" s="529"/>
      <c r="H218" s="529"/>
      <c r="I218" s="529"/>
      <c r="J218" s="529"/>
      <c r="K218" s="530"/>
    </row>
    <row r="219" spans="1:12" ht="23.25">
      <c r="A219" s="53" t="s">
        <v>121</v>
      </c>
      <c r="B219" s="250">
        <f>C219+F219+I219</f>
        <v>533400</v>
      </c>
      <c r="C219" s="250">
        <f>D219+E219</f>
        <v>120000</v>
      </c>
      <c r="D219" s="242">
        <f>'Додаток 3'!I166*1000</f>
        <v>120000</v>
      </c>
      <c r="E219" s="250"/>
      <c r="F219" s="250">
        <f>G219+H219</f>
        <v>200000</v>
      </c>
      <c r="G219" s="250">
        <f>'Додаток 3'!J166*1000</f>
        <v>200000</v>
      </c>
      <c r="H219" s="250"/>
      <c r="I219" s="250">
        <f>J219+K219</f>
        <v>213400</v>
      </c>
      <c r="J219" s="250">
        <f>'Додаток 3'!K166*1000</f>
        <v>213400</v>
      </c>
      <c r="K219" s="250"/>
      <c r="L219" s="104"/>
    </row>
    <row r="220" spans="1:12" ht="23.25">
      <c r="A220" s="53" t="s">
        <v>123</v>
      </c>
      <c r="B220" s="250"/>
      <c r="C220" s="251"/>
      <c r="D220" s="63"/>
      <c r="E220" s="251"/>
      <c r="F220" s="251"/>
      <c r="G220" s="251"/>
      <c r="H220" s="251"/>
      <c r="I220" s="251"/>
      <c r="J220" s="251"/>
      <c r="K220" s="250"/>
    </row>
    <row r="221" spans="1:12" ht="46.5">
      <c r="A221" s="66" t="s">
        <v>329</v>
      </c>
      <c r="B221" s="250"/>
      <c r="C221" s="247">
        <v>250</v>
      </c>
      <c r="D221" s="247"/>
      <c r="E221" s="247"/>
      <c r="F221" s="247">
        <v>250</v>
      </c>
      <c r="G221" s="247"/>
      <c r="H221" s="247"/>
      <c r="I221" s="247">
        <v>250</v>
      </c>
      <c r="J221" s="63"/>
      <c r="K221" s="250"/>
    </row>
    <row r="222" spans="1:12" ht="23.25" hidden="1">
      <c r="A222" s="53" t="s">
        <v>123</v>
      </c>
      <c r="B222" s="52"/>
      <c r="C222" s="50"/>
      <c r="D222" s="50"/>
      <c r="E222" s="50"/>
      <c r="F222" s="50"/>
      <c r="G222" s="50"/>
      <c r="H222" s="50"/>
      <c r="I222" s="50"/>
      <c r="J222" s="50"/>
      <c r="K222" s="49"/>
    </row>
    <row r="223" spans="1:12" ht="23.25" hidden="1">
      <c r="A223" s="64" t="s">
        <v>122</v>
      </c>
      <c r="B223" s="52"/>
      <c r="C223" s="50">
        <v>1</v>
      </c>
      <c r="D223" s="50"/>
      <c r="E223" s="50"/>
      <c r="F223" s="50">
        <f>C223</f>
        <v>1</v>
      </c>
      <c r="G223" s="50"/>
      <c r="H223" s="50"/>
      <c r="I223" s="50">
        <f>F223</f>
        <v>1</v>
      </c>
      <c r="J223" s="50"/>
      <c r="K223" s="49"/>
    </row>
    <row r="224" spans="1:12" ht="46.5" hidden="1">
      <c r="A224" s="66" t="s">
        <v>179</v>
      </c>
      <c r="B224" s="52"/>
      <c r="C224" s="50"/>
      <c r="D224" s="50"/>
      <c r="E224" s="50"/>
      <c r="F224" s="50"/>
      <c r="G224" s="50"/>
      <c r="H224" s="50"/>
      <c r="I224" s="50"/>
      <c r="J224" s="50"/>
      <c r="K224" s="49"/>
    </row>
    <row r="225" spans="1:11" ht="23.25" hidden="1">
      <c r="A225" s="53" t="s">
        <v>124</v>
      </c>
      <c r="B225" s="52"/>
      <c r="C225" s="50"/>
      <c r="D225" s="50"/>
      <c r="E225" s="50"/>
      <c r="F225" s="50"/>
      <c r="G225" s="50"/>
      <c r="H225" s="50"/>
      <c r="I225" s="50"/>
      <c r="J225" s="50"/>
      <c r="K225" s="49"/>
    </row>
    <row r="226" spans="1:11" ht="18" hidden="1" customHeight="1">
      <c r="A226" s="62" t="s">
        <v>180</v>
      </c>
      <c r="B226" s="52"/>
      <c r="C226" s="50" t="e">
        <f>C219/C224</f>
        <v>#DIV/0!</v>
      </c>
      <c r="D226" s="50"/>
      <c r="E226" s="50"/>
      <c r="F226" s="50"/>
      <c r="G226" s="50"/>
      <c r="H226" s="50"/>
      <c r="I226" s="50"/>
      <c r="J226" s="50"/>
      <c r="K226" s="49"/>
    </row>
    <row r="227" spans="1:11" ht="17.25" hidden="1" customHeight="1">
      <c r="A227" s="70" t="s">
        <v>125</v>
      </c>
      <c r="B227" s="52"/>
      <c r="C227" s="50"/>
      <c r="D227" s="50"/>
      <c r="E227" s="50"/>
      <c r="F227" s="50"/>
      <c r="G227" s="50"/>
      <c r="H227" s="50"/>
      <c r="I227" s="50"/>
      <c r="J227" s="50"/>
      <c r="K227" s="49"/>
    </row>
    <row r="228" spans="1:11" ht="46.5" hidden="1">
      <c r="A228" s="62" t="s">
        <v>181</v>
      </c>
      <c r="B228" s="52"/>
      <c r="C228" s="50">
        <f>C224/C221*100</f>
        <v>0</v>
      </c>
      <c r="D228" s="50"/>
      <c r="E228" s="50"/>
      <c r="F228" s="50"/>
      <c r="G228" s="50"/>
      <c r="H228" s="50"/>
      <c r="I228" s="50"/>
      <c r="J228" s="50"/>
      <c r="K228" s="49"/>
    </row>
    <row r="229" spans="1:11" ht="46.5">
      <c r="A229" s="62" t="s">
        <v>179</v>
      </c>
      <c r="B229" s="52"/>
      <c r="C229" s="50">
        <v>43</v>
      </c>
      <c r="D229" s="50"/>
      <c r="E229" s="50"/>
      <c r="F229" s="50">
        <v>70</v>
      </c>
      <c r="G229" s="50"/>
      <c r="H229" s="50"/>
      <c r="I229" s="50">
        <v>70</v>
      </c>
      <c r="J229" s="50"/>
      <c r="K229" s="49"/>
    </row>
    <row r="230" spans="1:11" ht="23.25">
      <c r="A230" s="53" t="s">
        <v>124</v>
      </c>
      <c r="B230" s="52"/>
      <c r="C230" s="50"/>
      <c r="D230" s="50"/>
      <c r="E230" s="50"/>
      <c r="F230" s="50"/>
      <c r="G230" s="50"/>
      <c r="H230" s="50"/>
      <c r="I230" s="50"/>
      <c r="J230" s="50"/>
      <c r="K230" s="49"/>
    </row>
    <row r="231" spans="1:11" ht="46.5">
      <c r="A231" s="61" t="s">
        <v>330</v>
      </c>
      <c r="B231" s="52"/>
      <c r="C231" s="50">
        <f>C219/C229</f>
        <v>2790.6976744186045</v>
      </c>
      <c r="D231" s="50"/>
      <c r="E231" s="50"/>
      <c r="F231" s="50">
        <f t="shared" ref="F231:I231" si="17">F219/F229</f>
        <v>2857.1428571428573</v>
      </c>
      <c r="G231" s="50"/>
      <c r="H231" s="50"/>
      <c r="I231" s="50">
        <f t="shared" si="17"/>
        <v>3048.5714285714284</v>
      </c>
      <c r="J231" s="50"/>
      <c r="K231" s="49"/>
    </row>
    <row r="232" spans="1:11" ht="47.25" customHeight="1">
      <c r="A232" s="62" t="s">
        <v>181</v>
      </c>
      <c r="B232" s="52"/>
      <c r="C232" s="50">
        <f>C229/C221*100</f>
        <v>17.2</v>
      </c>
      <c r="D232" s="50"/>
      <c r="E232" s="50"/>
      <c r="F232" s="50">
        <f t="shared" ref="F232:I232" si="18">F229/F221*100</f>
        <v>28.000000000000004</v>
      </c>
      <c r="G232" s="50"/>
      <c r="H232" s="50"/>
      <c r="I232" s="50">
        <f t="shared" si="18"/>
        <v>28.000000000000004</v>
      </c>
      <c r="J232" s="50"/>
      <c r="K232" s="49"/>
    </row>
    <row r="233" spans="1:11" ht="23.25">
      <c r="A233" s="63" t="s">
        <v>116</v>
      </c>
      <c r="B233" s="531" t="s">
        <v>331</v>
      </c>
      <c r="C233" s="531"/>
      <c r="D233" s="531"/>
      <c r="E233" s="531"/>
      <c r="F233" s="531"/>
      <c r="G233" s="531"/>
      <c r="H233" s="531"/>
      <c r="I233" s="531"/>
      <c r="J233" s="531"/>
      <c r="K233" s="531"/>
    </row>
    <row r="234" spans="1:11" ht="22.5">
      <c r="A234" s="246" t="s">
        <v>188</v>
      </c>
      <c r="B234" s="528" t="s">
        <v>189</v>
      </c>
      <c r="C234" s="529"/>
      <c r="D234" s="529"/>
      <c r="E234" s="529"/>
      <c r="F234" s="529"/>
      <c r="G234" s="529"/>
      <c r="H234" s="529"/>
      <c r="I234" s="529"/>
      <c r="J234" s="529"/>
      <c r="K234" s="530"/>
    </row>
    <row r="235" spans="1:11" ht="21.75" customHeight="1">
      <c r="A235" s="53" t="s">
        <v>121</v>
      </c>
      <c r="B235" s="250">
        <f>C235+F235+I235</f>
        <v>11499719.000000002</v>
      </c>
      <c r="C235" s="250">
        <f>D235+E235</f>
        <v>11499719.000000002</v>
      </c>
      <c r="D235" s="242">
        <f>'Додаток 3'!I167*1000</f>
        <v>11499719.000000002</v>
      </c>
      <c r="E235" s="250"/>
      <c r="F235" s="250"/>
      <c r="G235" s="250"/>
      <c r="H235" s="250"/>
      <c r="I235" s="250"/>
      <c r="J235" s="250"/>
      <c r="K235" s="250"/>
    </row>
    <row r="236" spans="1:11" ht="48" customHeight="1">
      <c r="A236" s="61" t="s">
        <v>349</v>
      </c>
      <c r="B236" s="250"/>
      <c r="C236" s="247">
        <v>10532673</v>
      </c>
      <c r="D236" s="63"/>
      <c r="E236" s="250"/>
      <c r="F236" s="250"/>
      <c r="G236" s="250"/>
      <c r="H236" s="250"/>
      <c r="I236" s="250"/>
      <c r="J236" s="250"/>
      <c r="K236" s="250"/>
    </row>
    <row r="237" spans="1:11" ht="23.25">
      <c r="A237" s="53" t="s">
        <v>123</v>
      </c>
      <c r="B237" s="52"/>
      <c r="C237" s="50"/>
      <c r="D237" s="50"/>
      <c r="E237" s="50"/>
      <c r="F237" s="50"/>
      <c r="G237" s="50"/>
      <c r="H237" s="50"/>
      <c r="I237" s="50"/>
      <c r="J237" s="50"/>
      <c r="K237" s="49"/>
    </row>
    <row r="238" spans="1:11" ht="48.75" customHeight="1">
      <c r="A238" s="66" t="s">
        <v>190</v>
      </c>
      <c r="B238" s="52"/>
      <c r="C238" s="50">
        <v>1492</v>
      </c>
      <c r="D238" s="50"/>
      <c r="E238" s="50"/>
      <c r="F238" s="50"/>
      <c r="G238" s="50"/>
      <c r="H238" s="50"/>
      <c r="I238" s="50"/>
      <c r="J238" s="50"/>
      <c r="K238" s="49"/>
    </row>
    <row r="239" spans="1:11" ht="23.25">
      <c r="A239" s="53" t="s">
        <v>124</v>
      </c>
      <c r="B239" s="52"/>
      <c r="C239" s="50"/>
      <c r="D239" s="50"/>
      <c r="E239" s="50"/>
      <c r="F239" s="50"/>
      <c r="G239" s="50"/>
      <c r="H239" s="50"/>
      <c r="I239" s="50"/>
      <c r="J239" s="50"/>
      <c r="K239" s="49"/>
    </row>
    <row r="240" spans="1:11" ht="69.75">
      <c r="A240" s="249" t="s">
        <v>191</v>
      </c>
      <c r="B240" s="52"/>
      <c r="C240" s="50">
        <f>C235/C238</f>
        <v>7707.5864611260067</v>
      </c>
      <c r="D240" s="50"/>
      <c r="E240" s="50"/>
      <c r="F240" s="50"/>
      <c r="G240" s="50"/>
      <c r="H240" s="50"/>
      <c r="I240" s="50"/>
      <c r="J240" s="50"/>
      <c r="K240" s="49"/>
    </row>
    <row r="241" spans="1:11" ht="42.75" customHeight="1">
      <c r="A241" s="63" t="s">
        <v>116</v>
      </c>
      <c r="B241" s="532" t="s">
        <v>404</v>
      </c>
      <c r="C241" s="533"/>
      <c r="D241" s="533"/>
      <c r="E241" s="533"/>
      <c r="F241" s="533"/>
      <c r="G241" s="533"/>
      <c r="H241" s="533"/>
      <c r="I241" s="533"/>
      <c r="J241" s="533"/>
      <c r="K241" s="534"/>
    </row>
    <row r="242" spans="1:11" ht="20.25" customHeight="1">
      <c r="A242" s="246" t="s">
        <v>119</v>
      </c>
      <c r="B242" s="528" t="s">
        <v>120</v>
      </c>
      <c r="C242" s="529"/>
      <c r="D242" s="529"/>
      <c r="E242" s="529"/>
      <c r="F242" s="529"/>
      <c r="G242" s="529"/>
      <c r="H242" s="529"/>
      <c r="I242" s="529"/>
      <c r="J242" s="529"/>
      <c r="K242" s="530"/>
    </row>
    <row r="243" spans="1:11" ht="22.5">
      <c r="A243" s="53" t="s">
        <v>121</v>
      </c>
      <c r="B243" s="53">
        <f>C243+F243+I243</f>
        <v>2915160</v>
      </c>
      <c r="C243" s="53">
        <f>D243+E243</f>
        <v>789510</v>
      </c>
      <c r="D243" s="53">
        <f>'Додаток 3'!I171*1000</f>
        <v>789510</v>
      </c>
      <c r="E243" s="53"/>
      <c r="F243" s="53">
        <f>G243+H243</f>
        <v>1030300</v>
      </c>
      <c r="G243" s="53">
        <f>'Додаток 3'!J171*1000</f>
        <v>1030300</v>
      </c>
      <c r="H243" s="53"/>
      <c r="I243" s="53">
        <f>J243+K243</f>
        <v>1095350</v>
      </c>
      <c r="J243" s="53">
        <f>'Додаток 3'!K171*1000</f>
        <v>1095350</v>
      </c>
      <c r="K243" s="248"/>
    </row>
    <row r="244" spans="1:11" ht="23.25">
      <c r="A244" s="53" t="s">
        <v>123</v>
      </c>
      <c r="B244" s="52"/>
      <c r="C244" s="50"/>
      <c r="D244" s="50"/>
      <c r="E244" s="50"/>
      <c r="F244" s="50"/>
      <c r="G244" s="50"/>
      <c r="H244" s="50"/>
      <c r="I244" s="50"/>
      <c r="J244" s="50"/>
      <c r="K244" s="49"/>
    </row>
    <row r="245" spans="1:11" ht="23.25">
      <c r="A245" s="64" t="s">
        <v>130</v>
      </c>
      <c r="B245" s="52"/>
      <c r="C245" s="50">
        <v>38</v>
      </c>
      <c r="D245" s="50"/>
      <c r="E245" s="50"/>
      <c r="F245" s="50">
        <v>38</v>
      </c>
      <c r="G245" s="50"/>
      <c r="H245" s="50"/>
      <c r="I245" s="50">
        <v>38</v>
      </c>
      <c r="J245" s="50"/>
      <c r="K245" s="49"/>
    </row>
    <row r="246" spans="1:11" ht="23.25">
      <c r="A246" s="53" t="s">
        <v>124</v>
      </c>
      <c r="B246" s="52"/>
      <c r="C246" s="50"/>
      <c r="D246" s="50"/>
      <c r="E246" s="50"/>
      <c r="F246" s="50"/>
      <c r="G246" s="50"/>
      <c r="H246" s="50"/>
      <c r="I246" s="50"/>
      <c r="J246" s="50"/>
      <c r="K246" s="49"/>
    </row>
    <row r="247" spans="1:11" ht="51.75" customHeight="1">
      <c r="A247" s="64" t="s">
        <v>399</v>
      </c>
      <c r="B247" s="52"/>
      <c r="C247" s="50">
        <f>C243/C245/12</f>
        <v>1731.3815789473683</v>
      </c>
      <c r="D247" s="50"/>
      <c r="E247" s="50"/>
      <c r="F247" s="50">
        <f>F243/F245/12</f>
        <v>2259.4298245614036</v>
      </c>
      <c r="G247" s="50"/>
      <c r="H247" s="50"/>
      <c r="I247" s="50">
        <f>I243/I245/12</f>
        <v>2402.0833333333335</v>
      </c>
      <c r="J247" s="50"/>
      <c r="K247" s="49"/>
    </row>
    <row r="248" spans="1:11" ht="22.5">
      <c r="A248" s="535" t="s">
        <v>412</v>
      </c>
      <c r="B248" s="535"/>
      <c r="C248" s="535"/>
      <c r="D248" s="535"/>
      <c r="E248" s="535"/>
      <c r="F248" s="535"/>
      <c r="G248" s="535"/>
      <c r="H248" s="535"/>
      <c r="I248" s="535"/>
      <c r="J248" s="535"/>
      <c r="K248" s="535"/>
    </row>
    <row r="249" spans="1:11" ht="22.5">
      <c r="A249" s="59" t="s">
        <v>117</v>
      </c>
      <c r="B249" s="48">
        <f t="shared" ref="B249:K249" si="19">B253+B270+B277+B285+B263</f>
        <v>28266090</v>
      </c>
      <c r="C249" s="48">
        <f t="shared" si="19"/>
        <v>22229090</v>
      </c>
      <c r="D249" s="48">
        <f t="shared" si="19"/>
        <v>22229090</v>
      </c>
      <c r="E249" s="48">
        <f t="shared" si="19"/>
        <v>0</v>
      </c>
      <c r="F249" s="48">
        <f t="shared" si="19"/>
        <v>3049300</v>
      </c>
      <c r="G249" s="48">
        <f t="shared" si="19"/>
        <v>3049300</v>
      </c>
      <c r="H249" s="48">
        <f t="shared" si="19"/>
        <v>0</v>
      </c>
      <c r="I249" s="48">
        <f t="shared" si="19"/>
        <v>2987700</v>
      </c>
      <c r="J249" s="48">
        <f t="shared" si="19"/>
        <v>2987700</v>
      </c>
      <c r="K249" s="48">
        <f t="shared" si="19"/>
        <v>0</v>
      </c>
    </row>
    <row r="250" spans="1:11" ht="22.5">
      <c r="A250" s="59" t="s">
        <v>118</v>
      </c>
      <c r="B250" s="536"/>
      <c r="C250" s="537"/>
      <c r="D250" s="537"/>
      <c r="E250" s="537"/>
      <c r="F250" s="537"/>
      <c r="G250" s="537"/>
      <c r="H250" s="537"/>
      <c r="I250" s="537"/>
      <c r="J250" s="537"/>
      <c r="K250" s="538"/>
    </row>
    <row r="251" spans="1:11" ht="23.25">
      <c r="A251" s="63" t="s">
        <v>116</v>
      </c>
      <c r="B251" s="531" t="s">
        <v>440</v>
      </c>
      <c r="C251" s="531"/>
      <c r="D251" s="531"/>
      <c r="E251" s="531"/>
      <c r="F251" s="531"/>
      <c r="G251" s="531"/>
      <c r="H251" s="531"/>
      <c r="I251" s="531"/>
      <c r="J251" s="531"/>
      <c r="K251" s="531"/>
    </row>
    <row r="252" spans="1:11" ht="22.5">
      <c r="A252" s="246" t="s">
        <v>148</v>
      </c>
      <c r="B252" s="528" t="s">
        <v>166</v>
      </c>
      <c r="C252" s="529"/>
      <c r="D252" s="529"/>
      <c r="E252" s="529"/>
      <c r="F252" s="529"/>
      <c r="G252" s="529"/>
      <c r="H252" s="529"/>
      <c r="I252" s="529"/>
      <c r="J252" s="529"/>
      <c r="K252" s="530"/>
    </row>
    <row r="253" spans="1:11" ht="23.25">
      <c r="A253" s="53" t="s">
        <v>121</v>
      </c>
      <c r="B253" s="250">
        <f>C253+F253+I253</f>
        <v>0</v>
      </c>
      <c r="C253" s="250">
        <f>D253+E253</f>
        <v>0</v>
      </c>
      <c r="D253" s="242">
        <f>'Додаток 3'!I195*1000</f>
        <v>0</v>
      </c>
      <c r="E253" s="250"/>
      <c r="F253" s="250">
        <f>G253+H253</f>
        <v>0</v>
      </c>
      <c r="G253" s="250">
        <f>'Додаток 3'!J195*1000</f>
        <v>0</v>
      </c>
      <c r="H253" s="250"/>
      <c r="I253" s="250">
        <f>J253+K253</f>
        <v>0</v>
      </c>
      <c r="J253" s="250">
        <f>'Додаток 3'!K195*1000</f>
        <v>0</v>
      </c>
      <c r="K253" s="251"/>
    </row>
    <row r="254" spans="1:11" ht="46.5">
      <c r="A254" s="61" t="s">
        <v>184</v>
      </c>
      <c r="B254" s="250"/>
      <c r="C254" s="247">
        <v>43</v>
      </c>
      <c r="D254" s="63"/>
      <c r="E254" s="250"/>
      <c r="F254" s="247">
        <v>43</v>
      </c>
      <c r="G254" s="247"/>
      <c r="H254" s="247"/>
      <c r="I254" s="247">
        <v>43</v>
      </c>
      <c r="J254" s="250"/>
      <c r="K254" s="250"/>
    </row>
    <row r="255" spans="1:11" ht="23.25">
      <c r="A255" s="53" t="s">
        <v>123</v>
      </c>
      <c r="B255" s="52"/>
      <c r="C255" s="50"/>
      <c r="D255" s="50"/>
      <c r="E255" s="50"/>
      <c r="F255" s="50"/>
      <c r="G255" s="50"/>
      <c r="H255" s="50"/>
      <c r="I255" s="50"/>
      <c r="J255" s="50"/>
      <c r="K255" s="49"/>
    </row>
    <row r="256" spans="1:11" ht="54" customHeight="1">
      <c r="A256" s="66" t="s">
        <v>185</v>
      </c>
      <c r="B256" s="52"/>
      <c r="C256" s="50">
        <v>20</v>
      </c>
      <c r="D256" s="50"/>
      <c r="E256" s="50"/>
      <c r="F256" s="50">
        <v>20</v>
      </c>
      <c r="G256" s="50"/>
      <c r="H256" s="50"/>
      <c r="I256" s="50">
        <v>20</v>
      </c>
      <c r="J256" s="50"/>
      <c r="K256" s="49"/>
    </row>
    <row r="257" spans="1:11" ht="23.25">
      <c r="A257" s="53" t="s">
        <v>124</v>
      </c>
      <c r="B257" s="52"/>
      <c r="C257" s="50"/>
      <c r="D257" s="50"/>
      <c r="E257" s="50"/>
      <c r="F257" s="50"/>
      <c r="G257" s="50"/>
      <c r="H257" s="50"/>
      <c r="I257" s="50"/>
      <c r="J257" s="50"/>
      <c r="K257" s="49"/>
    </row>
    <row r="258" spans="1:11" ht="46.5">
      <c r="A258" s="62" t="s">
        <v>186</v>
      </c>
      <c r="B258" s="52"/>
      <c r="C258" s="50">
        <f>C253/C256</f>
        <v>0</v>
      </c>
      <c r="D258" s="50"/>
      <c r="E258" s="50"/>
      <c r="F258" s="50">
        <f>F253/F256</f>
        <v>0</v>
      </c>
      <c r="G258" s="50"/>
      <c r="H258" s="50"/>
      <c r="I258" s="50">
        <f>I253/I256</f>
        <v>0</v>
      </c>
      <c r="J258" s="50"/>
      <c r="K258" s="49"/>
    </row>
    <row r="259" spans="1:11" ht="23.25">
      <c r="A259" s="70" t="s">
        <v>125</v>
      </c>
      <c r="B259" s="52"/>
      <c r="C259" s="50"/>
      <c r="D259" s="50"/>
      <c r="E259" s="50"/>
      <c r="F259" s="50"/>
      <c r="G259" s="50"/>
      <c r="H259" s="50"/>
      <c r="I259" s="50"/>
      <c r="J259" s="50"/>
      <c r="K259" s="49"/>
    </row>
    <row r="260" spans="1:11" ht="69.75">
      <c r="A260" s="62" t="s">
        <v>187</v>
      </c>
      <c r="B260" s="52"/>
      <c r="C260" s="50">
        <f>C256/C254*100</f>
        <v>46.511627906976742</v>
      </c>
      <c r="D260" s="50"/>
      <c r="E260" s="50"/>
      <c r="F260" s="50">
        <f>F256/F254*100</f>
        <v>46.511627906976742</v>
      </c>
      <c r="G260" s="50"/>
      <c r="H260" s="50"/>
      <c r="I260" s="50">
        <f>I256/I254*100</f>
        <v>46.511627906976742</v>
      </c>
      <c r="J260" s="50"/>
      <c r="K260" s="49"/>
    </row>
    <row r="261" spans="1:11" ht="23.25">
      <c r="A261" s="63" t="s">
        <v>116</v>
      </c>
      <c r="B261" s="531" t="s">
        <v>109</v>
      </c>
      <c r="C261" s="531"/>
      <c r="D261" s="531"/>
      <c r="E261" s="531"/>
      <c r="F261" s="531"/>
      <c r="G261" s="531"/>
      <c r="H261" s="531"/>
      <c r="I261" s="531"/>
      <c r="J261" s="531"/>
      <c r="K261" s="531"/>
    </row>
    <row r="262" spans="1:11" ht="22.5">
      <c r="A262" s="246" t="s">
        <v>148</v>
      </c>
      <c r="B262" s="528" t="s">
        <v>166</v>
      </c>
      <c r="C262" s="529"/>
      <c r="D262" s="529"/>
      <c r="E262" s="529"/>
      <c r="F262" s="529"/>
      <c r="G262" s="529"/>
      <c r="H262" s="529"/>
      <c r="I262" s="529"/>
      <c r="J262" s="529"/>
      <c r="K262" s="530"/>
    </row>
    <row r="263" spans="1:11" ht="22.5">
      <c r="A263" s="53" t="s">
        <v>121</v>
      </c>
      <c r="B263" s="250">
        <f>F263+I263</f>
        <v>0</v>
      </c>
      <c r="C263" s="250">
        <f>D263+E263</f>
        <v>0</v>
      </c>
      <c r="D263" s="250">
        <f>'Додаток 3'!I196*1000</f>
        <v>0</v>
      </c>
      <c r="E263" s="250"/>
      <c r="F263" s="250">
        <f>G263+H263</f>
        <v>0</v>
      </c>
      <c r="G263" s="250">
        <f>'Додаток 3'!J196*1000</f>
        <v>0</v>
      </c>
      <c r="H263" s="250"/>
      <c r="I263" s="250">
        <f>J263+K263</f>
        <v>0</v>
      </c>
      <c r="J263" s="250">
        <f>'Додаток 3'!K196*1000</f>
        <v>0</v>
      </c>
      <c r="K263" s="250"/>
    </row>
    <row r="264" spans="1:11" ht="23.25">
      <c r="A264" s="53" t="s">
        <v>123</v>
      </c>
      <c r="B264" s="52"/>
      <c r="C264" s="50"/>
      <c r="D264" s="50"/>
      <c r="E264" s="50"/>
      <c r="F264" s="50"/>
      <c r="G264" s="50"/>
      <c r="H264" s="50"/>
      <c r="I264" s="50"/>
      <c r="J264" s="51"/>
      <c r="K264" s="49"/>
    </row>
    <row r="265" spans="1:11" ht="22.5" customHeight="1">
      <c r="A265" s="61" t="s">
        <v>342</v>
      </c>
      <c r="B265" s="52"/>
      <c r="C265" s="69"/>
      <c r="D265" s="50"/>
      <c r="E265" s="50"/>
      <c r="F265" s="50">
        <v>5</v>
      </c>
      <c r="G265" s="50"/>
      <c r="H265" s="50"/>
      <c r="I265" s="50">
        <v>5</v>
      </c>
      <c r="J265" s="51"/>
      <c r="K265" s="49"/>
    </row>
    <row r="266" spans="1:11" ht="23.25">
      <c r="A266" s="53" t="s">
        <v>124</v>
      </c>
      <c r="B266" s="52"/>
      <c r="C266" s="50"/>
      <c r="D266" s="50"/>
      <c r="E266" s="50"/>
      <c r="F266" s="50"/>
      <c r="G266" s="50"/>
      <c r="H266" s="50"/>
      <c r="I266" s="50"/>
      <c r="J266" s="51"/>
      <c r="K266" s="49"/>
    </row>
    <row r="267" spans="1:11" ht="46.5">
      <c r="A267" s="68" t="s">
        <v>193</v>
      </c>
      <c r="B267" s="52"/>
      <c r="C267" s="50"/>
      <c r="D267" s="50"/>
      <c r="E267" s="50"/>
      <c r="F267" s="50">
        <f>F263/F265</f>
        <v>0</v>
      </c>
      <c r="G267" s="50"/>
      <c r="H267" s="50"/>
      <c r="I267" s="50">
        <f t="shared" ref="I267" si="20">I263/I265</f>
        <v>0</v>
      </c>
      <c r="J267" s="51"/>
      <c r="K267" s="49"/>
    </row>
    <row r="268" spans="1:11" ht="23.25">
      <c r="A268" s="63" t="s">
        <v>116</v>
      </c>
      <c r="B268" s="531" t="s">
        <v>332</v>
      </c>
      <c r="C268" s="531"/>
      <c r="D268" s="531"/>
      <c r="E268" s="531"/>
      <c r="F268" s="531"/>
      <c r="G268" s="531"/>
      <c r="H268" s="531"/>
      <c r="I268" s="531"/>
      <c r="J268" s="531"/>
      <c r="K268" s="531"/>
    </row>
    <row r="269" spans="1:11" ht="22.5">
      <c r="A269" s="246" t="s">
        <v>148</v>
      </c>
      <c r="B269" s="528" t="s">
        <v>166</v>
      </c>
      <c r="C269" s="529"/>
      <c r="D269" s="529"/>
      <c r="E269" s="529"/>
      <c r="F269" s="529"/>
      <c r="G269" s="529"/>
      <c r="H269" s="529"/>
      <c r="I269" s="529"/>
      <c r="J269" s="529"/>
      <c r="K269" s="530"/>
    </row>
    <row r="270" spans="1:11" ht="22.5">
      <c r="A270" s="53" t="s">
        <v>121</v>
      </c>
      <c r="B270" s="250">
        <f>C270+F270+I270</f>
        <v>8931200</v>
      </c>
      <c r="C270" s="250">
        <f>D270+E270</f>
        <v>2894200</v>
      </c>
      <c r="D270" s="250">
        <f>'Додаток 3'!I198*1000</f>
        <v>2894200</v>
      </c>
      <c r="E270" s="250"/>
      <c r="F270" s="250">
        <f>G270+H270</f>
        <v>3049300</v>
      </c>
      <c r="G270" s="250">
        <f>'Додаток 3'!J198*1000</f>
        <v>3049300</v>
      </c>
      <c r="H270" s="250"/>
      <c r="I270" s="250">
        <f>J270+K270</f>
        <v>2987700</v>
      </c>
      <c r="J270" s="250">
        <f>'Додаток 3'!K198*1000</f>
        <v>2987700</v>
      </c>
      <c r="K270" s="250"/>
    </row>
    <row r="271" spans="1:11" ht="23.25">
      <c r="A271" s="53" t="s">
        <v>123</v>
      </c>
      <c r="B271" s="52"/>
      <c r="C271" s="50"/>
      <c r="D271" s="50"/>
      <c r="E271" s="50"/>
      <c r="F271" s="50"/>
      <c r="G271" s="50"/>
      <c r="H271" s="50"/>
      <c r="I271" s="50"/>
      <c r="J271" s="50"/>
      <c r="K271" s="49"/>
    </row>
    <row r="272" spans="1:11" ht="23.25">
      <c r="A272" s="61" t="s">
        <v>403</v>
      </c>
      <c r="B272" s="52"/>
      <c r="C272" s="69">
        <v>2</v>
      </c>
      <c r="D272" s="50"/>
      <c r="E272" s="50"/>
      <c r="F272" s="69">
        <v>2</v>
      </c>
      <c r="G272" s="50"/>
      <c r="H272" s="50"/>
      <c r="I272" s="69">
        <v>2</v>
      </c>
      <c r="J272" s="50"/>
      <c r="K272" s="49"/>
    </row>
    <row r="273" spans="1:11" ht="23.25">
      <c r="A273" s="53" t="s">
        <v>124</v>
      </c>
      <c r="B273" s="52"/>
      <c r="C273" s="50"/>
      <c r="D273" s="50"/>
      <c r="E273" s="50"/>
      <c r="F273" s="50"/>
      <c r="G273" s="50"/>
      <c r="H273" s="50"/>
      <c r="I273" s="50"/>
      <c r="J273" s="50"/>
      <c r="K273" s="49"/>
    </row>
    <row r="274" spans="1:11" ht="23.25">
      <c r="A274" s="260" t="s">
        <v>333</v>
      </c>
      <c r="B274" s="52"/>
      <c r="C274" s="50">
        <f>C270/C272/12</f>
        <v>120591.66666666667</v>
      </c>
      <c r="D274" s="50"/>
      <c r="E274" s="50"/>
      <c r="F274" s="50">
        <f t="shared" ref="F274:I274" si="21">F270/F272/12</f>
        <v>127054.16666666667</v>
      </c>
      <c r="G274" s="50"/>
      <c r="H274" s="50"/>
      <c r="I274" s="50">
        <f t="shared" si="21"/>
        <v>124487.5</v>
      </c>
      <c r="J274" s="50"/>
      <c r="K274" s="49"/>
    </row>
    <row r="275" spans="1:11" ht="23.25">
      <c r="A275" s="63" t="s">
        <v>116</v>
      </c>
      <c r="B275" s="531" t="s">
        <v>334</v>
      </c>
      <c r="C275" s="531"/>
      <c r="D275" s="531"/>
      <c r="E275" s="531"/>
      <c r="F275" s="531"/>
      <c r="G275" s="531"/>
      <c r="H275" s="531"/>
      <c r="I275" s="531"/>
      <c r="J275" s="531"/>
      <c r="K275" s="531"/>
    </row>
    <row r="276" spans="1:11" ht="22.5">
      <c r="A276" s="246" t="s">
        <v>148</v>
      </c>
      <c r="B276" s="528" t="s">
        <v>166</v>
      </c>
      <c r="C276" s="529"/>
      <c r="D276" s="529"/>
      <c r="E276" s="529"/>
      <c r="F276" s="529"/>
      <c r="G276" s="529"/>
      <c r="H276" s="529"/>
      <c r="I276" s="529"/>
      <c r="J276" s="529"/>
      <c r="K276" s="530"/>
    </row>
    <row r="277" spans="1:11" ht="23.25">
      <c r="A277" s="53" t="s">
        <v>121</v>
      </c>
      <c r="B277" s="250">
        <f>C277+F277+I277</f>
        <v>10988000</v>
      </c>
      <c r="C277" s="250">
        <f>D277+E277</f>
        <v>10988000</v>
      </c>
      <c r="D277" s="242">
        <f>'Додаток 3'!I199*1000</f>
        <v>10988000</v>
      </c>
      <c r="E277" s="250"/>
      <c r="F277" s="250"/>
      <c r="G277" s="250"/>
      <c r="H277" s="250"/>
      <c r="I277" s="250"/>
      <c r="J277" s="250"/>
      <c r="K277" s="250"/>
    </row>
    <row r="278" spans="1:11" ht="23.25">
      <c r="A278" s="53" t="s">
        <v>123</v>
      </c>
      <c r="B278" s="52"/>
      <c r="C278" s="50"/>
      <c r="D278" s="50"/>
      <c r="E278" s="50"/>
      <c r="F278" s="50"/>
      <c r="G278" s="50"/>
      <c r="H278" s="50"/>
      <c r="I278" s="50"/>
      <c r="J278" s="50"/>
      <c r="K278" s="49"/>
    </row>
    <row r="279" spans="1:11" ht="21" customHeight="1">
      <c r="A279" s="61" t="s">
        <v>192</v>
      </c>
      <c r="B279" s="52"/>
      <c r="C279" s="69">
        <v>8</v>
      </c>
      <c r="D279" s="50"/>
      <c r="E279" s="50"/>
      <c r="F279" s="50"/>
      <c r="G279" s="50"/>
      <c r="H279" s="50"/>
      <c r="I279" s="50"/>
      <c r="J279" s="50"/>
      <c r="K279" s="49"/>
    </row>
    <row r="280" spans="1:11" ht="23.25">
      <c r="A280" s="53" t="s">
        <v>124</v>
      </c>
      <c r="B280" s="52"/>
      <c r="C280" s="50"/>
      <c r="D280" s="50"/>
      <c r="E280" s="50"/>
      <c r="F280" s="50"/>
      <c r="G280" s="50"/>
      <c r="H280" s="50"/>
      <c r="I280" s="50"/>
      <c r="J280" s="50"/>
      <c r="K280" s="49"/>
    </row>
    <row r="281" spans="1:11" ht="46.5">
      <c r="A281" s="68" t="s">
        <v>335</v>
      </c>
      <c r="B281" s="52"/>
      <c r="C281" s="50">
        <f>C277/C279</f>
        <v>1373500</v>
      </c>
      <c r="D281" s="50"/>
      <c r="E281" s="50"/>
      <c r="F281" s="50"/>
      <c r="G281" s="50"/>
      <c r="H281" s="50"/>
      <c r="I281" s="50"/>
      <c r="J281" s="50"/>
      <c r="K281" s="49"/>
    </row>
    <row r="282" spans="1:11" ht="48" customHeight="1">
      <c r="A282" s="63" t="s">
        <v>116</v>
      </c>
      <c r="B282" s="532" t="s">
        <v>336</v>
      </c>
      <c r="C282" s="533"/>
      <c r="D282" s="533"/>
      <c r="E282" s="533"/>
      <c r="F282" s="533"/>
      <c r="G282" s="533"/>
      <c r="H282" s="533"/>
      <c r="I282" s="533"/>
      <c r="J282" s="533"/>
      <c r="K282" s="534"/>
    </row>
    <row r="283" spans="1:11" ht="20.25" customHeight="1">
      <c r="A283" s="246" t="s">
        <v>161</v>
      </c>
      <c r="B283" s="528" t="s">
        <v>162</v>
      </c>
      <c r="C283" s="529"/>
      <c r="D283" s="529"/>
      <c r="E283" s="529"/>
      <c r="F283" s="529"/>
      <c r="G283" s="529"/>
      <c r="H283" s="529"/>
      <c r="I283" s="529"/>
      <c r="J283" s="529"/>
      <c r="K283" s="530"/>
    </row>
    <row r="284" spans="1:11" ht="22.5">
      <c r="A284" s="246" t="s">
        <v>119</v>
      </c>
      <c r="B284" s="528" t="s">
        <v>163</v>
      </c>
      <c r="C284" s="529"/>
      <c r="D284" s="529"/>
      <c r="E284" s="529"/>
      <c r="F284" s="529"/>
      <c r="G284" s="529"/>
      <c r="H284" s="529"/>
      <c r="I284" s="529"/>
      <c r="J284" s="529"/>
      <c r="K284" s="530"/>
    </row>
    <row r="285" spans="1:11" ht="23.25">
      <c r="A285" s="53" t="s">
        <v>121</v>
      </c>
      <c r="B285" s="250">
        <f>C285+F285+I285</f>
        <v>8346889.9999999991</v>
      </c>
      <c r="C285" s="250">
        <f>D285+E285</f>
        <v>8346889.9999999991</v>
      </c>
      <c r="D285" s="242">
        <f>'Додаток 3'!I200*1000</f>
        <v>8346889.9999999991</v>
      </c>
      <c r="E285" s="250"/>
      <c r="F285" s="250"/>
      <c r="G285" s="250"/>
      <c r="H285" s="250"/>
      <c r="I285" s="250"/>
      <c r="J285" s="250"/>
      <c r="K285" s="250"/>
    </row>
    <row r="286" spans="1:11" ht="23.25">
      <c r="A286" s="53" t="s">
        <v>123</v>
      </c>
      <c r="B286" s="52"/>
      <c r="C286" s="50"/>
      <c r="D286" s="50"/>
      <c r="E286" s="50"/>
      <c r="F286" s="50"/>
      <c r="G286" s="50"/>
      <c r="H286" s="50"/>
      <c r="I286" s="50"/>
      <c r="J286" s="50"/>
      <c r="K286" s="49"/>
    </row>
    <row r="287" spans="1:11" ht="21" customHeight="1">
      <c r="A287" s="61" t="s">
        <v>192</v>
      </c>
      <c r="B287" s="52"/>
      <c r="C287" s="69">
        <v>5</v>
      </c>
      <c r="D287" s="50"/>
      <c r="E287" s="50"/>
      <c r="F287" s="50"/>
      <c r="G287" s="50"/>
      <c r="H287" s="50"/>
      <c r="I287" s="50"/>
      <c r="J287" s="50"/>
      <c r="K287" s="49"/>
    </row>
    <row r="288" spans="1:11" ht="23.25">
      <c r="A288" s="53" t="s">
        <v>124</v>
      </c>
      <c r="B288" s="52"/>
      <c r="C288" s="50"/>
      <c r="D288" s="50"/>
      <c r="E288" s="50"/>
      <c r="F288" s="50"/>
      <c r="G288" s="50"/>
      <c r="H288" s="50"/>
      <c r="I288" s="50"/>
      <c r="J288" s="50"/>
      <c r="K288" s="49"/>
    </row>
    <row r="289" spans="1:11" ht="47.25" customHeight="1">
      <c r="A289" s="68" t="s">
        <v>337</v>
      </c>
      <c r="B289" s="52"/>
      <c r="C289" s="50">
        <f>C285/C287/9</f>
        <v>185486.44444444441</v>
      </c>
      <c r="D289" s="50"/>
      <c r="E289" s="50"/>
      <c r="F289" s="50"/>
      <c r="G289" s="50"/>
      <c r="H289" s="50"/>
      <c r="I289" s="50"/>
      <c r="J289" s="50"/>
      <c r="K289" s="49"/>
    </row>
    <row r="290" spans="1:11" ht="22.5">
      <c r="A290" s="535" t="s">
        <v>258</v>
      </c>
      <c r="B290" s="535"/>
      <c r="C290" s="535"/>
      <c r="D290" s="535"/>
      <c r="E290" s="535"/>
      <c r="F290" s="535"/>
      <c r="G290" s="535"/>
      <c r="H290" s="535"/>
      <c r="I290" s="535"/>
      <c r="J290" s="535"/>
      <c r="K290" s="535"/>
    </row>
    <row r="291" spans="1:11" ht="22.5">
      <c r="A291" s="59" t="s">
        <v>117</v>
      </c>
      <c r="B291" s="48">
        <f>C291+F291+I291</f>
        <v>132623979</v>
      </c>
      <c r="C291" s="49">
        <f>D291+E291</f>
        <v>132623979</v>
      </c>
      <c r="D291" s="49">
        <f>D302+D303</f>
        <v>0</v>
      </c>
      <c r="E291" s="49">
        <f>E302+E303</f>
        <v>132623979</v>
      </c>
      <c r="F291" s="49">
        <f>G291+H291</f>
        <v>0</v>
      </c>
      <c r="G291" s="49">
        <f>G302+G303</f>
        <v>0</v>
      </c>
      <c r="H291" s="49">
        <f>H302+H303</f>
        <v>0</v>
      </c>
      <c r="I291" s="49">
        <f>J291+K291</f>
        <v>0</v>
      </c>
      <c r="J291" s="49">
        <f>J302+J303</f>
        <v>0</v>
      </c>
      <c r="K291" s="49">
        <f>K302+K303</f>
        <v>0</v>
      </c>
    </row>
    <row r="292" spans="1:11" ht="22.5">
      <c r="A292" s="59" t="s">
        <v>118</v>
      </c>
      <c r="B292" s="536"/>
      <c r="C292" s="537"/>
      <c r="D292" s="537"/>
      <c r="E292" s="537"/>
      <c r="F292" s="537"/>
      <c r="G292" s="537"/>
      <c r="H292" s="537"/>
      <c r="I292" s="537"/>
      <c r="J292" s="537"/>
      <c r="K292" s="538"/>
    </row>
    <row r="293" spans="1:11" ht="23.25">
      <c r="A293" s="60" t="s">
        <v>116</v>
      </c>
      <c r="B293" s="527" t="s">
        <v>58</v>
      </c>
      <c r="C293" s="527"/>
      <c r="D293" s="527"/>
      <c r="E293" s="527"/>
      <c r="F293" s="527"/>
      <c r="G293" s="527"/>
      <c r="H293" s="527"/>
      <c r="I293" s="527"/>
      <c r="J293" s="527"/>
      <c r="K293" s="527"/>
    </row>
    <row r="294" spans="1:11" ht="22.5">
      <c r="A294" s="246" t="s">
        <v>119</v>
      </c>
      <c r="B294" s="528" t="s">
        <v>163</v>
      </c>
      <c r="C294" s="529"/>
      <c r="D294" s="529"/>
      <c r="E294" s="529"/>
      <c r="F294" s="529"/>
      <c r="G294" s="529"/>
      <c r="H294" s="529"/>
      <c r="I294" s="529"/>
      <c r="J294" s="529"/>
      <c r="K294" s="530"/>
    </row>
    <row r="295" spans="1:11" ht="22.5">
      <c r="A295" s="246" t="s">
        <v>126</v>
      </c>
      <c r="B295" s="539" t="s">
        <v>164</v>
      </c>
      <c r="C295" s="539"/>
      <c r="D295" s="539"/>
      <c r="E295" s="539"/>
      <c r="F295" s="539"/>
      <c r="G295" s="539"/>
      <c r="H295" s="539"/>
      <c r="I295" s="539"/>
      <c r="J295" s="539"/>
      <c r="K295" s="539"/>
    </row>
    <row r="296" spans="1:11" ht="22.5">
      <c r="A296" s="246" t="s">
        <v>128</v>
      </c>
      <c r="B296" s="539" t="s">
        <v>129</v>
      </c>
      <c r="C296" s="539"/>
      <c r="D296" s="539"/>
      <c r="E296" s="539"/>
      <c r="F296" s="539"/>
      <c r="G296" s="539"/>
      <c r="H296" s="539"/>
      <c r="I296" s="539"/>
      <c r="J296" s="539"/>
      <c r="K296" s="539"/>
    </row>
    <row r="297" spans="1:11" ht="22.5">
      <c r="A297" s="246" t="s">
        <v>148</v>
      </c>
      <c r="B297" s="528" t="s">
        <v>439</v>
      </c>
      <c r="C297" s="529"/>
      <c r="D297" s="529"/>
      <c r="E297" s="529"/>
      <c r="F297" s="529"/>
      <c r="G297" s="529"/>
      <c r="H297" s="529"/>
      <c r="I297" s="529"/>
      <c r="J297" s="529"/>
      <c r="K297" s="530"/>
    </row>
    <row r="298" spans="1:11" ht="22.5">
      <c r="A298" s="246" t="s">
        <v>196</v>
      </c>
      <c r="B298" s="540" t="s">
        <v>197</v>
      </c>
      <c r="C298" s="541"/>
      <c r="D298" s="541"/>
      <c r="E298" s="541"/>
      <c r="F298" s="541"/>
      <c r="G298" s="541"/>
      <c r="H298" s="541"/>
      <c r="I298" s="541"/>
      <c r="J298" s="541"/>
      <c r="K298" s="542"/>
    </row>
    <row r="299" spans="1:11" ht="22.5">
      <c r="A299" s="246" t="s">
        <v>194</v>
      </c>
      <c r="B299" s="540" t="s">
        <v>195</v>
      </c>
      <c r="C299" s="541"/>
      <c r="D299" s="541"/>
      <c r="E299" s="541"/>
      <c r="F299" s="541"/>
      <c r="G299" s="541"/>
      <c r="H299" s="541"/>
      <c r="I299" s="541"/>
      <c r="J299" s="541"/>
      <c r="K299" s="542"/>
    </row>
    <row r="300" spans="1:11" ht="22.5">
      <c r="A300" s="246" t="s">
        <v>338</v>
      </c>
      <c r="B300" s="540" t="s">
        <v>339</v>
      </c>
      <c r="C300" s="541"/>
      <c r="D300" s="541"/>
      <c r="E300" s="541"/>
      <c r="F300" s="541"/>
      <c r="G300" s="541"/>
      <c r="H300" s="541"/>
      <c r="I300" s="541"/>
      <c r="J300" s="541"/>
      <c r="K300" s="542"/>
    </row>
    <row r="301" spans="1:11" ht="23.25">
      <c r="A301" s="53" t="s">
        <v>121</v>
      </c>
      <c r="B301" s="105">
        <f>C301+F301+I301</f>
        <v>102623978.99999999</v>
      </c>
      <c r="C301" s="105">
        <f>D301+E301</f>
        <v>102623978.99999999</v>
      </c>
      <c r="D301" s="243"/>
      <c r="E301" s="105">
        <f>'Додаток 3'!I247*1000</f>
        <v>102623978.99999999</v>
      </c>
      <c r="F301" s="51"/>
      <c r="G301" s="51"/>
      <c r="H301" s="51"/>
      <c r="I301" s="51"/>
      <c r="J301" s="51"/>
      <c r="K301" s="51"/>
    </row>
    <row r="302" spans="1:11" ht="23.25" customHeight="1">
      <c r="A302" s="68" t="s">
        <v>199</v>
      </c>
      <c r="B302" s="105">
        <f>C302+F302+I302</f>
        <v>71896609</v>
      </c>
      <c r="C302" s="105">
        <f>E302+D302</f>
        <v>71896609</v>
      </c>
      <c r="D302" s="243"/>
      <c r="E302" s="243">
        <f>'Додаток 3'!I224*1000</f>
        <v>71896609</v>
      </c>
      <c r="F302" s="51"/>
      <c r="G302" s="51"/>
      <c r="H302" s="51"/>
      <c r="I302" s="51"/>
      <c r="J302" s="51"/>
      <c r="K302" s="51"/>
    </row>
    <row r="303" spans="1:11" ht="23.25">
      <c r="A303" s="68" t="s">
        <v>198</v>
      </c>
      <c r="B303" s="105">
        <f>C303+F303+I303</f>
        <v>60727369.999999993</v>
      </c>
      <c r="C303" s="105">
        <f>E303+D303</f>
        <v>60727369.999999993</v>
      </c>
      <c r="D303" s="243"/>
      <c r="E303" s="243">
        <f>('Додаток 3'!H238+'Додаток 3'!H245+'Додаток 3'!H246)*1000</f>
        <v>60727369.999999993</v>
      </c>
      <c r="F303" s="51"/>
      <c r="G303" s="51"/>
      <c r="H303" s="51"/>
      <c r="I303" s="51"/>
      <c r="J303" s="51"/>
      <c r="K303" s="51"/>
    </row>
    <row r="304" spans="1:11" ht="23.25">
      <c r="A304" s="53" t="s">
        <v>123</v>
      </c>
      <c r="B304" s="67"/>
      <c r="C304" s="51"/>
      <c r="D304" s="51"/>
      <c r="E304" s="51"/>
      <c r="F304" s="51"/>
      <c r="G304" s="51"/>
      <c r="H304" s="51"/>
      <c r="I304" s="51"/>
      <c r="J304" s="51"/>
      <c r="K304" s="51"/>
    </row>
    <row r="305" spans="1:11" ht="23.25">
      <c r="A305" s="65" t="s">
        <v>200</v>
      </c>
      <c r="B305" s="67"/>
      <c r="C305" s="69">
        <f>3464+78+27+1076</f>
        <v>4645</v>
      </c>
      <c r="D305" s="51"/>
      <c r="E305" s="51"/>
      <c r="F305" s="51"/>
      <c r="G305" s="51"/>
      <c r="H305" s="51"/>
      <c r="I305" s="51"/>
      <c r="J305" s="51"/>
      <c r="K305" s="51"/>
    </row>
    <row r="306" spans="1:11" ht="24" customHeight="1">
      <c r="A306" s="65" t="s">
        <v>201</v>
      </c>
      <c r="B306" s="67"/>
      <c r="C306" s="69">
        <f>129+7+5+32+20</f>
        <v>193</v>
      </c>
      <c r="D306" s="51"/>
      <c r="E306" s="51"/>
      <c r="F306" s="51"/>
      <c r="G306" s="51"/>
      <c r="H306" s="51"/>
      <c r="I306" s="51"/>
      <c r="J306" s="51"/>
      <c r="K306" s="51"/>
    </row>
    <row r="307" spans="1:11" ht="23.25" hidden="1">
      <c r="A307" s="65" t="s">
        <v>202</v>
      </c>
      <c r="B307" s="67"/>
      <c r="C307" s="69"/>
      <c r="D307" s="51"/>
      <c r="E307" s="51"/>
      <c r="F307" s="51"/>
      <c r="G307" s="51"/>
      <c r="H307" s="51"/>
      <c r="I307" s="51"/>
      <c r="J307" s="51"/>
      <c r="K307" s="51"/>
    </row>
    <row r="308" spans="1:11" ht="23.25">
      <c r="A308" s="65" t="s">
        <v>203</v>
      </c>
      <c r="B308" s="67"/>
      <c r="C308" s="69">
        <v>4982</v>
      </c>
      <c r="D308" s="51"/>
      <c r="E308" s="51"/>
      <c r="F308" s="51"/>
      <c r="G308" s="51"/>
      <c r="H308" s="51"/>
      <c r="I308" s="51"/>
      <c r="J308" s="51"/>
      <c r="K308" s="51"/>
    </row>
    <row r="309" spans="1:11" ht="23.25">
      <c r="A309" s="53" t="s">
        <v>124</v>
      </c>
      <c r="B309" s="67"/>
      <c r="C309" s="51"/>
      <c r="D309" s="51"/>
      <c r="E309" s="51"/>
      <c r="F309" s="51"/>
      <c r="G309" s="51"/>
      <c r="H309" s="51"/>
      <c r="I309" s="51"/>
      <c r="J309" s="51"/>
      <c r="K309" s="51"/>
    </row>
    <row r="310" spans="1:11" ht="23.25">
      <c r="A310" s="65" t="s">
        <v>402</v>
      </c>
      <c r="B310" s="67"/>
      <c r="C310" s="69">
        <f>C302/C306</f>
        <v>372521.29015544039</v>
      </c>
      <c r="D310" s="51"/>
      <c r="E310" s="51"/>
      <c r="F310" s="51"/>
      <c r="G310" s="51"/>
      <c r="H310" s="51"/>
      <c r="I310" s="51"/>
      <c r="J310" s="51"/>
      <c r="K310" s="51"/>
    </row>
    <row r="311" spans="1:11" ht="23.25">
      <c r="A311" s="65" t="s">
        <v>210</v>
      </c>
      <c r="B311" s="67"/>
      <c r="C311" s="69">
        <f>C303/C308</f>
        <v>12189.355680449617</v>
      </c>
      <c r="D311" s="51"/>
      <c r="E311" s="51"/>
      <c r="F311" s="51"/>
      <c r="G311" s="51"/>
      <c r="H311" s="51"/>
      <c r="I311" s="51"/>
      <c r="J311" s="51"/>
      <c r="K311" s="51"/>
    </row>
    <row r="312" spans="1:11" ht="23.25" hidden="1">
      <c r="A312" s="70" t="s">
        <v>125</v>
      </c>
      <c r="B312" s="67"/>
      <c r="C312" s="51"/>
      <c r="D312" s="51"/>
      <c r="E312" s="51"/>
      <c r="F312" s="51"/>
      <c r="G312" s="51"/>
      <c r="H312" s="51"/>
      <c r="I312" s="51"/>
      <c r="J312" s="51"/>
      <c r="K312" s="51"/>
    </row>
    <row r="313" spans="1:11" ht="38.25" hidden="1" customHeight="1">
      <c r="A313" s="249" t="s">
        <v>205</v>
      </c>
      <c r="B313" s="67"/>
      <c r="C313" s="69">
        <f>C306/C305*100</f>
        <v>4.155005382131324</v>
      </c>
      <c r="D313" s="51"/>
      <c r="E313" s="51"/>
      <c r="F313" s="51"/>
      <c r="G313" s="51"/>
      <c r="H313" s="51"/>
      <c r="I313" s="51"/>
      <c r="J313" s="51"/>
      <c r="K313" s="51"/>
    </row>
    <row r="314" spans="1:11" ht="46.5" hidden="1">
      <c r="A314" s="61" t="s">
        <v>204</v>
      </c>
      <c r="B314" s="51"/>
      <c r="C314" s="51"/>
      <c r="D314" s="51"/>
      <c r="E314" s="51"/>
      <c r="F314" s="51"/>
      <c r="G314" s="51"/>
      <c r="H314" s="51"/>
      <c r="I314" s="51"/>
      <c r="J314" s="51"/>
      <c r="K314" s="51"/>
    </row>
    <row r="315" spans="1:11" ht="27.75" hidden="1" customHeight="1">
      <c r="A315" s="261" t="s">
        <v>147</v>
      </c>
      <c r="B315" s="262" t="e">
        <f>C315+F315+I315</f>
        <v>#REF!</v>
      </c>
      <c r="C315" s="263" t="e">
        <f>D315+E315</f>
        <v>#REF!</v>
      </c>
      <c r="D315" s="262">
        <f>D316</f>
        <v>0</v>
      </c>
      <c r="E315" s="262" t="e">
        <f>E316</f>
        <v>#REF!</v>
      </c>
      <c r="F315" s="51"/>
      <c r="G315" s="51"/>
      <c r="H315" s="51"/>
      <c r="I315" s="51"/>
      <c r="J315" s="51"/>
      <c r="K315" s="51"/>
    </row>
    <row r="316" spans="1:11" ht="41.25" hidden="1" customHeight="1">
      <c r="A316" s="68" t="s">
        <v>149</v>
      </c>
      <c r="B316" s="67"/>
      <c r="C316" s="51"/>
      <c r="D316" s="51"/>
      <c r="E316" s="51" t="e">
        <f>'[1]Додаток 2'!#REF!*1000</f>
        <v>#REF!</v>
      </c>
      <c r="F316" s="51"/>
      <c r="G316" s="51"/>
      <c r="H316" s="51"/>
      <c r="I316" s="51"/>
      <c r="J316" s="51"/>
      <c r="K316" s="51"/>
    </row>
    <row r="317" spans="1:11" ht="32.25" hidden="1" customHeight="1">
      <c r="A317" s="540" t="e">
        <f>'[1]Додаток 2'!#REF!</f>
        <v>#REF!</v>
      </c>
      <c r="B317" s="541"/>
      <c r="C317" s="541"/>
      <c r="D317" s="541"/>
      <c r="E317" s="541"/>
      <c r="F317" s="541"/>
      <c r="G317" s="541"/>
      <c r="H317" s="541"/>
      <c r="I317" s="541"/>
      <c r="J317" s="541"/>
      <c r="K317" s="542"/>
    </row>
    <row r="318" spans="1:11" ht="24.75" hidden="1" customHeight="1">
      <c r="A318" s="60" t="s">
        <v>116</v>
      </c>
      <c r="B318" s="527" t="e">
        <f>'[1]Додаток 2'!#REF!</f>
        <v>#REF!</v>
      </c>
      <c r="C318" s="527"/>
      <c r="D318" s="527"/>
      <c r="E318" s="527"/>
      <c r="F318" s="527"/>
      <c r="G318" s="527"/>
      <c r="H318" s="527"/>
      <c r="I318" s="527"/>
      <c r="J318" s="527"/>
      <c r="K318" s="527"/>
    </row>
    <row r="319" spans="1:11" ht="20.25" hidden="1" customHeight="1">
      <c r="A319" s="261" t="s">
        <v>147</v>
      </c>
      <c r="B319" s="262" t="e">
        <f>C319+F319+I319</f>
        <v>#REF!</v>
      </c>
      <c r="C319" s="263" t="e">
        <f>D319+E319</f>
        <v>#REF!</v>
      </c>
      <c r="D319" s="262" t="e">
        <f>D320</f>
        <v>#REF!</v>
      </c>
      <c r="E319" s="262">
        <f>E320</f>
        <v>0</v>
      </c>
      <c r="F319" s="51"/>
      <c r="G319" s="51"/>
      <c r="H319" s="51"/>
      <c r="I319" s="51"/>
      <c r="J319" s="51"/>
      <c r="K319" s="51"/>
    </row>
    <row r="320" spans="1:11" s="71" customFormat="1" ht="22.5" hidden="1" customHeight="1">
      <c r="A320" s="68" t="e">
        <f>'[1]Додаток 2'!#REF!</f>
        <v>#REF!</v>
      </c>
      <c r="B320" s="67"/>
      <c r="C320" s="51"/>
      <c r="D320" s="51" t="e">
        <f>'[1]Додаток 2'!#REF!</f>
        <v>#REF!</v>
      </c>
      <c r="E320" s="51"/>
      <c r="F320" s="51"/>
      <c r="G320" s="51"/>
      <c r="H320" s="51"/>
      <c r="I320" s="51"/>
      <c r="J320" s="51"/>
      <c r="K320" s="51"/>
    </row>
    <row r="321" spans="1:11" s="71" customFormat="1" ht="22.5" customHeight="1">
      <c r="A321" s="72"/>
      <c r="B321" s="73"/>
      <c r="C321" s="74"/>
      <c r="D321" s="74"/>
      <c r="E321" s="74"/>
      <c r="F321" s="74"/>
      <c r="G321" s="74"/>
      <c r="H321" s="74"/>
      <c r="I321" s="74"/>
      <c r="J321" s="74"/>
      <c r="K321" s="74"/>
    </row>
    <row r="322" spans="1:11" s="71" customFormat="1" ht="22.5" customHeight="1">
      <c r="A322" s="72"/>
      <c r="B322" s="73"/>
      <c r="C322" s="74"/>
      <c r="D322" s="74"/>
      <c r="E322" s="74"/>
      <c r="F322" s="74"/>
      <c r="G322" s="74"/>
      <c r="H322" s="74"/>
      <c r="I322" s="74"/>
      <c r="J322" s="74"/>
      <c r="K322" s="74"/>
    </row>
    <row r="323" spans="1:11" s="71" customFormat="1" ht="40.5" customHeight="1">
      <c r="A323" s="72"/>
      <c r="B323" s="73"/>
      <c r="C323" s="74"/>
      <c r="D323" s="74"/>
      <c r="E323" s="74"/>
      <c r="F323" s="74"/>
      <c r="G323" s="74"/>
      <c r="H323" s="74"/>
      <c r="I323" s="74"/>
      <c r="J323" s="74"/>
      <c r="K323" s="74"/>
    </row>
    <row r="324" spans="1:11" s="71" customFormat="1" ht="22.5" customHeight="1">
      <c r="A324" s="84" t="s">
        <v>460</v>
      </c>
      <c r="B324" s="84"/>
      <c r="C324" s="85"/>
      <c r="D324" s="86"/>
      <c r="E324" s="84"/>
      <c r="F324" s="87"/>
      <c r="G324" s="87"/>
      <c r="H324" s="87"/>
      <c r="I324" s="88" t="s">
        <v>461</v>
      </c>
      <c r="J324" s="78"/>
      <c r="K324" s="80"/>
    </row>
    <row r="325" spans="1:11" s="71" customFormat="1" ht="15" customHeight="1">
      <c r="A325" s="75"/>
      <c r="B325" s="75"/>
      <c r="C325" s="76"/>
      <c r="D325" s="77"/>
      <c r="E325" s="75"/>
      <c r="F325" s="78"/>
      <c r="G325" s="78"/>
      <c r="H325" s="78"/>
      <c r="I325" s="79"/>
      <c r="J325" s="78"/>
      <c r="K325" s="80"/>
    </row>
    <row r="326" spans="1:11" ht="25.5" customHeight="1">
      <c r="A326" s="82" t="s">
        <v>28</v>
      </c>
      <c r="B326" s="75"/>
      <c r="C326" s="83"/>
      <c r="D326" s="77"/>
      <c r="E326" s="75"/>
      <c r="F326" s="78"/>
      <c r="G326" s="78"/>
      <c r="H326" s="78"/>
      <c r="I326" s="78"/>
      <c r="J326" s="78"/>
      <c r="K326" s="81"/>
    </row>
    <row r="327" spans="1:11" ht="20.25" customHeight="1">
      <c r="A327" s="75"/>
      <c r="B327" s="75"/>
      <c r="C327" s="75"/>
      <c r="D327" s="77"/>
      <c r="E327" s="75"/>
      <c r="F327" s="78"/>
      <c r="G327" s="78"/>
      <c r="H327" s="78"/>
      <c r="I327" s="78"/>
      <c r="J327" s="78"/>
      <c r="K327" s="81"/>
    </row>
    <row r="328" spans="1:11" ht="20.25" customHeight="1">
      <c r="A328" s="75"/>
      <c r="B328" s="75"/>
      <c r="C328" s="75"/>
      <c r="D328" s="75"/>
      <c r="E328" s="75"/>
      <c r="F328" s="75"/>
      <c r="G328" s="75"/>
      <c r="H328" s="75"/>
      <c r="I328" s="75"/>
      <c r="J328" s="75"/>
    </row>
    <row r="329" spans="1:11" ht="20.25" customHeight="1"/>
    <row r="330" spans="1:11" ht="20.25" customHeight="1"/>
  </sheetData>
  <mergeCells count="102">
    <mergeCell ref="B217:K217"/>
    <mergeCell ref="B172:K172"/>
    <mergeCell ref="B173:K173"/>
    <mergeCell ref="B195:K195"/>
    <mergeCell ref="B233:K233"/>
    <mergeCell ref="B276:K276"/>
    <mergeCell ref="B269:K269"/>
    <mergeCell ref="B251:K251"/>
    <mergeCell ref="B252:K252"/>
    <mergeCell ref="B202:K202"/>
    <mergeCell ref="B218:K218"/>
    <mergeCell ref="A248:K248"/>
    <mergeCell ref="B250:K250"/>
    <mergeCell ref="B262:K262"/>
    <mergeCell ref="B275:K275"/>
    <mergeCell ref="B201:K201"/>
    <mergeCell ref="B21:K21"/>
    <mergeCell ref="B40:K40"/>
    <mergeCell ref="B22:K22"/>
    <mergeCell ref="B26:K26"/>
    <mergeCell ref="B36:K36"/>
    <mergeCell ref="B91:K91"/>
    <mergeCell ref="B75:K75"/>
    <mergeCell ref="B83:K83"/>
    <mergeCell ref="B84:K84"/>
    <mergeCell ref="B50:K50"/>
    <mergeCell ref="B51:K51"/>
    <mergeCell ref="B59:K59"/>
    <mergeCell ref="B60:K60"/>
    <mergeCell ref="B74:K74"/>
    <mergeCell ref="B41:K41"/>
    <mergeCell ref="B45:K45"/>
    <mergeCell ref="B46:K46"/>
    <mergeCell ref="B27:K27"/>
    <mergeCell ref="B102:K102"/>
    <mergeCell ref="B103:K103"/>
    <mergeCell ref="H1:K1"/>
    <mergeCell ref="A13:K13"/>
    <mergeCell ref="B15:K15"/>
    <mergeCell ref="B35:K35"/>
    <mergeCell ref="A12:K12"/>
    <mergeCell ref="H2:K2"/>
    <mergeCell ref="A4:K4"/>
    <mergeCell ref="A6:A9"/>
    <mergeCell ref="B6:B9"/>
    <mergeCell ref="C6:E7"/>
    <mergeCell ref="F6:H7"/>
    <mergeCell ref="I6:K7"/>
    <mergeCell ref="C8:C9"/>
    <mergeCell ref="B16:K16"/>
    <mergeCell ref="D8:E8"/>
    <mergeCell ref="F8:F9"/>
    <mergeCell ref="G8:H8"/>
    <mergeCell ref="I8:I9"/>
    <mergeCell ref="J8:K8"/>
    <mergeCell ref="B17:K17"/>
    <mergeCell ref="B92:K92"/>
    <mergeCell ref="B101:K101"/>
    <mergeCell ref="B136:K136"/>
    <mergeCell ref="B145:K145"/>
    <mergeCell ref="B109:K109"/>
    <mergeCell ref="B110:K110"/>
    <mergeCell ref="B123:K123"/>
    <mergeCell ref="B124:K124"/>
    <mergeCell ref="B135:K135"/>
    <mergeCell ref="B209:K209"/>
    <mergeCell ref="B186:K186"/>
    <mergeCell ref="B187:K187"/>
    <mergeCell ref="B193:K193"/>
    <mergeCell ref="B194:K194"/>
    <mergeCell ref="B208:K208"/>
    <mergeCell ref="B158:K158"/>
    <mergeCell ref="B165:K165"/>
    <mergeCell ref="B118:K118"/>
    <mergeCell ref="B119:K119"/>
    <mergeCell ref="B146:K146"/>
    <mergeCell ref="B152:K152"/>
    <mergeCell ref="B153:K153"/>
    <mergeCell ref="B157:K157"/>
    <mergeCell ref="B166:K166"/>
    <mergeCell ref="A162:K162"/>
    <mergeCell ref="B164:K164"/>
    <mergeCell ref="B318:K318"/>
    <mergeCell ref="B297:K297"/>
    <mergeCell ref="B294:K294"/>
    <mergeCell ref="B295:K295"/>
    <mergeCell ref="B296:K296"/>
    <mergeCell ref="A317:K317"/>
    <mergeCell ref="B300:K300"/>
    <mergeCell ref="B299:K299"/>
    <mergeCell ref="B298:K298"/>
    <mergeCell ref="B293:K293"/>
    <mergeCell ref="B234:K234"/>
    <mergeCell ref="B268:K268"/>
    <mergeCell ref="B241:K241"/>
    <mergeCell ref="B242:K242"/>
    <mergeCell ref="B261:K261"/>
    <mergeCell ref="B282:K282"/>
    <mergeCell ref="B283:K283"/>
    <mergeCell ref="B284:K284"/>
    <mergeCell ref="A290:K290"/>
    <mergeCell ref="B292:K292"/>
  </mergeCells>
  <pageMargins left="0.78740157480314965" right="0.39370078740157483" top="1.1811023622047245" bottom="0.39370078740157483" header="0.31496062992125984" footer="0.31496062992125984"/>
  <pageSetup paperSize="9" scale="35" orientation="landscape" r:id="rId1"/>
  <rowBreaks count="9" manualBreakCount="9">
    <brk id="39" max="10" man="1"/>
    <brk id="65" max="10" man="1"/>
    <brk id="94" max="10" man="1"/>
    <brk id="129" max="10" man="1"/>
    <brk id="163" max="10" man="1"/>
    <brk id="197" max="10" man="1"/>
    <brk id="231" max="10" man="1"/>
    <brk id="259" max="10" man="1"/>
    <brk id="292" max="10" man="1"/>
  </rowBreaks>
</worksheet>
</file>

<file path=xl/worksheets/sheet5.xml><?xml version="1.0" encoding="utf-8"?>
<worksheet xmlns="http://schemas.openxmlformats.org/spreadsheetml/2006/main" xmlns:r="http://schemas.openxmlformats.org/officeDocument/2006/relationships">
  <dimension ref="A1"/>
  <sheetViews>
    <sheetView workbookViewId="0">
      <selection activeCell="E38" sqref="E38"/>
    </sheetView>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Додаток 1</vt:lpstr>
      <vt:lpstr>Додаток 2</vt:lpstr>
      <vt:lpstr>Додаток 3</vt:lpstr>
      <vt:lpstr>Додаток 4</vt:lpstr>
      <vt:lpstr>Лист1</vt:lpstr>
      <vt:lpstr>'Додаток 3'!Заголовки_для_печати</vt:lpstr>
      <vt:lpstr>'Додаток 4'!Заголовки_для_печати</vt:lpstr>
      <vt:lpstr>'Додаток 1'!Область_печати</vt:lpstr>
      <vt:lpstr>'Додаток 2'!Область_печати</vt:lpstr>
      <vt:lpstr>'Додаток 3'!Область_печати</vt:lpstr>
      <vt:lpstr>'Додаток 4'!Область_печати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Admin</cp:lastModifiedBy>
  <cp:lastPrinted>2020-12-28T11:23:16Z</cp:lastPrinted>
  <dcterms:created xsi:type="dcterms:W3CDTF">1996-10-08T23:32:33Z</dcterms:created>
  <dcterms:modified xsi:type="dcterms:W3CDTF">2020-12-28T11:26:02Z</dcterms:modified>
</cp:coreProperties>
</file>