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VFVS\2020\ДОДАТКИ\Бюджет розвитку\06 червень\"/>
    </mc:Choice>
  </mc:AlternateContent>
  <bookViews>
    <workbookView xWindow="0" yWindow="410" windowWidth="15300" windowHeight="7130" tabRatio="605"/>
  </bookViews>
  <sheets>
    <sheet name="дод 6 (с )" sheetId="13" r:id="rId1"/>
  </sheets>
  <definedNames>
    <definedName name="_xlnm.Print_Titles" localSheetId="0">'дод 6 (с )'!$20:$20</definedName>
    <definedName name="_xlnm.Print_Area" localSheetId="0">'дод 6 (с )'!$A$1:$N$759</definedName>
  </definedNames>
  <calcPr calcId="162913"/>
</workbook>
</file>

<file path=xl/calcChain.xml><?xml version="1.0" encoding="utf-8"?>
<calcChain xmlns="http://schemas.openxmlformats.org/spreadsheetml/2006/main">
  <c r="L325" i="13" l="1"/>
  <c r="M325" i="13" s="1"/>
  <c r="L28" i="13" l="1"/>
  <c r="L27" i="13" s="1"/>
  <c r="L55" i="13" l="1"/>
  <c r="M55" i="13"/>
  <c r="L427" i="13"/>
  <c r="M427" i="13"/>
  <c r="J273" i="13" l="1"/>
  <c r="K273" i="13"/>
  <c r="I273" i="13"/>
  <c r="L275" i="13"/>
  <c r="M275" i="13" s="1"/>
  <c r="K462" i="13"/>
  <c r="L455" i="13"/>
  <c r="M455" i="13" s="1"/>
  <c r="L456" i="13"/>
  <c r="M456" i="13" s="1"/>
  <c r="L454" i="13"/>
  <c r="M454" i="13" s="1"/>
  <c r="L470" i="13"/>
  <c r="M470" i="13" s="1"/>
  <c r="L481" i="13"/>
  <c r="M481" i="13" s="1"/>
  <c r="K652" i="13" l="1"/>
  <c r="K666" i="13"/>
  <c r="K664" i="13"/>
  <c r="K595" i="13"/>
  <c r="K713" i="13" l="1"/>
  <c r="J713" i="13"/>
  <c r="L714" i="13"/>
  <c r="M714" i="13" s="1"/>
  <c r="K617" i="13"/>
  <c r="K432" i="13" l="1"/>
  <c r="L432" i="13" s="1"/>
  <c r="M432" i="13" s="1"/>
  <c r="L552" i="13"/>
  <c r="M552" i="13" s="1"/>
  <c r="K281" i="13" l="1"/>
  <c r="L435" i="13" l="1"/>
  <c r="M435" i="13" s="1"/>
  <c r="J468" i="13" l="1"/>
  <c r="K468" i="13"/>
  <c r="L528" i="13"/>
  <c r="M528" i="13" s="1"/>
  <c r="J375" i="13" l="1"/>
  <c r="K375" i="13"/>
  <c r="L377" i="13"/>
  <c r="M377" i="13" s="1"/>
  <c r="L446" i="13"/>
  <c r="M446" i="13" s="1"/>
  <c r="L426" i="13" l="1"/>
  <c r="L437" i="13"/>
  <c r="M437" i="13" s="1"/>
  <c r="L355" i="13" l="1"/>
  <c r="M355" i="13" s="1"/>
  <c r="I105" i="13"/>
  <c r="J281" i="13" l="1"/>
  <c r="L298" i="13" l="1"/>
  <c r="L297" i="13" s="1"/>
  <c r="K297" i="13"/>
  <c r="J297" i="13"/>
  <c r="I297" i="13"/>
  <c r="J60" i="13"/>
  <c r="J750" i="13" s="1"/>
  <c r="K60" i="13"/>
  <c r="K750" i="13" s="1"/>
  <c r="I60" i="13"/>
  <c r="I750" i="13" s="1"/>
  <c r="J105" i="13"/>
  <c r="L104" i="13"/>
  <c r="M104" i="13" s="1"/>
  <c r="M60" i="13" s="1"/>
  <c r="M750" i="13" s="1"/>
  <c r="J59" i="13"/>
  <c r="L43" i="13"/>
  <c r="M43" i="13" s="1"/>
  <c r="L42" i="13"/>
  <c r="K41" i="13"/>
  <c r="J41" i="13"/>
  <c r="I41" i="13"/>
  <c r="L60" i="13" l="1"/>
  <c r="L750" i="13" s="1"/>
  <c r="M297" i="13"/>
  <c r="M298" i="13"/>
  <c r="L41" i="13"/>
  <c r="M42" i="13"/>
  <c r="M41" i="13" s="1"/>
  <c r="L688" i="13" l="1"/>
  <c r="M688" i="13" s="1"/>
  <c r="M687" i="13" s="1"/>
  <c r="J687" i="13"/>
  <c r="J684" i="13" s="1"/>
  <c r="K687" i="13"/>
  <c r="K684" i="13" s="1"/>
  <c r="J685" i="13"/>
  <c r="K685" i="13"/>
  <c r="I687" i="13"/>
  <c r="L687" i="13" l="1"/>
  <c r="L282" i="13"/>
  <c r="L161" i="13" l="1"/>
  <c r="M161" i="13" s="1"/>
  <c r="L195" i="13" l="1"/>
  <c r="M195" i="13" s="1"/>
  <c r="L703" i="13" l="1"/>
  <c r="M703" i="13" s="1"/>
  <c r="J701" i="13"/>
  <c r="L701" i="13" s="1"/>
  <c r="M701" i="13" s="1"/>
  <c r="L544" i="13" l="1"/>
  <c r="M544" i="13" s="1"/>
  <c r="L224" i="13" l="1"/>
  <c r="M224" i="13" s="1"/>
  <c r="L702" i="13" l="1"/>
  <c r="M702" i="13" s="1"/>
  <c r="J693" i="13" l="1"/>
  <c r="J690" i="13" s="1"/>
  <c r="I59" i="13" l="1"/>
  <c r="I749" i="13" s="1"/>
  <c r="J749" i="13"/>
  <c r="K59" i="13"/>
  <c r="K749" i="13" s="1"/>
  <c r="I58" i="13"/>
  <c r="J58" i="13"/>
  <c r="K58" i="13"/>
  <c r="L156" i="13"/>
  <c r="M156" i="13" s="1"/>
  <c r="L103" i="13"/>
  <c r="M103" i="13" s="1"/>
  <c r="I748" i="13" l="1"/>
  <c r="I746" i="13"/>
  <c r="K748" i="13"/>
  <c r="K746" i="13"/>
  <c r="J748" i="13"/>
  <c r="J746" i="13"/>
  <c r="M59" i="13"/>
  <c r="M749" i="13" s="1"/>
  <c r="L59" i="13"/>
  <c r="L749" i="13" s="1"/>
  <c r="L63" i="13"/>
  <c r="M63" i="13" l="1"/>
  <c r="J675" i="13"/>
  <c r="K675" i="13"/>
  <c r="I675" i="13"/>
  <c r="L676" i="13"/>
  <c r="M676" i="13" s="1"/>
  <c r="M675" i="13" s="1"/>
  <c r="L718" i="13"/>
  <c r="M718" i="13" s="1"/>
  <c r="L675" i="13" l="1"/>
  <c r="L337" i="13"/>
  <c r="M337" i="13" s="1"/>
  <c r="L323" i="13" l="1"/>
  <c r="M323" i="13" s="1"/>
  <c r="J38" i="13"/>
  <c r="K38" i="13"/>
  <c r="I38" i="13"/>
  <c r="L40" i="13"/>
  <c r="M40" i="13" s="1"/>
  <c r="L39" i="13"/>
  <c r="M39" i="13" s="1"/>
  <c r="M38" i="13" l="1"/>
  <c r="L38" i="13"/>
  <c r="L230" i="13"/>
  <c r="M230" i="13" s="1"/>
  <c r="K172" i="13"/>
  <c r="I172" i="13"/>
  <c r="J172" i="13"/>
  <c r="L266" i="13"/>
  <c r="L265" i="13" s="1"/>
  <c r="K265" i="13"/>
  <c r="J265" i="13"/>
  <c r="L264" i="13"/>
  <c r="M264" i="13" s="1"/>
  <c r="L263" i="13"/>
  <c r="M263" i="13" s="1"/>
  <c r="L262" i="13"/>
  <c r="M262" i="13" s="1"/>
  <c r="K261" i="13"/>
  <c r="J261" i="13"/>
  <c r="I261" i="13"/>
  <c r="L260" i="13"/>
  <c r="M260" i="13" s="1"/>
  <c r="M259" i="13" s="1"/>
  <c r="K259" i="13"/>
  <c r="J259" i="13"/>
  <c r="I259" i="13"/>
  <c r="M266" i="13" l="1"/>
  <c r="M265" i="13" s="1"/>
  <c r="I265" i="13"/>
  <c r="M261" i="13"/>
  <c r="L261" i="13"/>
  <c r="L259" i="13"/>
  <c r="L258" i="13" l="1"/>
  <c r="M258" i="13" s="1"/>
  <c r="L257" i="13"/>
  <c r="M257" i="13" s="1"/>
  <c r="L256" i="13"/>
  <c r="M256" i="13" s="1"/>
  <c r="L255" i="13"/>
  <c r="M255" i="13" s="1"/>
  <c r="L254" i="13"/>
  <c r="M254" i="13" s="1"/>
  <c r="L253" i="13"/>
  <c r="L252" i="13"/>
  <c r="M252" i="13" s="1"/>
  <c r="L251" i="13"/>
  <c r="M251" i="13" s="1"/>
  <c r="L250" i="13"/>
  <c r="M250" i="13" s="1"/>
  <c r="L249" i="13"/>
  <c r="M249" i="13" s="1"/>
  <c r="L248" i="13"/>
  <c r="M248" i="13" s="1"/>
  <c r="L247" i="13"/>
  <c r="M247" i="13" s="1"/>
  <c r="L246" i="13"/>
  <c r="I210" i="13"/>
  <c r="I171" i="13" s="1"/>
  <c r="L245" i="13"/>
  <c r="M245" i="13" s="1"/>
  <c r="L244" i="13"/>
  <c r="M244" i="13" s="1"/>
  <c r="L243" i="13"/>
  <c r="M243" i="13" s="1"/>
  <c r="L242" i="13"/>
  <c r="M242" i="13" s="1"/>
  <c r="L241" i="13"/>
  <c r="M241" i="13" s="1"/>
  <c r="L240" i="13"/>
  <c r="M240" i="13" s="1"/>
  <c r="L239" i="13"/>
  <c r="M239" i="13" s="1"/>
  <c r="L238" i="13"/>
  <c r="M238" i="13" s="1"/>
  <c r="L237" i="13"/>
  <c r="M237" i="13" s="1"/>
  <c r="L236" i="13"/>
  <c r="M236" i="13" s="1"/>
  <c r="L235" i="13"/>
  <c r="M235" i="13" s="1"/>
  <c r="L234" i="13"/>
  <c r="M234" i="13" s="1"/>
  <c r="L233" i="13"/>
  <c r="M233" i="13" s="1"/>
  <c r="L232" i="13"/>
  <c r="M232" i="13" s="1"/>
  <c r="L231" i="13"/>
  <c r="M231" i="13" s="1"/>
  <c r="L229" i="13"/>
  <c r="M229" i="13" s="1"/>
  <c r="L228" i="13"/>
  <c r="M228" i="13" s="1"/>
  <c r="L227" i="13"/>
  <c r="M227" i="13" s="1"/>
  <c r="L226" i="13"/>
  <c r="M226" i="13" s="1"/>
  <c r="L225" i="13"/>
  <c r="M225" i="13" s="1"/>
  <c r="L223" i="13"/>
  <c r="M223" i="13" s="1"/>
  <c r="L222" i="13"/>
  <c r="M222" i="13" s="1"/>
  <c r="L221" i="13"/>
  <c r="M221" i="13" s="1"/>
  <c r="L220" i="13"/>
  <c r="M220" i="13" s="1"/>
  <c r="L219" i="13"/>
  <c r="M219" i="13" s="1"/>
  <c r="L218" i="13"/>
  <c r="M218" i="13" s="1"/>
  <c r="L217" i="13"/>
  <c r="M217" i="13" s="1"/>
  <c r="L216" i="13"/>
  <c r="M216" i="13" s="1"/>
  <c r="L215" i="13"/>
  <c r="L214" i="13"/>
  <c r="M214" i="13" s="1"/>
  <c r="L213" i="13"/>
  <c r="M213" i="13" s="1"/>
  <c r="L212" i="13"/>
  <c r="M212" i="13" s="1"/>
  <c r="L211" i="13"/>
  <c r="M211" i="13" s="1"/>
  <c r="K210" i="13"/>
  <c r="K171" i="13" s="1"/>
  <c r="J210" i="13"/>
  <c r="J171" i="13" s="1"/>
  <c r="L208" i="13"/>
  <c r="M208" i="13" s="1"/>
  <c r="L207" i="13"/>
  <c r="L206" i="13"/>
  <c r="M206" i="13" s="1"/>
  <c r="L205" i="13"/>
  <c r="M205" i="13" s="1"/>
  <c r="L204" i="13"/>
  <c r="M204" i="13" s="1"/>
  <c r="L203" i="13"/>
  <c r="M203" i="13" s="1"/>
  <c r="L202" i="13"/>
  <c r="M202" i="13" s="1"/>
  <c r="L201" i="13"/>
  <c r="M201" i="13" s="1"/>
  <c r="L200" i="13"/>
  <c r="M200" i="13" s="1"/>
  <c r="L199" i="13"/>
  <c r="M199" i="13" s="1"/>
  <c r="L198" i="13"/>
  <c r="M198" i="13" s="1"/>
  <c r="L197" i="13"/>
  <c r="M197" i="13" s="1"/>
  <c r="L196" i="13"/>
  <c r="M196" i="13" s="1"/>
  <c r="L194" i="13"/>
  <c r="M194" i="13" s="1"/>
  <c r="L193" i="13"/>
  <c r="M193" i="13" s="1"/>
  <c r="L192" i="13"/>
  <c r="M192" i="13" s="1"/>
  <c r="L191" i="13"/>
  <c r="M191" i="13" s="1"/>
  <c r="L190" i="13"/>
  <c r="M190" i="13" s="1"/>
  <c r="L189" i="13"/>
  <c r="M189" i="13" s="1"/>
  <c r="L188" i="13"/>
  <c r="M188" i="13" s="1"/>
  <c r="L187" i="13"/>
  <c r="M187" i="13" s="1"/>
  <c r="L186" i="13"/>
  <c r="M186" i="13" s="1"/>
  <c r="L185" i="13"/>
  <c r="M185" i="13" s="1"/>
  <c r="L184" i="13"/>
  <c r="M184" i="13" s="1"/>
  <c r="L183" i="13"/>
  <c r="M183" i="13" s="1"/>
  <c r="L182" i="13"/>
  <c r="M182" i="13" s="1"/>
  <c r="L181" i="13"/>
  <c r="M181" i="13" s="1"/>
  <c r="L180" i="13"/>
  <c r="M180" i="13" s="1"/>
  <c r="L179" i="13"/>
  <c r="M179" i="13" s="1"/>
  <c r="L178" i="13"/>
  <c r="M178" i="13" s="1"/>
  <c r="L177" i="13"/>
  <c r="M177" i="13" s="1"/>
  <c r="L176" i="13"/>
  <c r="M176" i="13" s="1"/>
  <c r="L175" i="13"/>
  <c r="M175" i="13" s="1"/>
  <c r="L174" i="13"/>
  <c r="M174" i="13" s="1"/>
  <c r="L173" i="13"/>
  <c r="J279" i="13"/>
  <c r="K279" i="13"/>
  <c r="L285" i="13"/>
  <c r="M285" i="13" s="1"/>
  <c r="M215" i="13" l="1"/>
  <c r="M246" i="13"/>
  <c r="M207" i="13"/>
  <c r="M253" i="13"/>
  <c r="L210" i="13"/>
  <c r="M173" i="13"/>
  <c r="L699" i="13"/>
  <c r="M699" i="13" s="1"/>
  <c r="L700" i="13"/>
  <c r="M700" i="13" s="1"/>
  <c r="M210" i="13" l="1"/>
  <c r="I34" i="13"/>
  <c r="J542" i="13" l="1"/>
  <c r="K542" i="13"/>
  <c r="L543" i="13"/>
  <c r="M543" i="13" s="1"/>
  <c r="J530" i="13" l="1"/>
  <c r="K530" i="13"/>
  <c r="I530" i="13"/>
  <c r="L533" i="13"/>
  <c r="M533" i="13" s="1"/>
  <c r="L346" i="13"/>
  <c r="M346" i="13" s="1"/>
  <c r="J280" i="13" l="1"/>
  <c r="K280" i="13"/>
  <c r="L280" i="13"/>
  <c r="M280" i="13"/>
  <c r="I280" i="13"/>
  <c r="J729" i="13"/>
  <c r="J590" i="13" s="1"/>
  <c r="K729" i="13"/>
  <c r="K590" i="13" s="1"/>
  <c r="L729" i="13"/>
  <c r="L590" i="13" s="1"/>
  <c r="L747" i="13" s="1"/>
  <c r="M729" i="13"/>
  <c r="M590" i="13" s="1"/>
  <c r="I729" i="13"/>
  <c r="I590" i="13" s="1"/>
  <c r="I731" i="13"/>
  <c r="K747" i="13" l="1"/>
  <c r="I747" i="13"/>
  <c r="J747" i="13"/>
  <c r="M747" i="13"/>
  <c r="L704" i="13"/>
  <c r="M704" i="13" s="1"/>
  <c r="L593" i="13"/>
  <c r="M593" i="13" s="1"/>
  <c r="I321" i="13" l="1"/>
  <c r="I686" i="13"/>
  <c r="I457" i="13"/>
  <c r="I439" i="13"/>
  <c r="I440" i="13"/>
  <c r="I441" i="13"/>
  <c r="I362" i="13"/>
  <c r="I347" i="13"/>
  <c r="I354" i="13"/>
  <c r="I350" i="13"/>
  <c r="I348" i="13"/>
  <c r="I338" i="13"/>
  <c r="J307" i="13"/>
  <c r="K307" i="13"/>
  <c r="I307" i="13"/>
  <c r="I304" i="13"/>
  <c r="I281" i="13"/>
  <c r="I157" i="13"/>
  <c r="I684" i="13" l="1"/>
  <c r="I685" i="13"/>
  <c r="L349" i="13"/>
  <c r="M349" i="13" l="1"/>
  <c r="K411" i="13" l="1"/>
  <c r="J158" i="13" l="1"/>
  <c r="K158" i="13"/>
  <c r="I158" i="13"/>
  <c r="L209" i="13" l="1"/>
  <c r="K412" i="13"/>
  <c r="L404" i="13"/>
  <c r="M404" i="13" s="1"/>
  <c r="L403" i="13"/>
  <c r="M403" i="13" s="1"/>
  <c r="L402" i="13"/>
  <c r="M402" i="13" s="1"/>
  <c r="L401" i="13"/>
  <c r="M401" i="13" s="1"/>
  <c r="L400" i="13"/>
  <c r="M400" i="13" s="1"/>
  <c r="J380" i="13"/>
  <c r="K380" i="13"/>
  <c r="I380" i="13"/>
  <c r="L172" i="13" l="1"/>
  <c r="L171" i="13" s="1"/>
  <c r="M209" i="13"/>
  <c r="M172" i="13" l="1"/>
  <c r="M171" i="13" s="1"/>
  <c r="J731" i="13" l="1"/>
  <c r="J728" i="13" s="1"/>
  <c r="K731" i="13"/>
  <c r="K728" i="13" s="1"/>
  <c r="I728" i="13"/>
  <c r="L733" i="13"/>
  <c r="M733" i="13" s="1"/>
  <c r="L732" i="13"/>
  <c r="M732" i="13" s="1"/>
  <c r="L421" i="13"/>
  <c r="M421" i="13" s="1"/>
  <c r="M731" i="13" l="1"/>
  <c r="L731" i="13"/>
  <c r="L309" i="13"/>
  <c r="M309" i="13" s="1"/>
  <c r="L308" i="13"/>
  <c r="M308" i="13" l="1"/>
  <c r="M307" i="13" s="1"/>
  <c r="L307" i="13"/>
  <c r="I364" i="13" l="1"/>
  <c r="L347" i="13" l="1"/>
  <c r="M347" i="13" s="1"/>
  <c r="L362" i="13"/>
  <c r="M362" i="13" s="1"/>
  <c r="J52" i="13" l="1"/>
  <c r="K52" i="13"/>
  <c r="I52" i="13"/>
  <c r="L53" i="13"/>
  <c r="M53" i="13" s="1"/>
  <c r="L54" i="13"/>
  <c r="M54" i="13" s="1"/>
  <c r="M52" i="13" l="1"/>
  <c r="L52" i="13"/>
  <c r="I681" i="13"/>
  <c r="L284" i="13" l="1"/>
  <c r="M284" i="13" s="1"/>
  <c r="I610" i="13" l="1"/>
  <c r="I64" i="13"/>
  <c r="I99" i="13"/>
  <c r="I720" i="13"/>
  <c r="I666" i="13"/>
  <c r="I664" i="13"/>
  <c r="I663" i="13"/>
  <c r="I662" i="13"/>
  <c r="I661" i="13"/>
  <c r="I660" i="13"/>
  <c r="I659" i="13"/>
  <c r="I658" i="13"/>
  <c r="I657" i="13"/>
  <c r="I655" i="13"/>
  <c r="I652" i="13"/>
  <c r="I651" i="13"/>
  <c r="I648" i="13"/>
  <c r="I647" i="13"/>
  <c r="I646" i="13"/>
  <c r="I641" i="13"/>
  <c r="I639" i="13"/>
  <c r="I638" i="13"/>
  <c r="I637" i="13"/>
  <c r="I636" i="13"/>
  <c r="I635" i="13"/>
  <c r="I630" i="13"/>
  <c r="I627" i="13"/>
  <c r="I626" i="13"/>
  <c r="I618" i="13"/>
  <c r="I617" i="13"/>
  <c r="I616" i="13"/>
  <c r="I615" i="13"/>
  <c r="I614" i="13"/>
  <c r="I613" i="13"/>
  <c r="I612" i="13"/>
  <c r="I611" i="13"/>
  <c r="I609" i="13"/>
  <c r="I608" i="13"/>
  <c r="I605" i="13"/>
  <c r="I604" i="13"/>
  <c r="I603" i="13"/>
  <c r="I602" i="13"/>
  <c r="I601" i="13"/>
  <c r="I595" i="13"/>
  <c r="I553" i="13"/>
  <c r="I518" i="13"/>
  <c r="I447" i="13"/>
  <c r="I445" i="13"/>
  <c r="I434" i="13"/>
  <c r="I293" i="13"/>
  <c r="I291" i="13"/>
  <c r="I287" i="13"/>
  <c r="I279" i="13" s="1"/>
  <c r="I149" i="13"/>
  <c r="I278" i="13" l="1"/>
  <c r="K314" i="13" l="1"/>
  <c r="L360" i="13"/>
  <c r="M360" i="13" s="1"/>
  <c r="L743" i="13" l="1"/>
  <c r="M743" i="13" s="1"/>
  <c r="L742" i="13"/>
  <c r="M742" i="13" s="1"/>
  <c r="L741" i="13"/>
  <c r="K740" i="13"/>
  <c r="K739" i="13" s="1"/>
  <c r="J740" i="13"/>
  <c r="J739" i="13" s="1"/>
  <c r="I740" i="13"/>
  <c r="I739" i="13" s="1"/>
  <c r="L738" i="13"/>
  <c r="M738" i="13" s="1"/>
  <c r="L737" i="13"/>
  <c r="M737" i="13" s="1"/>
  <c r="L736" i="13"/>
  <c r="K735" i="13"/>
  <c r="J735" i="13"/>
  <c r="I735" i="13"/>
  <c r="L730" i="13"/>
  <c r="L726" i="13"/>
  <c r="K725" i="13"/>
  <c r="J725" i="13"/>
  <c r="I725" i="13"/>
  <c r="L724" i="13"/>
  <c r="M724" i="13" s="1"/>
  <c r="M723" i="13" s="1"/>
  <c r="K723" i="13"/>
  <c r="J723" i="13"/>
  <c r="I723" i="13"/>
  <c r="L722" i="13"/>
  <c r="M722" i="13" s="1"/>
  <c r="L721" i="13"/>
  <c r="M721" i="13" s="1"/>
  <c r="L720" i="13"/>
  <c r="M720" i="13" s="1"/>
  <c r="L719" i="13"/>
  <c r="I719" i="13"/>
  <c r="I713" i="13" s="1"/>
  <c r="L717" i="13"/>
  <c r="M717" i="13" s="1"/>
  <c r="L716" i="13"/>
  <c r="M716" i="13" s="1"/>
  <c r="L715" i="13"/>
  <c r="L712" i="13"/>
  <c r="M712" i="13" s="1"/>
  <c r="L711" i="13"/>
  <c r="M711" i="13" s="1"/>
  <c r="L710" i="13"/>
  <c r="M710" i="13" s="1"/>
  <c r="L709" i="13"/>
  <c r="M709" i="13" s="1"/>
  <c r="L708" i="13"/>
  <c r="M708" i="13" s="1"/>
  <c r="L707" i="13"/>
  <c r="M707" i="13" s="1"/>
  <c r="L706" i="13"/>
  <c r="M706" i="13" s="1"/>
  <c r="L705" i="13"/>
  <c r="M705" i="13" s="1"/>
  <c r="L698" i="13"/>
  <c r="M698" i="13" s="1"/>
  <c r="L697" i="13"/>
  <c r="M697" i="13" s="1"/>
  <c r="L696" i="13"/>
  <c r="M696" i="13" s="1"/>
  <c r="L695" i="13"/>
  <c r="M695" i="13" s="1"/>
  <c r="L694" i="13"/>
  <c r="I694" i="13"/>
  <c r="L693" i="13"/>
  <c r="I693" i="13"/>
  <c r="L692" i="13"/>
  <c r="M692" i="13" s="1"/>
  <c r="L691" i="13"/>
  <c r="I691" i="13"/>
  <c r="K690" i="13"/>
  <c r="L686" i="13"/>
  <c r="L683" i="13"/>
  <c r="M683" i="13" s="1"/>
  <c r="L682" i="13"/>
  <c r="M682" i="13" s="1"/>
  <c r="L681" i="13"/>
  <c r="I680" i="13"/>
  <c r="I679" i="13" s="1"/>
  <c r="K680" i="13"/>
  <c r="K679" i="13" s="1"/>
  <c r="J680" i="13"/>
  <c r="J679" i="13" s="1"/>
  <c r="L678" i="13"/>
  <c r="M678" i="13" s="1"/>
  <c r="M677" i="13" s="1"/>
  <c r="M674" i="13" s="1"/>
  <c r="K677" i="13"/>
  <c r="K674" i="13" s="1"/>
  <c r="J677" i="13"/>
  <c r="J674" i="13" s="1"/>
  <c r="I677" i="13"/>
  <c r="I674" i="13" s="1"/>
  <c r="L673" i="13"/>
  <c r="M673" i="13" s="1"/>
  <c r="M672" i="13" s="1"/>
  <c r="K672" i="13"/>
  <c r="J672" i="13"/>
  <c r="I672" i="13"/>
  <c r="L671" i="13"/>
  <c r="M671" i="13" s="1"/>
  <c r="L670" i="13"/>
  <c r="M670" i="13" s="1"/>
  <c r="K669" i="13"/>
  <c r="J669" i="13"/>
  <c r="I669" i="13"/>
  <c r="L667" i="13"/>
  <c r="M667" i="13" s="1"/>
  <c r="L666" i="13"/>
  <c r="M666" i="13" s="1"/>
  <c r="L665" i="13"/>
  <c r="M665" i="13" s="1"/>
  <c r="L664" i="13"/>
  <c r="M664" i="13" s="1"/>
  <c r="L663" i="13"/>
  <c r="M663" i="13" s="1"/>
  <c r="L662" i="13"/>
  <c r="L661" i="13"/>
  <c r="L660" i="13"/>
  <c r="M660" i="13" s="1"/>
  <c r="L659" i="13"/>
  <c r="M659" i="13" s="1"/>
  <c r="L658" i="13"/>
  <c r="M658" i="13" s="1"/>
  <c r="L657" i="13"/>
  <c r="L656" i="13"/>
  <c r="M656" i="13" s="1"/>
  <c r="L655" i="13"/>
  <c r="L654" i="13"/>
  <c r="M654" i="13" s="1"/>
  <c r="L653" i="13"/>
  <c r="I653" i="13"/>
  <c r="L652" i="13"/>
  <c r="M652" i="13" s="1"/>
  <c r="L651" i="13"/>
  <c r="M651" i="13" s="1"/>
  <c r="L650" i="13"/>
  <c r="M650" i="13" s="1"/>
  <c r="L649" i="13"/>
  <c r="M649" i="13" s="1"/>
  <c r="L648" i="13"/>
  <c r="M648" i="13" s="1"/>
  <c r="L647" i="13"/>
  <c r="L646" i="13"/>
  <c r="M646" i="13" s="1"/>
  <c r="L645" i="13"/>
  <c r="M645" i="13" s="1"/>
  <c r="L644" i="13"/>
  <c r="I644" i="13"/>
  <c r="L643" i="13"/>
  <c r="I643" i="13"/>
  <c r="L642" i="13"/>
  <c r="I642" i="13"/>
  <c r="L641" i="13"/>
  <c r="M641" i="13" s="1"/>
  <c r="L640" i="13"/>
  <c r="I640" i="13"/>
  <c r="L639" i="13"/>
  <c r="M639" i="13" s="1"/>
  <c r="L638" i="13"/>
  <c r="M638" i="13" s="1"/>
  <c r="L637" i="13"/>
  <c r="L636" i="13"/>
  <c r="M636" i="13" s="1"/>
  <c r="L635" i="13"/>
  <c r="M635" i="13" s="1"/>
  <c r="L634" i="13"/>
  <c r="I634" i="13"/>
  <c r="L633" i="13"/>
  <c r="I633" i="13"/>
  <c r="L632" i="13"/>
  <c r="I632" i="13"/>
  <c r="L631" i="13"/>
  <c r="I631" i="13"/>
  <c r="L630" i="13"/>
  <c r="M630" i="13" s="1"/>
  <c r="L629" i="13"/>
  <c r="I629" i="13"/>
  <c r="L628" i="13"/>
  <c r="M628" i="13" s="1"/>
  <c r="L627" i="13"/>
  <c r="M627" i="13" s="1"/>
  <c r="L626" i="13"/>
  <c r="L625" i="13"/>
  <c r="M625" i="13" s="1"/>
  <c r="L624" i="13"/>
  <c r="M624" i="13" s="1"/>
  <c r="L623" i="13"/>
  <c r="M623" i="13" s="1"/>
  <c r="L622" i="13"/>
  <c r="I622" i="13"/>
  <c r="L621" i="13"/>
  <c r="M621" i="13" s="1"/>
  <c r="L620" i="13"/>
  <c r="I620" i="13"/>
  <c r="L619" i="13"/>
  <c r="I619" i="13"/>
  <c r="L618" i="13"/>
  <c r="M618" i="13" s="1"/>
  <c r="L617" i="13"/>
  <c r="M617" i="13" s="1"/>
  <c r="L616" i="13"/>
  <c r="M616" i="13" s="1"/>
  <c r="L615" i="13"/>
  <c r="M615" i="13" s="1"/>
  <c r="L614" i="13"/>
  <c r="M614" i="13" s="1"/>
  <c r="L613" i="13"/>
  <c r="L612" i="13"/>
  <c r="M612" i="13" s="1"/>
  <c r="L611" i="13"/>
  <c r="M611" i="13" s="1"/>
  <c r="L610" i="13"/>
  <c r="L609" i="13"/>
  <c r="M609" i="13" s="1"/>
  <c r="L608" i="13"/>
  <c r="M608" i="13" s="1"/>
  <c r="L607" i="13"/>
  <c r="I607" i="13"/>
  <c r="L606" i="13"/>
  <c r="I606" i="13"/>
  <c r="L605" i="13"/>
  <c r="M605" i="13" s="1"/>
  <c r="L604" i="13"/>
  <c r="M604" i="13" s="1"/>
  <c r="L603" i="13"/>
  <c r="M603" i="13" s="1"/>
  <c r="L602" i="13"/>
  <c r="M602" i="13" s="1"/>
  <c r="L601" i="13"/>
  <c r="M601" i="13" s="1"/>
  <c r="L600" i="13"/>
  <c r="I600" i="13"/>
  <c r="L599" i="13"/>
  <c r="M599" i="13" s="1"/>
  <c r="L598" i="13"/>
  <c r="M598" i="13" s="1"/>
  <c r="L597" i="13"/>
  <c r="M597" i="13" s="1"/>
  <c r="L596" i="13"/>
  <c r="M596" i="13" s="1"/>
  <c r="L595" i="13"/>
  <c r="M595" i="13" s="1"/>
  <c r="L594" i="13"/>
  <c r="M594" i="13" s="1"/>
  <c r="L592" i="13"/>
  <c r="M592" i="13" s="1"/>
  <c r="K591" i="13"/>
  <c r="J591" i="13"/>
  <c r="L587" i="13"/>
  <c r="K586" i="13"/>
  <c r="K585" i="13" s="1"/>
  <c r="J586" i="13"/>
  <c r="J585" i="13" s="1"/>
  <c r="I586" i="13"/>
  <c r="I585" i="13" s="1"/>
  <c r="L584" i="13"/>
  <c r="M584" i="13" s="1"/>
  <c r="L583" i="13"/>
  <c r="M583" i="13" s="1"/>
  <c r="L582" i="13"/>
  <c r="M582" i="13" s="1"/>
  <c r="L581" i="13"/>
  <c r="M581" i="13" s="1"/>
  <c r="L580" i="13"/>
  <c r="M580" i="13" s="1"/>
  <c r="L579" i="13"/>
  <c r="M579" i="13" s="1"/>
  <c r="L578" i="13"/>
  <c r="M578" i="13" s="1"/>
  <c r="L577" i="13"/>
  <c r="K576" i="13"/>
  <c r="J576" i="13"/>
  <c r="I576" i="13"/>
  <c r="K575" i="13"/>
  <c r="J575" i="13"/>
  <c r="I575" i="13"/>
  <c r="L574" i="13"/>
  <c r="M574" i="13" s="1"/>
  <c r="L573" i="13"/>
  <c r="M573" i="13" s="1"/>
  <c r="L572" i="13"/>
  <c r="M572" i="13" s="1"/>
  <c r="L571" i="13"/>
  <c r="M571" i="13" s="1"/>
  <c r="L570" i="13"/>
  <c r="M570" i="13" s="1"/>
  <c r="L569" i="13"/>
  <c r="M569" i="13" s="1"/>
  <c r="L568" i="13"/>
  <c r="K567" i="13"/>
  <c r="J567" i="13"/>
  <c r="I567" i="13"/>
  <c r="K566" i="13"/>
  <c r="J566" i="13"/>
  <c r="I566" i="13"/>
  <c r="L563" i="13"/>
  <c r="K562" i="13"/>
  <c r="J562" i="13"/>
  <c r="I562" i="13"/>
  <c r="L561" i="13"/>
  <c r="L560" i="13" s="1"/>
  <c r="K560" i="13"/>
  <c r="J560" i="13"/>
  <c r="I560" i="13"/>
  <c r="L558" i="13"/>
  <c r="L557" i="13" s="1"/>
  <c r="K557" i="13"/>
  <c r="J557" i="13"/>
  <c r="I557" i="13"/>
  <c r="L556" i="13"/>
  <c r="M556" i="13" s="1"/>
  <c r="M555" i="13" s="1"/>
  <c r="K555" i="13"/>
  <c r="J555" i="13"/>
  <c r="I555" i="13"/>
  <c r="L554" i="13"/>
  <c r="I554" i="13"/>
  <c r="L553" i="13"/>
  <c r="M553" i="13" s="1"/>
  <c r="L551" i="13"/>
  <c r="I551" i="13"/>
  <c r="K550" i="13"/>
  <c r="K541" i="13" s="1"/>
  <c r="J550" i="13"/>
  <c r="L549" i="13"/>
  <c r="M549" i="13" s="1"/>
  <c r="L548" i="13"/>
  <c r="M548" i="13" s="1"/>
  <c r="L547" i="13"/>
  <c r="M547" i="13" s="1"/>
  <c r="L546" i="13"/>
  <c r="M546" i="13" s="1"/>
  <c r="L545" i="13"/>
  <c r="I545" i="13"/>
  <c r="I542" i="13" s="1"/>
  <c r="L540" i="13"/>
  <c r="I540" i="13"/>
  <c r="L539" i="13"/>
  <c r="I539" i="13"/>
  <c r="G539" i="13"/>
  <c r="L538" i="13"/>
  <c r="I538" i="13"/>
  <c r="G538" i="13"/>
  <c r="L537" i="13"/>
  <c r="I537" i="13"/>
  <c r="L536" i="13"/>
  <c r="M536" i="13" s="1"/>
  <c r="L535" i="13"/>
  <c r="I535" i="13"/>
  <c r="K534" i="13"/>
  <c r="J534" i="13"/>
  <c r="L532" i="13"/>
  <c r="L531" i="13"/>
  <c r="L529" i="13"/>
  <c r="M529" i="13" s="1"/>
  <c r="L527" i="13"/>
  <c r="M527" i="13" s="1"/>
  <c r="L526" i="13"/>
  <c r="M526" i="13" s="1"/>
  <c r="L525" i="13"/>
  <c r="M525" i="13" s="1"/>
  <c r="L524" i="13"/>
  <c r="M524" i="13" s="1"/>
  <c r="L523" i="13"/>
  <c r="M523" i="13" s="1"/>
  <c r="L522" i="13"/>
  <c r="M522" i="13" s="1"/>
  <c r="K521" i="13"/>
  <c r="J521" i="13"/>
  <c r="I521" i="13"/>
  <c r="L519" i="13"/>
  <c r="M519" i="13" s="1"/>
  <c r="J517" i="13"/>
  <c r="I517" i="13"/>
  <c r="L516" i="13"/>
  <c r="M516" i="13" s="1"/>
  <c r="L515" i="13"/>
  <c r="M515" i="13" s="1"/>
  <c r="L514" i="13"/>
  <c r="M514" i="13" s="1"/>
  <c r="L513" i="13"/>
  <c r="M513" i="13" s="1"/>
  <c r="L512" i="13"/>
  <c r="M512" i="13" s="1"/>
  <c r="L511" i="13"/>
  <c r="M511" i="13" s="1"/>
  <c r="L510" i="13"/>
  <c r="M510" i="13" s="1"/>
  <c r="L509" i="13"/>
  <c r="M509" i="13" s="1"/>
  <c r="L508" i="13"/>
  <c r="M508" i="13" s="1"/>
  <c r="L507" i="13"/>
  <c r="M507" i="13" s="1"/>
  <c r="L506" i="13"/>
  <c r="K505" i="13"/>
  <c r="J505" i="13"/>
  <c r="I505" i="13"/>
  <c r="L504" i="13"/>
  <c r="I504" i="13"/>
  <c r="L503" i="13"/>
  <c r="I503" i="13"/>
  <c r="L502" i="13"/>
  <c r="I502" i="13"/>
  <c r="L501" i="13"/>
  <c r="I501" i="13"/>
  <c r="L500" i="13"/>
  <c r="I500" i="13"/>
  <c r="K499" i="13"/>
  <c r="J499" i="13"/>
  <c r="L498" i="13"/>
  <c r="M498" i="13" s="1"/>
  <c r="L497" i="13"/>
  <c r="M497" i="13" s="1"/>
  <c r="L496" i="13"/>
  <c r="M496" i="13" s="1"/>
  <c r="L495" i="13"/>
  <c r="M495" i="13" s="1"/>
  <c r="L494" i="13"/>
  <c r="M494" i="13" s="1"/>
  <c r="L493" i="13"/>
  <c r="M493" i="13" s="1"/>
  <c r="L492" i="13"/>
  <c r="M492" i="13" s="1"/>
  <c r="L491" i="13"/>
  <c r="M491" i="13" s="1"/>
  <c r="L490" i="13"/>
  <c r="M490" i="13" s="1"/>
  <c r="L489" i="13"/>
  <c r="M489" i="13" s="1"/>
  <c r="L488" i="13"/>
  <c r="M488" i="13" s="1"/>
  <c r="L487" i="13"/>
  <c r="M487" i="13" s="1"/>
  <c r="L486" i="13"/>
  <c r="M486" i="13" s="1"/>
  <c r="L485" i="13"/>
  <c r="I485" i="13"/>
  <c r="L484" i="13"/>
  <c r="I484" i="13"/>
  <c r="L483" i="13"/>
  <c r="M483" i="13" s="1"/>
  <c r="L482" i="13"/>
  <c r="I482" i="13"/>
  <c r="L480" i="13"/>
  <c r="M480" i="13" s="1"/>
  <c r="L479" i="13"/>
  <c r="M479" i="13" s="1"/>
  <c r="L478" i="13"/>
  <c r="M478" i="13" s="1"/>
  <c r="L477" i="13"/>
  <c r="M477" i="13" s="1"/>
  <c r="L476" i="13"/>
  <c r="M476" i="13" s="1"/>
  <c r="L475" i="13"/>
  <c r="M475" i="13" s="1"/>
  <c r="L474" i="13"/>
  <c r="M474" i="13" s="1"/>
  <c r="L473" i="13"/>
  <c r="M473" i="13" s="1"/>
  <c r="L472" i="13"/>
  <c r="M472" i="13" s="1"/>
  <c r="L471" i="13"/>
  <c r="M471" i="13" s="1"/>
  <c r="L469" i="13"/>
  <c r="L467" i="13"/>
  <c r="I467" i="13"/>
  <c r="L466" i="13"/>
  <c r="I466" i="13"/>
  <c r="L465" i="13"/>
  <c r="M465" i="13" s="1"/>
  <c r="L464" i="13"/>
  <c r="M464" i="13" s="1"/>
  <c r="L463" i="13"/>
  <c r="M463" i="13" s="1"/>
  <c r="L462" i="13"/>
  <c r="M462" i="13" s="1"/>
  <c r="L461" i="13"/>
  <c r="M461" i="13" s="1"/>
  <c r="L460" i="13"/>
  <c r="M460" i="13" s="1"/>
  <c r="L459" i="13"/>
  <c r="M459" i="13" s="1"/>
  <c r="L458" i="13"/>
  <c r="M458" i="13" s="1"/>
  <c r="L457" i="13"/>
  <c r="M457" i="13" s="1"/>
  <c r="L453" i="13"/>
  <c r="M453" i="13" s="1"/>
  <c r="L452" i="13"/>
  <c r="M452" i="13" s="1"/>
  <c r="L451" i="13"/>
  <c r="M451" i="13" s="1"/>
  <c r="L450" i="13"/>
  <c r="M450" i="13" s="1"/>
  <c r="K449" i="13"/>
  <c r="J449" i="13"/>
  <c r="L447" i="13"/>
  <c r="M447" i="13" s="1"/>
  <c r="L445" i="13"/>
  <c r="M445" i="13" s="1"/>
  <c r="L439" i="13"/>
  <c r="M439" i="13" s="1"/>
  <c r="L440" i="13"/>
  <c r="M440" i="13" s="1"/>
  <c r="L444" i="13"/>
  <c r="M444" i="13" s="1"/>
  <c r="L443" i="13"/>
  <c r="M443" i="13" s="1"/>
  <c r="L442" i="13"/>
  <c r="M442" i="13" s="1"/>
  <c r="L441" i="13"/>
  <c r="M441" i="13" s="1"/>
  <c r="L438" i="13"/>
  <c r="M438" i="13" s="1"/>
  <c r="L448" i="13"/>
  <c r="M448" i="13" s="1"/>
  <c r="L436" i="13"/>
  <c r="M436" i="13" s="1"/>
  <c r="L434" i="13"/>
  <c r="M434" i="13" s="1"/>
  <c r="L433" i="13"/>
  <c r="M433" i="13" s="1"/>
  <c r="L431" i="13"/>
  <c r="M431" i="13" s="1"/>
  <c r="L430" i="13"/>
  <c r="M430" i="13" s="1"/>
  <c r="L429" i="13"/>
  <c r="M429" i="13" s="1"/>
  <c r="L428" i="13"/>
  <c r="M426" i="13"/>
  <c r="L424" i="13"/>
  <c r="M424" i="13" s="1"/>
  <c r="M423" i="13" s="1"/>
  <c r="K423" i="13"/>
  <c r="J423" i="13"/>
  <c r="I423" i="13"/>
  <c r="L420" i="13"/>
  <c r="M420" i="13" s="1"/>
  <c r="L419" i="13"/>
  <c r="M419" i="13" s="1"/>
  <c r="L418" i="13"/>
  <c r="M418" i="13" s="1"/>
  <c r="L417" i="13"/>
  <c r="M417" i="13" s="1"/>
  <c r="L416" i="13"/>
  <c r="M416" i="13" s="1"/>
  <c r="L415" i="13"/>
  <c r="M415" i="13" s="1"/>
  <c r="L414" i="13"/>
  <c r="M414" i="13" s="1"/>
  <c r="L413" i="13"/>
  <c r="M413" i="13" s="1"/>
  <c r="L412" i="13"/>
  <c r="M412" i="13" s="1"/>
  <c r="L411" i="13"/>
  <c r="M411" i="13" s="1"/>
  <c r="L410" i="13"/>
  <c r="M410" i="13" s="1"/>
  <c r="L409" i="13"/>
  <c r="M409" i="13" s="1"/>
  <c r="L408" i="13"/>
  <c r="I408" i="13"/>
  <c r="I405" i="13" s="1"/>
  <c r="L407" i="13"/>
  <c r="M407" i="13" s="1"/>
  <c r="L406" i="13"/>
  <c r="M406" i="13" s="1"/>
  <c r="K405" i="13"/>
  <c r="J405" i="13"/>
  <c r="L399" i="13"/>
  <c r="M399" i="13" s="1"/>
  <c r="L398" i="13"/>
  <c r="M398" i="13" s="1"/>
  <c r="L397" i="13"/>
  <c r="M397" i="13" s="1"/>
  <c r="L396" i="13"/>
  <c r="M396" i="13" s="1"/>
  <c r="L395" i="13"/>
  <c r="M395" i="13" s="1"/>
  <c r="L394" i="13"/>
  <c r="M394" i="13" s="1"/>
  <c r="L393" i="13"/>
  <c r="M393" i="13" s="1"/>
  <c r="L392" i="13"/>
  <c r="M392" i="13" s="1"/>
  <c r="L391" i="13"/>
  <c r="M391" i="13" s="1"/>
  <c r="L390" i="13"/>
  <c r="M390" i="13" s="1"/>
  <c r="L389" i="13"/>
  <c r="M389" i="13" s="1"/>
  <c r="L388" i="13"/>
  <c r="M388" i="13" s="1"/>
  <c r="L387" i="13"/>
  <c r="M387" i="13" s="1"/>
  <c r="L386" i="13"/>
  <c r="M386" i="13" s="1"/>
  <c r="L385" i="13"/>
  <c r="M385" i="13" s="1"/>
  <c r="L384" i="13"/>
  <c r="M384" i="13" s="1"/>
  <c r="L383" i="13"/>
  <c r="M383" i="13" s="1"/>
  <c r="L382" i="13"/>
  <c r="M382" i="13" s="1"/>
  <c r="L381" i="13"/>
  <c r="M381" i="13" s="1"/>
  <c r="L378" i="13"/>
  <c r="M378" i="13" s="1"/>
  <c r="L376" i="13"/>
  <c r="L375" i="13" s="1"/>
  <c r="I376" i="13"/>
  <c r="K374" i="13"/>
  <c r="J374" i="13"/>
  <c r="L373" i="13"/>
  <c r="I373" i="13"/>
  <c r="I365" i="13" s="1"/>
  <c r="L372" i="13"/>
  <c r="M372" i="13" s="1"/>
  <c r="L371" i="13"/>
  <c r="M371" i="13" s="1"/>
  <c r="L370" i="13"/>
  <c r="M370" i="13" s="1"/>
  <c r="L369" i="13"/>
  <c r="M369" i="13" s="1"/>
  <c r="L368" i="13"/>
  <c r="M368" i="13" s="1"/>
  <c r="L367" i="13"/>
  <c r="M367" i="13" s="1"/>
  <c r="L366" i="13"/>
  <c r="M366" i="13" s="1"/>
  <c r="K365" i="13"/>
  <c r="J365" i="13"/>
  <c r="L364" i="13"/>
  <c r="L363" i="13"/>
  <c r="I363" i="13"/>
  <c r="I314" i="13" s="1"/>
  <c r="L361" i="13"/>
  <c r="M361" i="13" s="1"/>
  <c r="L359" i="13"/>
  <c r="M359" i="13" s="1"/>
  <c r="L358" i="13"/>
  <c r="M358" i="13" s="1"/>
  <c r="L357" i="13"/>
  <c r="M357" i="13" s="1"/>
  <c r="L356" i="13"/>
  <c r="M356" i="13" s="1"/>
  <c r="L354" i="13"/>
  <c r="M354" i="13" s="1"/>
  <c r="L353" i="13"/>
  <c r="M353" i="13" s="1"/>
  <c r="L352" i="13"/>
  <c r="M352" i="13" s="1"/>
  <c r="L351" i="13"/>
  <c r="M351" i="13" s="1"/>
  <c r="L350" i="13"/>
  <c r="M350" i="13" s="1"/>
  <c r="L348" i="13"/>
  <c r="M348" i="13" s="1"/>
  <c r="L345" i="13"/>
  <c r="M345" i="13" s="1"/>
  <c r="L344" i="13"/>
  <c r="M344" i="13" s="1"/>
  <c r="L343" i="13"/>
  <c r="M343" i="13" s="1"/>
  <c r="L342" i="13"/>
  <c r="M342" i="13" s="1"/>
  <c r="L341" i="13"/>
  <c r="M341" i="13" s="1"/>
  <c r="L340" i="13"/>
  <c r="M340" i="13" s="1"/>
  <c r="L339" i="13"/>
  <c r="M339" i="13" s="1"/>
  <c r="L338" i="13"/>
  <c r="M338" i="13" s="1"/>
  <c r="L336" i="13"/>
  <c r="M336" i="13" s="1"/>
  <c r="L335" i="13"/>
  <c r="M335" i="13" s="1"/>
  <c r="L334" i="13"/>
  <c r="M334" i="13" s="1"/>
  <c r="L333" i="13"/>
  <c r="M333" i="13" s="1"/>
  <c r="L332" i="13"/>
  <c r="M332" i="13" s="1"/>
  <c r="L331" i="13"/>
  <c r="M331" i="13" s="1"/>
  <c r="L330" i="13"/>
  <c r="M330" i="13" s="1"/>
  <c r="L329" i="13"/>
  <c r="M329" i="13" s="1"/>
  <c r="L328" i="13"/>
  <c r="M328" i="13" s="1"/>
  <c r="L327" i="13"/>
  <c r="M327" i="13" s="1"/>
  <c r="L326" i="13"/>
  <c r="M326" i="13" s="1"/>
  <c r="L324" i="13"/>
  <c r="M324" i="13" s="1"/>
  <c r="L322" i="13"/>
  <c r="M322" i="13" s="1"/>
  <c r="L321" i="13"/>
  <c r="M321" i="13" s="1"/>
  <c r="L320" i="13"/>
  <c r="M320" i="13" s="1"/>
  <c r="L319" i="13"/>
  <c r="M319" i="13" s="1"/>
  <c r="L318" i="13"/>
  <c r="M318" i="13" s="1"/>
  <c r="L317" i="13"/>
  <c r="M317" i="13" s="1"/>
  <c r="L316" i="13"/>
  <c r="M316" i="13" s="1"/>
  <c r="L315" i="13"/>
  <c r="J314" i="13"/>
  <c r="K303" i="13"/>
  <c r="K302" i="13" s="1"/>
  <c r="J303" i="13"/>
  <c r="J302" i="13" s="1"/>
  <c r="L306" i="13"/>
  <c r="M306" i="13" s="1"/>
  <c r="L305" i="13"/>
  <c r="I305" i="13"/>
  <c r="L304" i="13"/>
  <c r="L301" i="13"/>
  <c r="L300" i="13" s="1"/>
  <c r="L299" i="13" s="1"/>
  <c r="K300" i="13"/>
  <c r="K299" i="13" s="1"/>
  <c r="J300" i="13"/>
  <c r="J299" i="13" s="1"/>
  <c r="I300" i="13"/>
  <c r="I299" i="13" s="1"/>
  <c r="L296" i="13"/>
  <c r="M296" i="13" s="1"/>
  <c r="L295" i="13"/>
  <c r="K294" i="13"/>
  <c r="K292" i="13" s="1"/>
  <c r="J294" i="13"/>
  <c r="J292" i="13" s="1"/>
  <c r="I294" i="13"/>
  <c r="I292" i="13" s="1"/>
  <c r="L293" i="13"/>
  <c r="M293" i="13" s="1"/>
  <c r="L291" i="13"/>
  <c r="M291" i="13" s="1"/>
  <c r="L286" i="13"/>
  <c r="M286" i="13" s="1"/>
  <c r="L287" i="13"/>
  <c r="M287" i="13" s="1"/>
  <c r="L283" i="13"/>
  <c r="M283" i="13" s="1"/>
  <c r="M282" i="13"/>
  <c r="J278" i="13"/>
  <c r="K278" i="13"/>
  <c r="L277" i="13"/>
  <c r="M277" i="13" s="1"/>
  <c r="L276" i="13"/>
  <c r="M276" i="13" s="1"/>
  <c r="L274" i="13"/>
  <c r="K271" i="13"/>
  <c r="J271" i="13"/>
  <c r="I271" i="13"/>
  <c r="L272" i="13"/>
  <c r="L270" i="13"/>
  <c r="M270" i="13" s="1"/>
  <c r="M268" i="13" s="1"/>
  <c r="M61" i="13" s="1"/>
  <c r="L269" i="13"/>
  <c r="M269" i="13" s="1"/>
  <c r="M267" i="13" s="1"/>
  <c r="K268" i="13"/>
  <c r="K61" i="13" s="1"/>
  <c r="J268" i="13"/>
  <c r="J61" i="13" s="1"/>
  <c r="I268" i="13"/>
  <c r="I61" i="13" s="1"/>
  <c r="K267" i="13"/>
  <c r="J267" i="13"/>
  <c r="I267" i="13"/>
  <c r="L170" i="13"/>
  <c r="I170" i="13"/>
  <c r="L169" i="13"/>
  <c r="L168" i="13" s="1"/>
  <c r="I169" i="13"/>
  <c r="K168" i="13"/>
  <c r="K166" i="13" s="1"/>
  <c r="J168" i="13"/>
  <c r="J166" i="13" s="1"/>
  <c r="L167" i="13"/>
  <c r="M167" i="13" s="1"/>
  <c r="L165" i="13"/>
  <c r="M165" i="13" s="1"/>
  <c r="L164" i="13"/>
  <c r="M164" i="13" s="1"/>
  <c r="L163" i="13"/>
  <c r="K162" i="13"/>
  <c r="K160" i="13" s="1"/>
  <c r="J162" i="13"/>
  <c r="J160" i="13" s="1"/>
  <c r="I162" i="13"/>
  <c r="I160" i="13" s="1"/>
  <c r="L159" i="13"/>
  <c r="L158" i="13" s="1"/>
  <c r="K155" i="13"/>
  <c r="J155" i="13"/>
  <c r="I155" i="13"/>
  <c r="L157" i="13"/>
  <c r="M157" i="13" s="1"/>
  <c r="L154" i="13"/>
  <c r="M154" i="13" s="1"/>
  <c r="L153" i="13"/>
  <c r="M153" i="13" s="1"/>
  <c r="L152" i="13"/>
  <c r="M152" i="13" s="1"/>
  <c r="L151" i="13"/>
  <c r="M151" i="13" s="1"/>
  <c r="L150" i="13"/>
  <c r="M150" i="13" s="1"/>
  <c r="K106" i="13"/>
  <c r="K101" i="13" s="1"/>
  <c r="L148" i="13"/>
  <c r="M148" i="13" s="1"/>
  <c r="L147" i="13"/>
  <c r="M147" i="13" s="1"/>
  <c r="L146" i="13"/>
  <c r="M146" i="13" s="1"/>
  <c r="L145" i="13"/>
  <c r="M145" i="13" s="1"/>
  <c r="L144" i="13"/>
  <c r="M144" i="13" s="1"/>
  <c r="L143" i="13"/>
  <c r="M143" i="13" s="1"/>
  <c r="L142" i="13"/>
  <c r="I142" i="13"/>
  <c r="L141" i="13"/>
  <c r="M141" i="13" s="1"/>
  <c r="L140" i="13"/>
  <c r="M140" i="13" s="1"/>
  <c r="L139" i="13"/>
  <c r="M139" i="13" s="1"/>
  <c r="L138" i="13"/>
  <c r="M138" i="13" s="1"/>
  <c r="L137" i="13"/>
  <c r="M137" i="13" s="1"/>
  <c r="L136" i="13"/>
  <c r="M136" i="13" s="1"/>
  <c r="L135" i="13"/>
  <c r="M135" i="13" s="1"/>
  <c r="L134" i="13"/>
  <c r="M134" i="13" s="1"/>
  <c r="L133" i="13"/>
  <c r="M133" i="13" s="1"/>
  <c r="L132" i="13"/>
  <c r="M132" i="13" s="1"/>
  <c r="L131" i="13"/>
  <c r="M131" i="13" s="1"/>
  <c r="L130" i="13"/>
  <c r="M130" i="13" s="1"/>
  <c r="L129" i="13"/>
  <c r="M129" i="13" s="1"/>
  <c r="L128" i="13"/>
  <c r="M128" i="13" s="1"/>
  <c r="L127" i="13"/>
  <c r="M127" i="13" s="1"/>
  <c r="L126" i="13"/>
  <c r="M126" i="13" s="1"/>
  <c r="L125" i="13"/>
  <c r="M125" i="13" s="1"/>
  <c r="L124" i="13"/>
  <c r="M124" i="13" s="1"/>
  <c r="L123" i="13"/>
  <c r="M123" i="13" s="1"/>
  <c r="L122" i="13"/>
  <c r="M122" i="13" s="1"/>
  <c r="L121" i="13"/>
  <c r="M121" i="13" s="1"/>
  <c r="L120" i="13"/>
  <c r="M120" i="13" s="1"/>
  <c r="L119" i="13"/>
  <c r="M119" i="13" s="1"/>
  <c r="L118" i="13"/>
  <c r="M118" i="13" s="1"/>
  <c r="L117" i="13"/>
  <c r="M117" i="13" s="1"/>
  <c r="L116" i="13"/>
  <c r="M116" i="13" s="1"/>
  <c r="L115" i="13"/>
  <c r="M115" i="13" s="1"/>
  <c r="L114" i="13"/>
  <c r="M114" i="13" s="1"/>
  <c r="L113" i="13"/>
  <c r="M113" i="13" s="1"/>
  <c r="L112" i="13"/>
  <c r="M112" i="13" s="1"/>
  <c r="L111" i="13"/>
  <c r="I111" i="13"/>
  <c r="I106" i="13" s="1"/>
  <c r="I101" i="13" s="1"/>
  <c r="L110" i="13"/>
  <c r="M110" i="13" s="1"/>
  <c r="L109" i="13"/>
  <c r="M109" i="13" s="1"/>
  <c r="L108" i="13"/>
  <c r="M108" i="13" s="1"/>
  <c r="L107" i="13"/>
  <c r="M107" i="13" s="1"/>
  <c r="J106" i="13"/>
  <c r="J101" i="13" s="1"/>
  <c r="L105" i="13"/>
  <c r="L100" i="13"/>
  <c r="M100" i="13" s="1"/>
  <c r="L99" i="13"/>
  <c r="M99" i="13" s="1"/>
  <c r="L98" i="13"/>
  <c r="M98" i="13" s="1"/>
  <c r="L97" i="13"/>
  <c r="M97" i="13" s="1"/>
  <c r="L96" i="13"/>
  <c r="M96" i="13" s="1"/>
  <c r="L95" i="13"/>
  <c r="M95" i="13" s="1"/>
  <c r="L94" i="13"/>
  <c r="I94" i="13"/>
  <c r="I65" i="13" s="1"/>
  <c r="I62" i="13" s="1"/>
  <c r="L93" i="13"/>
  <c r="M93" i="13" s="1"/>
  <c r="L92" i="13"/>
  <c r="M92" i="13" s="1"/>
  <c r="L91" i="13"/>
  <c r="M91" i="13" s="1"/>
  <c r="L90" i="13"/>
  <c r="M90" i="13" s="1"/>
  <c r="L89" i="13"/>
  <c r="M89" i="13" s="1"/>
  <c r="L88" i="13"/>
  <c r="M88" i="13" s="1"/>
  <c r="L87" i="13"/>
  <c r="M87" i="13" s="1"/>
  <c r="L86" i="13"/>
  <c r="M86" i="13" s="1"/>
  <c r="L85" i="13"/>
  <c r="M85" i="13" s="1"/>
  <c r="L84" i="13"/>
  <c r="M84" i="13" s="1"/>
  <c r="L83" i="13"/>
  <c r="M83" i="13" s="1"/>
  <c r="L82" i="13"/>
  <c r="M82" i="13" s="1"/>
  <c r="L81" i="13"/>
  <c r="M81" i="13" s="1"/>
  <c r="L80" i="13"/>
  <c r="M80" i="13" s="1"/>
  <c r="L79" i="13"/>
  <c r="M79" i="13" s="1"/>
  <c r="L78" i="13"/>
  <c r="M78" i="13" s="1"/>
  <c r="L77" i="13"/>
  <c r="M77" i="13" s="1"/>
  <c r="L76" i="13"/>
  <c r="M76" i="13" s="1"/>
  <c r="L75" i="13"/>
  <c r="M75" i="13" s="1"/>
  <c r="L74" i="13"/>
  <c r="M74" i="13" s="1"/>
  <c r="L73" i="13"/>
  <c r="M73" i="13" s="1"/>
  <c r="L72" i="13"/>
  <c r="M72" i="13" s="1"/>
  <c r="L71" i="13"/>
  <c r="M71" i="13" s="1"/>
  <c r="L70" i="13"/>
  <c r="M70" i="13" s="1"/>
  <c r="L69" i="13"/>
  <c r="M69" i="13" s="1"/>
  <c r="L68" i="13"/>
  <c r="M68" i="13" s="1"/>
  <c r="L67" i="13"/>
  <c r="M67" i="13" s="1"/>
  <c r="L66" i="13"/>
  <c r="K65" i="13"/>
  <c r="K62" i="13" s="1"/>
  <c r="J65" i="13"/>
  <c r="J62" i="13" s="1"/>
  <c r="L64" i="13"/>
  <c r="M64" i="13" s="1"/>
  <c r="L51" i="13"/>
  <c r="M51" i="13" s="1"/>
  <c r="L50" i="13"/>
  <c r="M50" i="13" s="1"/>
  <c r="L49" i="13"/>
  <c r="M49" i="13" s="1"/>
  <c r="K48" i="13"/>
  <c r="J48" i="13"/>
  <c r="I48" i="13"/>
  <c r="M47" i="13"/>
  <c r="M46" i="13" s="1"/>
  <c r="L46" i="13"/>
  <c r="K46" i="13"/>
  <c r="J46" i="13"/>
  <c r="I46" i="13"/>
  <c r="L45" i="13"/>
  <c r="M45" i="13" s="1"/>
  <c r="L37" i="13"/>
  <c r="M37" i="13" s="1"/>
  <c r="L36" i="13"/>
  <c r="K35" i="13"/>
  <c r="J35" i="13"/>
  <c r="I35" i="13"/>
  <c r="L34" i="13"/>
  <c r="M34" i="13" s="1"/>
  <c r="L33" i="13"/>
  <c r="M33" i="13" s="1"/>
  <c r="M32" i="13" s="1"/>
  <c r="K32" i="13"/>
  <c r="J32" i="13"/>
  <c r="J30" i="13" s="1"/>
  <c r="I32" i="13"/>
  <c r="I30" i="13" s="1"/>
  <c r="L31" i="13"/>
  <c r="M29" i="13"/>
  <c r="M28" i="13"/>
  <c r="M27" i="13" s="1"/>
  <c r="K27" i="13"/>
  <c r="J27" i="13"/>
  <c r="I27" i="13"/>
  <c r="L26" i="13"/>
  <c r="L25" i="13"/>
  <c r="M25" i="13" s="1"/>
  <c r="K24" i="13"/>
  <c r="K23" i="13" s="1"/>
  <c r="J24" i="13"/>
  <c r="J23" i="13" s="1"/>
  <c r="I24" i="13"/>
  <c r="I23" i="13" s="1"/>
  <c r="L273" i="13" l="1"/>
  <c r="L271" i="13" s="1"/>
  <c r="M715" i="13"/>
  <c r="L713" i="13"/>
  <c r="I468" i="13"/>
  <c r="M469" i="13"/>
  <c r="L468" i="13"/>
  <c r="I375" i="13"/>
  <c r="I374" i="13" s="1"/>
  <c r="K290" i="13"/>
  <c r="K289" i="13" s="1"/>
  <c r="I290" i="13"/>
  <c r="I289" i="13" s="1"/>
  <c r="M428" i="13"/>
  <c r="J290" i="13"/>
  <c r="J289" i="13" s="1"/>
  <c r="M686" i="13"/>
  <c r="L685" i="13"/>
  <c r="L684" i="13"/>
  <c r="M163" i="13"/>
  <c r="M162" i="13" s="1"/>
  <c r="M160" i="13" s="1"/>
  <c r="L162" i="13"/>
  <c r="L160" i="13" s="1"/>
  <c r="L102" i="13"/>
  <c r="L542" i="13"/>
  <c r="M531" i="13"/>
  <c r="L530" i="13"/>
  <c r="M730" i="13"/>
  <c r="M728" i="13" s="1"/>
  <c r="L728" i="13"/>
  <c r="J57" i="13"/>
  <c r="J56" i="13" s="1"/>
  <c r="K57" i="13"/>
  <c r="K56" i="13" s="1"/>
  <c r="M380" i="13"/>
  <c r="L380" i="13"/>
  <c r="L303" i="13"/>
  <c r="L302" i="13" s="1"/>
  <c r="M532" i="13"/>
  <c r="J689" i="13"/>
  <c r="M169" i="13"/>
  <c r="M168" i="13" s="1"/>
  <c r="M166" i="13" s="1"/>
  <c r="K44" i="13"/>
  <c r="J559" i="13"/>
  <c r="M554" i="13"/>
  <c r="L567" i="13"/>
  <c r="J564" i="13"/>
  <c r="K565" i="13"/>
  <c r="K312" i="13" s="1"/>
  <c r="K751" i="13" s="1"/>
  <c r="M632" i="13"/>
  <c r="M634" i="13"/>
  <c r="J668" i="13"/>
  <c r="M305" i="13"/>
  <c r="L24" i="13"/>
  <c r="L23" i="13" s="1"/>
  <c r="M694" i="13"/>
  <c r="M502" i="13"/>
  <c r="M619" i="13"/>
  <c r="M642" i="13"/>
  <c r="J520" i="13"/>
  <c r="J379" i="13"/>
  <c r="I379" i="13"/>
  <c r="J44" i="13"/>
  <c r="J22" i="13" s="1"/>
  <c r="I44" i="13"/>
  <c r="I22" i="13" s="1"/>
  <c r="J313" i="13"/>
  <c r="J565" i="13"/>
  <c r="J312" i="13" s="1"/>
  <c r="J751" i="13" s="1"/>
  <c r="M633" i="13"/>
  <c r="I303" i="13"/>
  <c r="I302" i="13" s="1"/>
  <c r="I449" i="13"/>
  <c r="M539" i="13"/>
  <c r="M600" i="13"/>
  <c r="M622" i="13"/>
  <c r="M142" i="13"/>
  <c r="M170" i="13"/>
  <c r="L267" i="13"/>
  <c r="L268" i="13"/>
  <c r="L61" i="13" s="1"/>
  <c r="M501" i="13"/>
  <c r="M538" i="13"/>
  <c r="M561" i="13"/>
  <c r="M560" i="13" s="1"/>
  <c r="I565" i="13"/>
  <c r="I312" i="13" s="1"/>
  <c r="I751" i="13" s="1"/>
  <c r="K564" i="13"/>
  <c r="M607" i="13"/>
  <c r="M610" i="13"/>
  <c r="L669" i="13"/>
  <c r="L677" i="13"/>
  <c r="L674" i="13" s="1"/>
  <c r="I668" i="13"/>
  <c r="J727" i="13"/>
  <c r="L65" i="13"/>
  <c r="L62" i="13" s="1"/>
  <c r="L32" i="13"/>
  <c r="L30" i="13" s="1"/>
  <c r="L155" i="13"/>
  <c r="K379" i="13"/>
  <c r="L423" i="13"/>
  <c r="M500" i="13"/>
  <c r="M545" i="13"/>
  <c r="M542" i="13" s="1"/>
  <c r="L550" i="13"/>
  <c r="L555" i="13"/>
  <c r="K559" i="13"/>
  <c r="M606" i="13"/>
  <c r="M640" i="13"/>
  <c r="M653" i="13"/>
  <c r="L672" i="13"/>
  <c r="M693" i="13"/>
  <c r="I534" i="13"/>
  <c r="I520" i="13" s="1"/>
  <c r="M537" i="13"/>
  <c r="L725" i="13"/>
  <c r="M726" i="13"/>
  <c r="M725" i="13" s="1"/>
  <c r="L35" i="13"/>
  <c r="M36" i="13"/>
  <c r="M35" i="13" s="1"/>
  <c r="M159" i="13"/>
  <c r="M158" i="13" s="1"/>
  <c r="M373" i="13"/>
  <c r="M365" i="13" s="1"/>
  <c r="M274" i="13"/>
  <c r="M273" i="13" s="1"/>
  <c r="M295" i="13"/>
  <c r="M294" i="13" s="1"/>
  <c r="M292" i="13" s="1"/>
  <c r="L294" i="13"/>
  <c r="L292" i="13" s="1"/>
  <c r="M587" i="13"/>
  <c r="M586" i="13" s="1"/>
  <c r="M585" i="13" s="1"/>
  <c r="L586" i="13"/>
  <c r="L585" i="13" s="1"/>
  <c r="I168" i="13"/>
  <c r="I166" i="13" s="1"/>
  <c r="I57" i="13" s="1"/>
  <c r="L166" i="13"/>
  <c r="J425" i="13"/>
  <c r="J422" i="13" s="1"/>
  <c r="L505" i="13"/>
  <c r="M506" i="13"/>
  <c r="M505" i="13" s="1"/>
  <c r="M669" i="13"/>
  <c r="M668" i="13" s="1"/>
  <c r="M691" i="13"/>
  <c r="I690" i="13"/>
  <c r="I689" i="13" s="1"/>
  <c r="M485" i="13"/>
  <c r="M503" i="13"/>
  <c r="J541" i="13"/>
  <c r="K727" i="13"/>
  <c r="L534" i="13"/>
  <c r="M643" i="13"/>
  <c r="M681" i="13"/>
  <c r="M680" i="13" s="1"/>
  <c r="M679" i="13" s="1"/>
  <c r="M94" i="13"/>
  <c r="M111" i="13"/>
  <c r="M376" i="13"/>
  <c r="M482" i="13"/>
  <c r="M484" i="13"/>
  <c r="I499" i="13"/>
  <c r="M504" i="13"/>
  <c r="K520" i="13"/>
  <c r="M551" i="13"/>
  <c r="I559" i="13"/>
  <c r="I564" i="13"/>
  <c r="I591" i="13"/>
  <c r="M620" i="13"/>
  <c r="M631" i="13"/>
  <c r="M644" i="13"/>
  <c r="K668" i="13"/>
  <c r="I727" i="13"/>
  <c r="L723" i="13"/>
  <c r="M558" i="13"/>
  <c r="M557" i="13" s="1"/>
  <c r="L521" i="13"/>
  <c r="M521" i="13"/>
  <c r="K689" i="13"/>
  <c r="L690" i="13"/>
  <c r="M661" i="13"/>
  <c r="M657" i="13"/>
  <c r="M647" i="13"/>
  <c r="M626" i="13"/>
  <c r="L314" i="13"/>
  <c r="L48" i="13"/>
  <c r="L44" i="13" s="1"/>
  <c r="M66" i="13"/>
  <c r="M363" i="13"/>
  <c r="M364" i="13"/>
  <c r="M105" i="13"/>
  <c r="M31" i="13"/>
  <c r="M30" i="13" s="1"/>
  <c r="M48" i="13"/>
  <c r="M44" i="13" s="1"/>
  <c r="M26" i="13"/>
  <c r="M24" i="13" s="1"/>
  <c r="M23" i="13" s="1"/>
  <c r="L149" i="13"/>
  <c r="M149" i="13" s="1"/>
  <c r="M272" i="13"/>
  <c r="M301" i="13"/>
  <c r="M300" i="13" s="1"/>
  <c r="M299" i="13" s="1"/>
  <c r="K313" i="13"/>
  <c r="M315" i="13"/>
  <c r="L365" i="13"/>
  <c r="L405" i="13"/>
  <c r="M408" i="13"/>
  <c r="M405" i="13" s="1"/>
  <c r="L499" i="13"/>
  <c r="L518" i="13"/>
  <c r="K517" i="13"/>
  <c r="M563" i="13"/>
  <c r="M562" i="13" s="1"/>
  <c r="L562" i="13"/>
  <c r="L559" i="13" s="1"/>
  <c r="L576" i="13"/>
  <c r="L591" i="13"/>
  <c r="L281" i="13"/>
  <c r="L279" i="13" s="1"/>
  <c r="M304" i="13"/>
  <c r="L449" i="13"/>
  <c r="M466" i="13"/>
  <c r="K30" i="13"/>
  <c r="I313" i="13"/>
  <c r="L374" i="13"/>
  <c r="M467" i="13"/>
  <c r="K425" i="13"/>
  <c r="K422" i="13" s="1"/>
  <c r="M540" i="13"/>
  <c r="M613" i="13"/>
  <c r="M629" i="13"/>
  <c r="M662" i="13"/>
  <c r="M577" i="13"/>
  <c r="L575" i="13"/>
  <c r="M535" i="13"/>
  <c r="I550" i="13"/>
  <c r="I541" i="13" s="1"/>
  <c r="M568" i="13"/>
  <c r="L566" i="13"/>
  <c r="M637" i="13"/>
  <c r="M655" i="13"/>
  <c r="M719" i="13"/>
  <c r="L735" i="13"/>
  <c r="M736" i="13"/>
  <c r="M735" i="13" s="1"/>
  <c r="L740" i="13"/>
  <c r="L739" i="13" s="1"/>
  <c r="M741" i="13"/>
  <c r="M740" i="13" s="1"/>
  <c r="M739" i="13" s="1"/>
  <c r="L680" i="13"/>
  <c r="L679" i="13" s="1"/>
  <c r="I745" i="13" l="1"/>
  <c r="L745" i="13"/>
  <c r="J745" i="13"/>
  <c r="K745" i="13"/>
  <c r="L22" i="13"/>
  <c r="L21" i="13" s="1"/>
  <c r="K22" i="13"/>
  <c r="M22" i="13"/>
  <c r="M21" i="13" s="1"/>
  <c r="I425" i="13"/>
  <c r="I422" i="13" s="1"/>
  <c r="I311" i="13" s="1"/>
  <c r="M713" i="13"/>
  <c r="M468" i="13"/>
  <c r="L425" i="13"/>
  <c r="L422" i="13" s="1"/>
  <c r="M375" i="13"/>
  <c r="M374" i="13" s="1"/>
  <c r="M290" i="13"/>
  <c r="M289" i="13" s="1"/>
  <c r="K21" i="13"/>
  <c r="L290" i="13"/>
  <c r="L289" i="13" s="1"/>
  <c r="M685" i="13"/>
  <c r="M684" i="13"/>
  <c r="M102" i="13"/>
  <c r="M58" i="13" s="1"/>
  <c r="L58" i="13"/>
  <c r="I21" i="13"/>
  <c r="J21" i="13"/>
  <c r="M530" i="13"/>
  <c r="I56" i="13"/>
  <c r="K311" i="13"/>
  <c r="K310" i="13" s="1"/>
  <c r="J311" i="13"/>
  <c r="J310" i="13" s="1"/>
  <c r="M155" i="13"/>
  <c r="M550" i="13"/>
  <c r="M541" i="13" s="1"/>
  <c r="L278" i="13"/>
  <c r="J589" i="13"/>
  <c r="J588" i="13" s="1"/>
  <c r="L565" i="13"/>
  <c r="L312" i="13" s="1"/>
  <c r="L751" i="13" s="1"/>
  <c r="M559" i="13"/>
  <c r="M271" i="13"/>
  <c r="M303" i="13"/>
  <c r="M302" i="13" s="1"/>
  <c r="L668" i="13"/>
  <c r="M379" i="13"/>
  <c r="I589" i="13"/>
  <c r="I588" i="13" s="1"/>
  <c r="M727" i="13"/>
  <c r="L313" i="13"/>
  <c r="L520" i="13"/>
  <c r="L541" i="13"/>
  <c r="M690" i="13"/>
  <c r="M449" i="13"/>
  <c r="M65" i="13"/>
  <c r="M62" i="13" s="1"/>
  <c r="M534" i="13"/>
  <c r="M499" i="13"/>
  <c r="L727" i="13"/>
  <c r="L564" i="13"/>
  <c r="K589" i="13"/>
  <c r="K588" i="13" s="1"/>
  <c r="L689" i="13"/>
  <c r="L379" i="13"/>
  <c r="M106" i="13"/>
  <c r="M101" i="13" s="1"/>
  <c r="M314" i="13"/>
  <c r="M313" i="13" s="1"/>
  <c r="M591" i="13"/>
  <c r="M576" i="13"/>
  <c r="M575" i="13"/>
  <c r="L106" i="13"/>
  <c r="L101" i="13" s="1"/>
  <c r="L57" i="13" s="1"/>
  <c r="L517" i="13"/>
  <c r="M518" i="13"/>
  <c r="M517" i="13" s="1"/>
  <c r="M281" i="13"/>
  <c r="M279" i="13" s="1"/>
  <c r="M567" i="13"/>
  <c r="M566" i="13"/>
  <c r="L748" i="13" l="1"/>
  <c r="L746" i="13"/>
  <c r="M748" i="13"/>
  <c r="M746" i="13"/>
  <c r="M689" i="13"/>
  <c r="M520" i="13"/>
  <c r="M57" i="13"/>
  <c r="M56" i="13" s="1"/>
  <c r="L56" i="13"/>
  <c r="L311" i="13"/>
  <c r="L310" i="13" s="1"/>
  <c r="I310" i="13"/>
  <c r="I744" i="13" s="1"/>
  <c r="J744" i="13"/>
  <c r="M278" i="13"/>
  <c r="M565" i="13"/>
  <c r="M312" i="13" s="1"/>
  <c r="K744" i="13"/>
  <c r="L589" i="13"/>
  <c r="L588" i="13" s="1"/>
  <c r="M425" i="13"/>
  <c r="M422" i="13" s="1"/>
  <c r="M589" i="13"/>
  <c r="M588" i="13" s="1"/>
  <c r="M564" i="13"/>
  <c r="M751" i="13" l="1"/>
  <c r="M745" i="13"/>
  <c r="M311" i="13"/>
  <c r="M310" i="13" s="1"/>
  <c r="M744" i="13" s="1"/>
  <c r="L744" i="13"/>
</calcChain>
</file>

<file path=xl/sharedStrings.xml><?xml version="1.0" encoding="utf-8"?>
<sst xmlns="http://schemas.openxmlformats.org/spreadsheetml/2006/main" count="1108" uniqueCount="714">
  <si>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</si>
  <si>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</si>
  <si>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</si>
  <si>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</si>
  <si>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</si>
  <si>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</si>
  <si>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</si>
  <si>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</si>
  <si>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</si>
  <si>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</si>
  <si>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</si>
  <si>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</si>
  <si>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</si>
  <si>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</si>
  <si>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</si>
  <si>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</si>
  <si>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</si>
  <si>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</si>
  <si>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</si>
  <si>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</si>
  <si>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</si>
  <si>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</si>
  <si>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</si>
  <si>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</si>
  <si>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</si>
  <si>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</si>
  <si>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</si>
  <si>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</si>
  <si>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</si>
  <si>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</si>
  <si>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</si>
  <si>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</si>
  <si>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</si>
  <si>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</si>
  <si>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</si>
  <si>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</si>
  <si>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</si>
  <si>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</si>
  <si>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</si>
  <si>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</si>
  <si>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</si>
  <si>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</si>
  <si>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</si>
  <si>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</si>
  <si>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</si>
  <si>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</si>
  <si>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</si>
  <si>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</si>
  <si>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</si>
  <si>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</si>
  <si>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2020-2022</t>
  </si>
  <si>
    <t>2019-2021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</si>
  <si>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</si>
  <si>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</si>
  <si>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</si>
  <si>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</si>
  <si>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</si>
  <si>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</si>
  <si>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 xml:space="preserve">  (код бюджету)</t>
  </si>
  <si>
    <t>(грн)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</si>
  <si>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</si>
  <si>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</si>
  <si>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</si>
  <si>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</si>
  <si>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</si>
  <si>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</si>
  <si>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</si>
  <si>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</si>
  <si>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</si>
  <si>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</si>
  <si>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</si>
  <si>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</si>
  <si>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</si>
  <si>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</si>
  <si>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</si>
  <si>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</si>
  <si>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</si>
  <si>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0210160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</si>
  <si>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</si>
  <si>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</si>
  <si>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</si>
  <si>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0214060</t>
  </si>
  <si>
    <t>4060</t>
  </si>
  <si>
    <t>0828</t>
  </si>
  <si>
    <t>0214081</t>
  </si>
  <si>
    <t>4081</t>
  </si>
  <si>
    <t>0829</t>
  </si>
  <si>
    <t>Забезпечення діяльності інших закладів в галузі культури і мистецтва</t>
  </si>
  <si>
    <t>0215031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</si>
  <si>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</si>
  <si>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</si>
  <si>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</si>
  <si>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0215061</t>
  </si>
  <si>
    <t>5061</t>
  </si>
  <si>
    <t>0217530</t>
  </si>
  <si>
    <t>7530</t>
  </si>
  <si>
    <t>0460</t>
  </si>
  <si>
    <t>Інші заходи у сфері зв'язку, телекомунікації та інформатики</t>
  </si>
  <si>
    <t>0217670</t>
  </si>
  <si>
    <t>7670</t>
  </si>
  <si>
    <t>0490</t>
  </si>
  <si>
    <t>Внески до статутного капіталу суб’єктів господарювання</t>
  </si>
  <si>
    <t>0600000</t>
  </si>
  <si>
    <t>0610000</t>
  </si>
  <si>
    <t>Управління  освіти і науки Сумської міської ради</t>
  </si>
  <si>
    <t>0910</t>
  </si>
  <si>
    <t>0921</t>
  </si>
  <si>
    <t>0922</t>
  </si>
  <si>
    <t>0611010</t>
  </si>
  <si>
    <t>0611020</t>
  </si>
  <si>
    <t>0611030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</si>
  <si>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</si>
  <si>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</si>
  <si>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</si>
  <si>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0611161</t>
  </si>
  <si>
    <t>0990</t>
  </si>
  <si>
    <t>Забезпечення діяльності інших закладів у сфері освіти</t>
  </si>
  <si>
    <t>0615031</t>
  </si>
  <si>
    <t>0617640</t>
  </si>
  <si>
    <t>0470</t>
  </si>
  <si>
    <t>0700000</t>
  </si>
  <si>
    <t>0710000</t>
  </si>
  <si>
    <t xml:space="preserve">Відділ охорони здоров’я Сумської міської ради  </t>
  </si>
  <si>
    <t>0712010</t>
  </si>
  <si>
    <t>0731</t>
  </si>
  <si>
    <t>Багатопрофільна стаціонарна медична допомога населенню</t>
  </si>
  <si>
    <t>0712030</t>
  </si>
  <si>
    <t>0733</t>
  </si>
  <si>
    <t>Лікарсько-акушерська допомога вагітним, породіллям та новонародженим</t>
  </si>
  <si>
    <t>0712100</t>
  </si>
  <si>
    <t>0722</t>
  </si>
  <si>
    <t>Стоматологічна допомога населенню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</si>
  <si>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</si>
  <si>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</si>
  <si>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</si>
  <si>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</si>
  <si>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0813241</t>
  </si>
  <si>
    <t>1090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</si>
  <si>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</si>
  <si>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</si>
  <si>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</si>
  <si>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0900000</t>
  </si>
  <si>
    <t>Управління  «Служба у справах дітей» Сумської міської ради</t>
  </si>
  <si>
    <t>0910000</t>
  </si>
  <si>
    <t>0913111</t>
  </si>
  <si>
    <t>1040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</si>
  <si>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</si>
  <si>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1000000</t>
  </si>
  <si>
    <t>Відділ культури Сумської міської ради</t>
  </si>
  <si>
    <t>1010000</t>
  </si>
  <si>
    <t>1011100</t>
  </si>
  <si>
    <t>Надання спеціальної освіти мистецькими школами</t>
  </si>
  <si>
    <t>1014030</t>
  </si>
  <si>
    <t>0824</t>
  </si>
  <si>
    <t>Забезпечення діяльності бібліотек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</si>
  <si>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</si>
  <si>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</si>
  <si>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</si>
  <si>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</si>
  <si>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</si>
  <si>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</si>
  <si>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</si>
  <si>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0640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</si>
  <si>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</si>
  <si>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</si>
  <si>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0180</t>
  </si>
  <si>
    <t>Інші субвенції з місцевого бюджету</t>
  </si>
  <si>
    <t>1400000</t>
  </si>
  <si>
    <t>Управління «Інспекція з благоустрою міста Суми» Сумської міської ради</t>
  </si>
  <si>
    <t>1410000</t>
  </si>
  <si>
    <t>3100000</t>
  </si>
  <si>
    <t>Департамент забезпечення ресурсних платежів Сумської міської ради</t>
  </si>
  <si>
    <t>3110000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</si>
  <si>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</si>
  <si>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</si>
  <si>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</si>
  <si>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</si>
  <si>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</si>
  <si>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</si>
  <si>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</si>
  <si>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</si>
  <si>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</si>
  <si>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41,7</t>
  </si>
  <si>
    <t>2020</t>
  </si>
  <si>
    <t>Модернізація комп’ютерної техніки виконавчих органів Сумської міської ради</t>
  </si>
  <si>
    <t>Встановлення сучасних систем відеоспостереження в місті</t>
  </si>
  <si>
    <t>Модернізація серверного обладнання виконавчих органів Сумської міської ради</t>
  </si>
  <si>
    <t>Капітальний ремонт житлового фонду: капремонт ліфта п. 2, капремонт ОДС ліфта житлового будинку № 129 по вул. Г. Кондратьєва м. Суми</t>
  </si>
  <si>
    <t>Капітальний ремонт житлового фонду: капремонт ліфта п.1, п.2, п.3, капремонт ОДС ліфта житлового будинку № 59 по вул. Ковпака м. Суми</t>
  </si>
  <si>
    <t>Капітальний ремонт житлового фонду: капремонт ліфта п. 2, та ОДС ліфта житлового будинку № 22 по вул. Героїв Крут  м. Суми</t>
  </si>
  <si>
    <t>Капітальний ремонт житлового фонду: капремонт ліфта п.1, п.2, п.3, капремонт ОДС ліфтів житлового будинку № 25 по вул. Інтернаціоналістів м. Суми</t>
  </si>
  <si>
    <t>Капітальний ремонт житлового фонду</t>
  </si>
  <si>
    <t>Співфінансування капітального ремонту житлового фонду</t>
  </si>
  <si>
    <t xml:space="preserve">Капітальний ремонт житлового фонду: капремонт покрівлі житлового будинку №2/2 по вул. Котляревського м. Суми </t>
  </si>
  <si>
    <t xml:space="preserve">Капітальний ремонт житлового фонду: капремонт покрівлі та водостічної системи житлового будинку №13 по вул. Охтирська м. Суми </t>
  </si>
  <si>
    <t>2019-2022</t>
  </si>
  <si>
    <t xml:space="preserve">Капітальний ремонт житлового фонду: капремонт вимощення житлового будинку №1А по вул. Лермонтова м. Суми </t>
  </si>
  <si>
    <t>2019-2023</t>
  </si>
  <si>
    <t>2019-2024</t>
  </si>
  <si>
    <t>Капітальний ремонт  житлового фонду: капремонт електричних мереж житлового будинку №32 по вул.Харківська м. Суми</t>
  </si>
  <si>
    <t>2019-2026</t>
  </si>
  <si>
    <t>Співфінансування капітального ремонту житлового фонду ОСББ та ЖБК</t>
  </si>
  <si>
    <t xml:space="preserve">Капітальний ремонт скверу ім. Тараса Шевченка  </t>
  </si>
  <si>
    <t>Капітальний ремонт тротуару вздовж будинків №16,18 по вул. Інтернаціоналістів в м.Суми</t>
  </si>
  <si>
    <t>Капітальний ремонт електричних мереж вуличного освітлення на території міського пляжу в парку ім. І.М. Кожедуба</t>
  </si>
  <si>
    <t>Капітальний ремонт тротуарів по вул. Рибалко в м.Суми</t>
  </si>
  <si>
    <t>Капітальний ремонт тротуарів на підходах до пішохідного мосту через р. Сумка по вул. Лугова в м.Суми</t>
  </si>
  <si>
    <t>Капітальний ремонт тротуарів по вул. Засумська (від вул. Шевченка до вул. Ярослава Мудрого)</t>
  </si>
  <si>
    <t>Капітальний ремонт об'єктів благоустрою - відбудова підпірних стінок по вул. Прокоф'єва м.Суми  (коригування, додаткові роботи)</t>
  </si>
  <si>
    <t>Капітальний ремонт тротуарів по вул. Богдана Хмельницького (від вул. Петропавлівська до вул. Герасима Кондратьєва)</t>
  </si>
  <si>
    <t>Капітальний ремонт об'єктів благоустрою - улаштування пішохідної огорожі по вул. 1-ша Набережна р.Стрілки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</si>
  <si>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</si>
  <si>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 xml:space="preserve">Капітальний ремонт об'єкту благоустрою - дитячого майданчику «Цитадель» між будинками №18 по вул. І. Сірка та будинку №7 по проспекту ім. М. Лушпи </t>
  </si>
  <si>
    <t>Капітальний ремонт об'єкту благоустрою - дитячого майданчику «На радість дітям» у дворі будинків №14/1; №14/3; №14/5; №14/6 по вул. Прокоф'єва</t>
  </si>
  <si>
    <t>Капітальний ремонт об'єкту благоустрою - зупинки громадського транспорту №366 -«4-а лікарня» по вул. Реміснича (коригування)</t>
  </si>
  <si>
    <t>Капітальний ремонт об'єкту благоустрою - зупинки громадського транспорту №116 - «9-й мікрорайон» по просп. Михайла Лушпи м.Суми</t>
  </si>
  <si>
    <t>Капітальний ремонт об'єкту благоустрою - зупинки громадського транспорту №310 «Ліцей» по вул. Ковпака</t>
  </si>
  <si>
    <t>Капітальний ремонт об'єкту благоустрою - зупинка громадського транспорту №316 «Пансіонат для ветеранів» по вул.Ковпака</t>
  </si>
  <si>
    <t xml:space="preserve"> </t>
  </si>
  <si>
    <t>Капітальний ремонт тротуару вздовж будинків №№ 32-42 по просп. Михайла Лушпи в м.Суми</t>
  </si>
  <si>
    <t>Капітальний ремонт тротуару по вул. Металургів (від вул. Реміснича до вул. Степаненківська)</t>
  </si>
  <si>
    <t xml:space="preserve">Капітальний ремонт тротуару по вул. Горького (від Палацу культури ім. Фрунзе до будинку № 39 по вул. Горького) </t>
  </si>
  <si>
    <t>Капітальний ремонт тротуару вздовж будинків №№ 47-49 по просп. Михайла Лушпи</t>
  </si>
  <si>
    <t>Капітальний ремонт тротуару вздовж будинку № 25 по просп. Михайла Лушпи</t>
  </si>
  <si>
    <t>Капітальний ремонт об'єктів благоустрою - улаштування тротуару вздовж КУ Піщанська ЗОШ І-ІІІ ступенів м. Суми, с. Піщане, вул. Шкільна, 26</t>
  </si>
  <si>
    <t>Капітальний ремонт тротуарів по вул. Олега Балацького (вздовж КУ Сумський ЗЗСО І-ІІІ ступенів №21) в м. Суми</t>
  </si>
  <si>
    <t>Розчищення річки Сумки (між Воскресенським та Шевченківським мостами)</t>
  </si>
  <si>
    <t>2019 - 2020</t>
  </si>
  <si>
    <t>Капітальний ремонт харчоблоку Комунальної установи Сумська загальноосвітня школа І-ІІІ ступенів № 4 імені Героя України Олександра Аніщенка Сумської міської ради</t>
  </si>
  <si>
    <t>Капітальний ремонт харчоблоку Комунальної установи Сумська спеціалізована школа І-ІІІ ступенів № 9, м.Суми, Сумської області</t>
  </si>
  <si>
    <t xml:space="preserve">Капітальний ремонт коридору II поверху Комунальної установи Сумська загальноосвітня школа І-ІІІ ступенів № 13 ім. А.С.Мачуленка, м.Суми, Сумської області </t>
  </si>
  <si>
    <t xml:space="preserve">Капітальний ремонт покрівлі нового корпусу Комунальної установи Сумська загальноосвітня школа І-ІІІ ступенів № 15 ім. Д. Турбіна, м.Суми, Сумської області </t>
  </si>
  <si>
    <t>Капітальний ремонт стояків опалювальної системи старого корпусу Комунальної установи Сумська загальноосвітня школа І-ІІІ ступенів № 15 ім. Д. Турбіна, м.Суми, Сумської області</t>
  </si>
  <si>
    <t xml:space="preserve">Капітальний ремонт покрівлі Комунальної установи Сумська спеціалізована школа І-ІІІ ступенів № 17,  м. Суми, Сумської області </t>
  </si>
  <si>
    <t xml:space="preserve">Капітальний ремонт 2-х туалетів другого поверху Комунальної установи Сумська загальноосвітня школа І-ІІІ ступенів №18 Сумської міської ради </t>
  </si>
  <si>
    <t xml:space="preserve">Капітальний ремонт підлоги Комунальної установи Сумська загальноосвітня школа І-ІІІ ступенів № 24,  м.Суми, Сумської області </t>
  </si>
  <si>
    <t>2019- 2020</t>
  </si>
  <si>
    <t>Капітальний ремонт харчоблоку Комунальної установи Сумська загальноосвітня школа І-ІІІ ступенів № 27, м.Суми, Сумської області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</si>
  <si>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</si>
  <si>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фойє  Комунальної установи Сумська спеціальна  загальноосвітня школа Сумської міської ради</t>
  </si>
  <si>
    <t>Капітальний ремонт санвузла  Комунального закладу Сумський Палац дітей та юнацтва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</si>
  <si>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</si>
  <si>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</si>
  <si>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</si>
  <si>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Будинку ветеранів по вул. Г.Кондратьєва, 165, буд. 20</t>
  </si>
  <si>
    <t>Реконструкція сходів по пров. Чугуївський</t>
  </si>
  <si>
    <t>Капітальний ремонт приміщення Центру реінтеграції бездомних осіб за адресою: м. Суми, вул. Робітниче селище, 14</t>
  </si>
  <si>
    <t>На реалізацію проектів-переможців громадського (партиципаторного) бюджету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</si>
  <si>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Підгорної»</t>
  </si>
  <si>
    <t>Капітальний ремонт теплопункту (облаштування системи автоматичного регулювання споживання тепла) в Комунальній установі Сумська загальноосвітня школа І-ІІІ ступенів №18  Сумської міської ради</t>
  </si>
  <si>
    <t>Капітальний ремонт приміщення зали  спортивної гімнастики у спортивному комплексі «Авангард»</t>
  </si>
  <si>
    <t>КП СМР «Електроавтотранс»</t>
  </si>
  <si>
    <t xml:space="preserve">Капітальний ремонт огорожі Сумського дошкільного навчального закладу (ясла - садок) №1 «Ромашка» м.Суми, Сумської області  </t>
  </si>
  <si>
    <t xml:space="preserve">Капітальний ремонт пральні Сумського дошкільного навчального закладу (ясла - садок) №3 «Калинка» м.Суми, Сумської області  </t>
  </si>
  <si>
    <t xml:space="preserve">Капітальний ремонт маршових сходів Сумського дошкільного навчального закладу (ясла - садок) №8 «Космічний»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</si>
  <si>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закладі  (ясла - садок) №10 «Малючок» м.Суми, Сумської області</t>
  </si>
  <si>
    <t>Капітальний ремонт вхідного ганку Сумського дошкільного навчального закладу (центр розвитку дитини) № 13 «Купава» Сумської міської ради</t>
  </si>
  <si>
    <t xml:space="preserve">Капітальний ремонт підлоги умивальної кімнати та коридору Сумського дошкільного навчального закладу (центр розвитку дитини) № 14 «Золотий півник» Сумської міської ради </t>
  </si>
  <si>
    <t>Капітальний ремонт підсобного приміщення харчоблоку Сумського дошкільного навчального закладу (ясла - садок) №15 «Перлинка» м.Суми, Сумської області</t>
  </si>
  <si>
    <t xml:space="preserve">Капітальний ремонт туалетної кімнати Сумського дошкільного навчального закладу (ясла - садок) №17 «Радість» м.Суми, Сумської області  </t>
  </si>
  <si>
    <t xml:space="preserve">Капітальний ремонт туалетних кімнат в групових приміщеннях Сумського дошкільного навчального закладу (центр розвитку дитини) № 18 «Зірниця» Сумської міської ради  </t>
  </si>
  <si>
    <t xml:space="preserve">Капітальний ремонт павільйонів Сумського дошкільного навчального закладу (ясла - садок) №19 «Рум'янек» м.Суми, Сумської області   </t>
  </si>
  <si>
    <t xml:space="preserve">Капітальний ремонт харчоблоку Сумського спеціального дошкільного навчального закладу (ясла - садок) №20 «Посмішка» м.Суми, Сумської області </t>
  </si>
  <si>
    <t xml:space="preserve">Капітальний ремонт вхідної групи адміністративної будівлі по вул.Горького, 21 в м. Суми Сумської області </t>
  </si>
  <si>
    <t>Капітальний ремонт підвальних приміщень адмінбудівлі по вул. Горького, 21 м.Суми</t>
  </si>
  <si>
    <t>5,1</t>
  </si>
  <si>
    <t>Капітальний ремонт пішохідного переходу на перехресті вул. Харківська та Героїв Сумщини</t>
  </si>
  <si>
    <t xml:space="preserve">Капітальний ремонт маршових сходів Сумського дошкільного навчального закладу (ясла - садок) №21 «Волошка» м.Суми, Сумської області  </t>
  </si>
  <si>
    <t xml:space="preserve">Капітальний ремонт системи опалення Сумського дошкільного навчального закладу (ясла - садок) №22 «Джерельце» м.Суми, Сумської області </t>
  </si>
  <si>
    <t xml:space="preserve">Капітальний ремонт пральні Сумського дошкільного навчального закладу (ясла - садок) №23 «Золотий ключик» м.Суми, Сумської області </t>
  </si>
  <si>
    <t xml:space="preserve">Капітальний ремонт трубопроводу гарячого водопостачання та каналізації Сумського дошкільного навчального закладу (ясла - садок) №25 «Білосніжка» м.Суми, Сумської області  </t>
  </si>
  <si>
    <t xml:space="preserve">Капітальний ремонт медичного кабінету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</si>
  <si>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групи «Материнка»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</si>
  <si>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групових приміщень Сумського дошкільного навчального закладу (ясла - садок) №27 «Світанок» м.Суми, Сумської області </t>
  </si>
  <si>
    <t xml:space="preserve">Капітальний ремонт  приміщень Сумського дошкільного навчального закладу (ясла - садок) №29 «Росинка» м.Суми, Сумської області </t>
  </si>
  <si>
    <t xml:space="preserve">Капітальний ремонт  харчоблоку Сумського дошкільного навчального закладу (ясла - садок) №30 «Чебурашка» м.Суми, Сумської області  </t>
  </si>
  <si>
    <t xml:space="preserve">Капітальний ремонт музичної зали Сумського дошкільного навчального закладу (ясла - садок) №33 «Маринка» м.Суми, Сумської області </t>
  </si>
  <si>
    <t>Капітальний ремонт  території господарського блоку Сумського дошкільного навчального закладу (ясла-садок) №38 «Яблунька» Сумської міської ради</t>
  </si>
  <si>
    <t xml:space="preserve">Капітальний ремонт  туалетних кімнат Сумського дошкільного навчального закладу (ясла - садок) №40 «Дельфін» м.Суми, Сумської області 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</si>
  <si>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</si>
  <si>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I-III ступенів  №3 ім. генерал -лейтенанта А.Морозова, м.Суми, Сумської області</t>
  </si>
  <si>
    <t>Капітальний ремонт  системи опалення Комунальної установи Сумська спеціалізована школа І-ІІІ ступенів № 7 імені Максима Савченка Сумської міської ради</t>
  </si>
  <si>
    <t xml:space="preserve"> Капітальний ремонт вентиляції харчоблоку Комунальної установи Сумська загальноосвітня школа I-III ступенів №8 Сумської міської ради </t>
  </si>
  <si>
    <t xml:space="preserve">Капітальний ремонт приміщення Комунальної установи Сумська спеціалізована школа І-ІІІ ступенів № 10 ім. Героя Радянського Союзу О.Бутка,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</si>
  <si>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Комунальної установи Сумська спеціалізована школа І-ІІІ ступенів № 17, м.Суми, Сумської області»</t>
  </si>
  <si>
    <t xml:space="preserve">Капітальний ремонт туалетних кімнат Сумського закладу загальної середньої освіти І-ІІІ ступенів №19 ім. М.С. Нестеровського Сумської міської ради </t>
  </si>
  <si>
    <t>Капітальний ремонт  харчоблоку  Комунальної установи Сумська загальноосвітня школа І-ІІІ ступенів № 20, м. Суми, Сумської області</t>
  </si>
  <si>
    <t>Капітальний ремонт даху будівлі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</si>
  <si>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 xml:space="preserve">Капітальний ремонт туалетних кімнат Сумського навчально - виховного комплексу «Загальноосвітня школа I ступеня -дошкільний навчальний заклад №42» м.Суми, Сумської області </t>
  </si>
  <si>
    <t xml:space="preserve">Капітальний ремонт житлового фонду: капремонт вимощення, приямків та входів до підвалів житлового будинку №77 по вул. 5-та Продольна м. Суми </t>
  </si>
  <si>
    <t xml:space="preserve">Капітальний ремонт житлового фонду: встановлення індивідуального теплового пункту житлового будинку №22 по вул. Супруна м. Суми </t>
  </si>
  <si>
    <t>Капітальний ремонт діючого каналізаційного колектору Д-500 мм по вул. Ремісничій в м.Суми</t>
  </si>
  <si>
    <t>Капітальний ремонт  житлового фонду: капремонт мереж опалення, за адресою: м. Суми, вул. Миру, 32</t>
  </si>
  <si>
    <t xml:space="preserve">Капітальний ремонт тротуарів по пр. Курському (від будинку №147 по  просп. Курському до зупинки громадського транспорту №298 «вул. Ковпака») </t>
  </si>
  <si>
    <t xml:space="preserve">Капітальний ремонт пішохідних доріжок в парку «Казка» м. Суми </t>
  </si>
  <si>
    <t>Капітальний ремонт декоративних огорож та сходів в ДП «Казка»</t>
  </si>
  <si>
    <t>Капітальний ремонт тротуару вздовж будинків №№ 7, 13, 17 по вул. Металургів</t>
  </si>
  <si>
    <t>Капітальний ремонт тротуару по вул. Лучанська (вздовж КУ Сумський спеціальний ДНЗ № 20 «Посмішка») в м. Суми</t>
  </si>
  <si>
    <t>Капітальний ремонт тротуарів по вул. Котляревського (вздовж КУ Сумський  ДНЗ № 33 «Маринка»)в м. Суми</t>
  </si>
  <si>
    <t>Капітальний ремонт об'єктів благоустрою - улаштування тротуару вздовж КУ Сумський  ДНЗ № 28 «Ювілейний», м. Суми, вул. Робітнича, 56</t>
  </si>
  <si>
    <t>Капітальний ремонт об’єкту благоустрою – створення зони відпочинку біля будинку по вул. Роменській, 88</t>
  </si>
  <si>
    <t>Капітальний ремонт об’єкту благоустрою – дитячого та спортивного майданчика в районі будинків по вул. Г. Кондратьєва, буд.160в, 158/1,158/2,158/3,158/4</t>
  </si>
  <si>
    <t>Капітальний ремонт об’єкту благоустрою – місце для дозвілля дітей та занять спортом «Щасливе дитинство» по вул. Металургів, 4</t>
  </si>
  <si>
    <t>Капітальний ремонт об’єкту благоустрою – майданчику для дітей та дорослих по вул. Реміснича, 25-31 та вул. Лермонтова, 1,3</t>
  </si>
  <si>
    <t>Капітальний ремонт об’єкту благоустрою – дитячого майданчика «Мрія Малюка» по просп. Михайла Лушпи, 39</t>
  </si>
  <si>
    <t>Капітальний ремонт об’єкту благоустрою – зони відпочинку «Єдність нації» по вул. Люблінській</t>
  </si>
  <si>
    <t>Капітальний ремонт об’єкту благоустрою – зони відпочинку «Єдність нації» по вул. Люблінській з встановленням модульної роздягальні</t>
  </si>
  <si>
    <t>Капітальний ремонт об’єктів благоустрою-встановлення зупинки біля провулку Шевченка в с. Верхнє Піщане (початок вул. Парнянська)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</si>
  <si>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</si>
  <si>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</si>
  <si>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 xml:space="preserve">Капітальний ремонт музичної зали Сумського дошкільного навчального закладу (ясла - садок) №16 «Сонечко» м.Суми, Сумської області  </t>
  </si>
  <si>
    <t xml:space="preserve">Капітальний ремонт харчоблоку Сумського дошкільного навчального закладу (ясла - садок) №32 «Ластівка» м.Суми, Сумської області   </t>
  </si>
  <si>
    <t>Капітальний ремонт каналізаційної системи  Сумського дошкільного навчального закладу (центр розвитку дитини) № 36 «Червоненька квіточка» Сумської міської ради</t>
  </si>
  <si>
    <t xml:space="preserve">Капітальний ремонт внутрішніх приміщень Комунальної установи Сумська спеціалізована школа І-ІІІ ступенів № 2 ім. Д. Косаренка, м.Суми, Сумської області </t>
  </si>
  <si>
    <t>Капітальний ремонт стадіону Комунальної установи Сумська спеціалізована школа І-ІІІ ступенів №2 ім. Д.Косаренка, м.Суми, Сумської області</t>
  </si>
  <si>
    <t xml:space="preserve">Капітальний ремонт: монтаж системи пожежної автоматики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</si>
  <si>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(облаштування) спортивного майданчика «Олімпієць»  на території Комунальної установи Сумська загальноосвітня школа І-ІІІ ступенів №18 Сумської міської ради за адресою: вул. Леваневського, 8 м.Суми </t>
  </si>
  <si>
    <t xml:space="preserve">Капітальний ремонт їдальні комунальної установи Сумська загальноосвітня школа І-ІІІ ступенів № 23, м.Суми, Сумської області </t>
  </si>
  <si>
    <t xml:space="preserve">Капітальний ремонт харчоблоку Комунальної установи Сумська спеціалізована школа І-ІІІ ступенів № 25, м.Суми, Сумської області </t>
  </si>
  <si>
    <t>Капітальний ремонт подвір'я «облаштування майданчику «креативний простір», на території комунальної установи № 25 за адресою вул. Декабристів, 80 в м. Суми</t>
  </si>
  <si>
    <t xml:space="preserve"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№11 «Журавонька», м.Суми, Сумської області </t>
  </si>
  <si>
    <t xml:space="preserve">Капітальний ремонт водопроводу та каналізації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</si>
  <si>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 xml:space="preserve"> Капітальний ремонт мережі опалення Комунальної установи Сумський навчально - виховний комплекс «дошкільний навчальний заклад - загальноосвітня школа І ступеня №41 «Райдуга», м.Суми, Сумської області </t>
  </si>
  <si>
    <t xml:space="preserve">Капітальний ремонт приміщення  Комунального закладу Сумської міської ради Сумський міський центр еколого-натуралістичної творчості учнівської молоді     </t>
  </si>
  <si>
    <t>Капітальний ремонт будівлі (утеплення цоколю) Сумського дошкільного навчального закладу (цент розвитку дитини) №14 «Золотий півник» Сумської міської ради</t>
  </si>
  <si>
    <t xml:space="preserve">Капітальний ремонт дитячо-юнацького клубу «Ритм» Сумського міського центру науково-технічної творчості молоді </t>
  </si>
  <si>
    <t>Капітальний ремонт житлового фонду: капремонт житлового будинку №69 по вул. Нижньосироватська м.Суми</t>
  </si>
  <si>
    <t xml:space="preserve">Капітальний ремонт житлового фонду: капремонт вимощення житлового будинку №3 по вул. Римського-Корсакова  в м.Суми </t>
  </si>
  <si>
    <t xml:space="preserve">Капітальний ремонт житлового фонду: капремонт житлового будинку №8 по вул. Богуна м. Суми </t>
  </si>
  <si>
    <t xml:space="preserve">Капітальний ремонт житлового фонду: капремонт житлового будинку №37 по вул. Нижньосироватська м. Суми </t>
  </si>
  <si>
    <t>Капітальний ремонт житлового фонду: капремонт опалення житлового будинку №7 по провулку Івана Дерев'янка м Суми</t>
  </si>
  <si>
    <t xml:space="preserve">Капітальний ремонт житлового фонду: капремонт системи централізованого опалення житлового будинку №81Б по вул. Ковпака м. Суми </t>
  </si>
  <si>
    <t>Капітальний ремонт житлового фонду: капремонт покрівлі з перемуруванням димових та вентиляційних труб на даху житлового будинку №1 по вул.Олександра Аніщенка в м.Суми</t>
  </si>
  <si>
    <t>Капітальний ремонт житлового фонду: капремонт покрівлі житлового будинку №55 по вул. Пушкіна м.Суми</t>
  </si>
  <si>
    <t xml:space="preserve">Капітальний ремонт житлового фонду: капремонт покрівлі з перемуруванням димових та вентиляційних труб на даху житлового будинку №165/13  по вул. Г.Кондратьєва м. Суми </t>
  </si>
  <si>
    <t>Капітальний ремонт житлового фонду: капремонт каналізаційної системи, капремонт відмостки житлового будинку №85 по вул. Ковпака м.Суми</t>
  </si>
  <si>
    <t xml:space="preserve">Капітальний ремонт житлового фонду: капремонт вимощення житлового будинку №36/1 по  вул. Гамалія, м.Суми </t>
  </si>
  <si>
    <t>Капітальний ремонт житлового фонду: капремонт внутрішньобудинкових інженерних мереж житлового будинку №91 по вул. Ковпака м.Суми</t>
  </si>
  <si>
    <t>Капітальний ремонт житлового фонду: капремонт житлового будинку по вул. ім. Лікаря Івана Дерев'янка, 6 в м. Суми</t>
  </si>
  <si>
    <t>Капітальний ремонт житлового фонду: капремонт ліфта п.1 житлового будинку №18 по вул. Бельгійська в м.Суми</t>
  </si>
  <si>
    <t xml:space="preserve">Капітальний ремонт житлового фонду: капремонт ліфта п.2, капремонт ОДС ліфтів житлового будинку №63Б по вул. Інтернаціоналістів в м. Суми </t>
  </si>
  <si>
    <t>Капітальний ремонт житлового фонду: капремонт ліфта п.2, капремонт ОДС ліфтів житлового будинку №62А по вул. Героїв Крут в м.Суми</t>
  </si>
  <si>
    <t>Капітальний ремонт житлового фонду: капремонт ліфта п.1  житлового будинку №52А по вул. Сергія Табали (Севера ) м. Суми</t>
  </si>
  <si>
    <t>Капітальний ремонт житлового фонду: капремонт ліфта п.6, капремонт ліфта п.7, капремонт ОДС ліфтів житлового будинку №2 по вул.Шевченка м.Суми</t>
  </si>
  <si>
    <t>Капітальний ремонт житлового фонду: капремонт вантажопасажирського ліфта житлового будинку №2  по пл. Горького м. Суми</t>
  </si>
  <si>
    <t>Капітальний ремонт житлового фонду: капремонт вантажопасажирського ліфта бл. 1, капремонт вантажопасажирського ліфта бл. 2 житлового будинку  №55 по вул. Ковпака в м. Суми</t>
  </si>
  <si>
    <t>Капітальний ремонт житлового фонду: капремонт пасажирського ліфта п.3 житлового будинку №4 по вул. Харківська м. Суми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</si>
  <si>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</t>
  </si>
  <si>
    <t>Реконструкція та реставрація інших об'єктів</t>
  </si>
  <si>
    <t>Капітальний ремонт будівлі ДНЗ №30 «Чебурашка» за адресою: м. Суми вул. Р. Атаманюка, 13а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</si>
  <si>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</si>
  <si>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>Капітальний ремонт скверу  розташованого на перехресті пр-ту М.Лушпи та вул. Харківська (коригування)</t>
  </si>
  <si>
    <t xml:space="preserve">Капітальний ремонт житлового фонду: капремонт покрівлі  житлового будинку 165/78 по вул. Г.Кондратьєва в м Суми (коригування) </t>
  </si>
  <si>
    <t>Капітальний ремонт житлового фонду: капремонт покрівлі житлового будинку №43 по вул. Горького в м.Суми (коригування)</t>
  </si>
  <si>
    <t>Капітальний ремонт житлового фонду: капремонт покрівлі житлового будинку №5 по пров. З.Красовицького м.Суми (коригування)</t>
  </si>
  <si>
    <t>Капітальний ремонт системи освітлення КУ Сумська ЗОШ № 20 по вул. Металургів, 71 в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</si>
  <si>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</si>
  <si>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 xml:space="preserve">Придбання тенісних столів </t>
  </si>
  <si>
    <t xml:space="preserve">Капітальний ремонт об'єктів благоустрою - улаштування пішохідної огорожі по вул. Котляревського біля ЗОШ І-ІІІ ступенів №25 в м. Суми </t>
  </si>
  <si>
    <t>Капітальний ремонт електричних мереж вуличного освітлення по вул. Роменській</t>
  </si>
  <si>
    <t xml:space="preserve">Капітальний ремонт об'єктів благоустрою - скверу МЦ «Романтика» у м.Суми </t>
  </si>
  <si>
    <t>Капітальний ремонт даху спорткомплексу «Авангард» (праве крило зі встановленням відливів), вул. Праці, 5, м.Суми</t>
  </si>
  <si>
    <t>РОЗПОДІЛ</t>
  </si>
  <si>
    <t xml:space="preserve"> коштів бюджету розвитку на здійснення заходів на будівництво, реконструкцію і реставрацію, капітальний ремонт об'єктів виробничої,                                                                                                                                                                                   комунікаційної та соціальної інфраструктури за об'єктами у 2020 році</t>
  </si>
  <si>
    <t>Улаштування нових та розширення існуючих тротуарів, пішохідних та велосипедних доріжок, в т.ч.:</t>
  </si>
  <si>
    <t>Капітальний ремонт тротуарів до шкіл та садочків, в т.ч.:</t>
  </si>
  <si>
    <t>На реалізацію проектів-переможців громадського (партиципаторного) бюджету, в т.ч.:</t>
  </si>
  <si>
    <t>Капітальний ремонт об'єктів благоустрою-встановлення та благоустрій зупинок громадського транспорту по місту Суми та розробка ПКД, в т.ч.:</t>
  </si>
  <si>
    <t>Капітальний ремонт пішохідних доріжок в парку «Казка»</t>
  </si>
  <si>
    <t>Забезпечення діяльності палаців i будинків культури, клубів, центрів дозвілля та інших клубних закладів</t>
  </si>
  <si>
    <t>Капітальний ремонт житлового фонду: капремонт  фасаду, капремонт  системи  опалення житлового будинку № 77 А по вул. Ковпака  м. Суми (коригування)</t>
  </si>
  <si>
    <t>Капітальний ремонт житлового фонду: капремонт ліфта п.2 житлового будинку № 1/1 по вул. Харківська м. Суми</t>
  </si>
  <si>
    <t>Капітальний ремонт об'єкту благоустрою - зупинки громадського транспорту №113 - «Дитяча поліклініка» по просп. Михайла Лушпи м.Суми</t>
  </si>
  <si>
    <t>Капітальний ремонт об'єкту благоустрою - зупинки громадського транспорту №146 - «Обласна універсальна наукова бібліотека» по вулиці Героїв Сумщини м.Суми</t>
  </si>
  <si>
    <t>Капітальний ремонт об'єкту благоустрою - зупинки громадського транспорту №130 - «вул. Заливна» по вулиці Героїв Крут м.Суми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</si>
  <si>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</si>
  <si>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 xml:space="preserve">Капітальний ремонт підсобних приміщень харчоблоку Сумського дошкільного навчального закладу (ясла - садок) №12 «Олімпійський» м.Суми, Сумської області </t>
  </si>
  <si>
    <t>Встановлення інформаційних табло на зупинках громадського транспорту</t>
  </si>
  <si>
    <t>Капітальний ремонт дорожнього покриття по вул. Кринична в м. Суми (від вул. Прокоф’єва до вул. Миколи Міхновського)</t>
  </si>
  <si>
    <t>Капітальний ремонт прибудинкової території в районі житлового будинку №13 по вул. Лермонтова</t>
  </si>
  <si>
    <t>Капітальний ремонт прибудинкової території в районі житлового будинку №6 по вул. Л. Українки</t>
  </si>
  <si>
    <t>Капітальний ремонт прибудинкової території в районі житлового будинку №100 по вул. Роменська</t>
  </si>
  <si>
    <t>Капітальний ремонт прибудинкової території в районі житлового будинку №81 по вул. Роменська</t>
  </si>
  <si>
    <t>Капітальний ремонт прибудинкової території в районі житлового будинку №35 по вул. Г.Кондратьєва</t>
  </si>
  <si>
    <t>Капітальний ремонт прибудинкової території в районі житлового будинку №37 по вул. Г.Кондратьєва</t>
  </si>
  <si>
    <t>Капітальний ремонт перехрестя просп. Т.Шевченка - вул. Новомістенська (встановлення світлофорного об'єкту)</t>
  </si>
  <si>
    <t>Капітальний ремонт прибудинкової території в районі житлового будинку №53 по вул. Білопільський шлях</t>
  </si>
  <si>
    <t>Капітальний ремонт прибудинкової території в районі житлового будинку №59 по вул. Білопільський шлях</t>
  </si>
  <si>
    <t>Капітальний ремонт прибудинкової території в районі житлового будинку №1/3 по вул. Заливна</t>
  </si>
  <si>
    <t>Капітальний ремонт прибудинкової території в районі житлового будинку №143 по вул. Г. Кондратьєва</t>
  </si>
  <si>
    <t>Капітальний ремонт прибудинкової території в районі житлового будинку №22 по вул. Супруна</t>
  </si>
  <si>
    <t>Капітальний ремонт прибудинкової території в районі житлового будинку №24 по вул. Супруна</t>
  </si>
  <si>
    <t>Капітальний ремонт прибудинкової території в районі житлового будинку №51 по вул. Петропавлівська</t>
  </si>
  <si>
    <t>Капітальний ремонт прибудинкової території в районі житлового будинку №53 по вул. Петропавлівська</t>
  </si>
  <si>
    <t>Капітальний ремонт прибудинкової території в районі житлового будинку №127 по вул. Петропавлівська</t>
  </si>
  <si>
    <t>Капітальний ремонт прибудинкової території в районі житлового будинку №100 А по вул. Роменська</t>
  </si>
  <si>
    <t>Капітальний ремонт прибудинкової території в районі житлового будинку №92/1 по вул. Роменська</t>
  </si>
  <si>
    <t>Капітальний ремонт прибудинкової території в районі житлового будинку №78 по вул. Декабристів</t>
  </si>
  <si>
    <t>Капітальний ремонт прибудинкової території в районі житлового будинку №49 по вул. Холодногірська</t>
  </si>
  <si>
    <t>Капітальний ремонт прибудинкової території в районі житлового будинку №51 по вул. Холодногірська</t>
  </si>
  <si>
    <t>Капітальний ремонт прибудинкової території в районі житлового будинку №103/1 по просп. Курський</t>
  </si>
  <si>
    <t>Капітальний ремонт прибудинкової території в районі житлового будинку №103 по просп. Курський</t>
  </si>
  <si>
    <t>Капітальний ремонт прибудинкової території в районі житлового будинку №40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</si>
  <si>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</si>
  <si>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№4/1 по вул. Л. Українки</t>
  </si>
  <si>
    <t>Капітальний ремонт прибудинкової території в районі житлового будинку №53 по вул. Д. Галицького</t>
  </si>
  <si>
    <t>Капітальний ремонт прибудинкової території в районі житлового будинку №35 по вул. Іллінська</t>
  </si>
  <si>
    <t>Капітальний ремонт прибудинкової території в районі житлового будинку №13 по вул.Металургів</t>
  </si>
  <si>
    <t>Капітальний ремонт дорожнього покриття перехрестя вул. Малинова - вул. Михайлівська - вул. Горобинова - пров. Абрикосовий</t>
  </si>
  <si>
    <t>Капітальний ремонт прибудинкової території в районі житлового будинку №39 по вул.Заливна</t>
  </si>
  <si>
    <t>Капітальний ремонт прибудинкової території в районі житлового будинку №5 по вул.Заливна</t>
  </si>
  <si>
    <t>Капітальний ремонт прибудинкової території в районі житлового будинку №9 по вул.Харківська</t>
  </si>
  <si>
    <t>Капітальний ремонт прибудинкової території в районі житлового будинку №1 по вул.Харківська</t>
  </si>
  <si>
    <t>Капітальний ремонт прибудинкової території в районі житлового будинку №5 по вул.Харківська</t>
  </si>
  <si>
    <t>Капітальний ремонт прибудинкової території в районі житлового будинку №12/1 по вул.Реміснича</t>
  </si>
  <si>
    <t>Капітальний ремонт прибудинкової території в районі житлового будинку №12/2 по вул.Реміснича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</si>
  <si>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</si>
  <si>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№14 по вул. Леваневського</t>
  </si>
  <si>
    <t>Капітальний ремонт прибудинкової території в районі житлового будинку №12 по вул. Леваневського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</si>
  <si>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</si>
  <si>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</si>
  <si>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</si>
  <si>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</si>
  <si>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</si>
  <si>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№32 по вул. Праці</t>
  </si>
  <si>
    <t>Капітальний ремонт прибудинкової території в районі житлового будинку №34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</si>
  <si>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</si>
  <si>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</si>
  <si>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№50 по вул. Прокоф'єва</t>
  </si>
  <si>
    <t>Капітальний ремонт прибудинкової території в районі житлового будинку №2/8 по вул. Котляревського</t>
  </si>
  <si>
    <t>Капітальний ремонт прибудинкової території в районі житлового будинку №2/6 по вул. Котляревського</t>
  </si>
  <si>
    <t>Капітальний ремонт прибудинкової території в районі житлового будинку №3/1 по вул. Котляревського</t>
  </si>
  <si>
    <t>Капітальний ремонт об'єкту благоустрою - зупинки громадського транспорту №177 - «Школа №19» по вулиці Івана Харитоненка м.Суми</t>
  </si>
  <si>
    <t>Реконструкція теплових мереж з підключенням навантаження від КППВ до ТЕЦ ТОВ «Сумитеплоенерго»</t>
  </si>
  <si>
    <t>Капітальний ремонт тротуарів по вул. Набережна річки Сумки в м.Суми</t>
  </si>
  <si>
    <t>Капітальний ремонт житлового фонду: заміна вікон у під'їздах житлового будинку за адресою: м. Суми, вул.Сумсько-Київських дивізій, буд. 21</t>
  </si>
  <si>
    <t>Капітальний ремонт житлового фонду: заміна вікон житлового будинку №16 по вул. Г. Кондратьєва м. Суми</t>
  </si>
  <si>
    <t>Капітальний ремонт житлового фонду: капремонт ліфтів житлового будинку за адресою: м. Суми, вул. Лермонтова, буд.17, п. 1, 4, 5</t>
  </si>
  <si>
    <t>Капітальний ремонт житлового фонду: заміна мережі гарячого водопостачання та каналізації за адресою: м.Суми, вул. Романа Атаманюка, буд. 27, п.2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</si>
  <si>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</si>
  <si>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</si>
  <si>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</si>
  <si>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в районі житлового будинку № 35 по вул. Прокоф'єва</t>
  </si>
  <si>
    <t>Нове будівництво дитячого майданчика в районі житлового будинку № 47 по вул. Прокоф'єва</t>
  </si>
  <si>
    <t>Нове будівництво дитячого майданчика за адресою: м.Суми, вул. Данила Галицького, 180</t>
  </si>
  <si>
    <t xml:space="preserve">Капітальний ремонт обладнання пристроїв захисту від прямих попадань блискавки і вторинних її проявів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</si>
  <si>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приміщень Комунальної установи Сумська загальноосвітня школа І-ІІІ ступенів № 12 ім. Б.Берестовського, м. Суми, Сумської області </t>
  </si>
  <si>
    <t xml:space="preserve">Капітальний ремонт приміщення рекреації другого поверху комунальної установи Сумська спеціалізована школа І-ІІІ ступенів № 25, м. Суми, Сумської області </t>
  </si>
  <si>
    <t>Капітальний ремонт житлового фонду: капітальний ремонт відмостки житлового будинку за адресою: м.Суми, вул. Ковпака, буд. 89</t>
  </si>
  <si>
    <t>Капітальний ремонт житлового фонду: капітальний ремонт відмостки житлового будинку за адресою: м.Суми, вул. Ковпака, буд. 91</t>
  </si>
  <si>
    <t>Капітальний ремонт приміщення харчоблоку Сумського дошкільного навчального закладу (ясла-садок) №35 «Дюймовочка» м.Суми, Сумської області</t>
  </si>
  <si>
    <t>Капітальний ремонт житлового фонду: капремонт ліфта п.7 житлового будинку №22 по вул. Інтернаціоналістів в м.Суми</t>
  </si>
  <si>
    <t>Капітальний ремонт житлового фонду: капремонт ліфта п.2 житлового будинку №211/1 по вул.Герасима Кондратьєва в м.Суми</t>
  </si>
  <si>
    <t>Капітальний ремонт житлового фонду: капремонт ліфта п.1 житлового будинку №91 по вул. Ковпака в м.Суми</t>
  </si>
  <si>
    <t>Капітальний ремонт житлового фонду: капремонт ліфта п.2 житлового будинку №91 по вул. Ковпака в м.Суми</t>
  </si>
  <si>
    <t>Капітальний ремонт житлового фонду: капремонт ліфта п.3 житлового будинку №91 по вул. Ковпака в м.Суми</t>
  </si>
  <si>
    <t>Капітальний ремонт житлового фонду: капремонт ліфта п.1 житлового будинку №89 по вул. Ковпака в м.Суми</t>
  </si>
  <si>
    <t>Капітальний ремонт житлового фонду: капремонт ліфта п.2 житлового будинку №89 по вул. Ковпака в м.Суми</t>
  </si>
  <si>
    <t>Капітальний ремонт житлового фонду: капремонт ліфта п.1 житлового будинку №81 В по вул. Ковпака в м.Суми</t>
  </si>
  <si>
    <t>Капітальний ремонт житлового фонду: капремонт ліфта п.2 житлового будинку №81 В по вул. Ковпака в м.Суми</t>
  </si>
  <si>
    <t>Капітальний ремонт житлового фонду: капремонт ліфта п.1 житлового будинку №211/1 по вул.Герасима Кондратьєва в м.Суми</t>
  </si>
  <si>
    <t>Капітальний ремонт житлового фонду: капремонт ліфта п.1 житлового будинку №10 А по вул.Новомістенська в м.Суми</t>
  </si>
  <si>
    <t>Капітальний ремонт житлового фонду: капремонт ліфта п.2 житлового будинку №10 А по вул.Новомістенська в м.Суми</t>
  </si>
  <si>
    <r>
      <t>Капітальний ремонт огорожі Сумського дошкільного навчального закладу (ясла - садок) №6 «Метелик</t>
    </r>
    <r>
      <rPr>
        <b/>
        <sz val="14"/>
        <rFont val="Times New Roman"/>
        <family val="1"/>
        <charset val="204"/>
      </rPr>
      <t>»</t>
    </r>
    <r>
      <rPr>
        <sz val="14"/>
        <rFont val="Times New Roman"/>
        <family val="1"/>
        <charset val="204"/>
      </rPr>
      <t xml:space="preserve"> м.Суми, Сумської області </t>
    </r>
  </si>
  <si>
    <r>
      <t xml:space="preserve">Капітальний ремонт </t>
    </r>
    <r>
      <rPr>
        <b/>
        <sz val="14"/>
        <rFont val="Times New Roman"/>
        <family val="1"/>
        <charset val="204"/>
      </rPr>
      <t>«</t>
    </r>
    <r>
      <rPr>
        <sz val="14"/>
        <rFont val="Times New Roman"/>
        <family val="1"/>
        <charset val="204"/>
      </rPr>
      <t xml:space="preserve">Монтаж системи автоматичної пожежної сигналізації, оповіщення людей про пожежу та передавання тривожних сповіщень у Сумському  дошкільному навчальному закладі (центр розвитку дитини) № 14 «Золотий півник» Сумської міської ради </t>
    </r>
  </si>
  <si>
    <t xml:space="preserve">Реконструкція аварійного самотічного колектора  Д-400 мм по вул. Білопільський шлях від КНС-4 до району Тепличного </t>
  </si>
  <si>
    <t xml:space="preserve">Нове будівництво спортивного майданчика в районі нежитлової будівлі по вул. Кринична, 6 </t>
  </si>
  <si>
    <t>Капітальний ремонт фойє  Комунальної установи «Міський міжшкільний навчально – виробничий комбінат» Сумської міської ради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</si>
  <si>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</si>
  <si>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</si>
  <si>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</si>
  <si>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>Капітальний ремонт об'єктів благоустрою -Благоустрій території по вулиці Холодногірська, біля будинку 45 та 41</t>
  </si>
  <si>
    <t>Капітальний ремонт об'єктів благоустрою -Благоустрій території по провулку Веретинівській у м. Суми</t>
  </si>
  <si>
    <t>Капітальний ремонт житлового фонду: капремонт житлового будинку по вул. І Харитоненка, 24 в м. Суми</t>
  </si>
  <si>
    <t>Капітальний ремонт електричних мереж вуличного освітлення по вул. Тополянська, вул. Мусоргського, вул. Ярова в м. Суми</t>
  </si>
  <si>
    <t>Капітальний ремонт житлового фонду: капремонт житлового будинку по вул. Іллінська, 12 в м. Суми</t>
  </si>
  <si>
    <t>Капітальний ремонт житлового фонду: капремонт житлового будинку по вул. Данила Галицького, 34 в м. Суми</t>
  </si>
  <si>
    <t>Капітальний ремонт житлового фонду: капремонт покрівлі та житлового будинку по вул.Заливна,1 в м. Суми</t>
  </si>
  <si>
    <t>Капітальний ремонт житлового фонду: капремонт інженерних мереж житлового будинку по вул. Ярослава Мудрого, 52 в м. Суми</t>
  </si>
  <si>
    <t>Капітальний ремонт об’єкту благоустрою - облаштування скверу «Пам’яті» по вул. Ковпака у м. Суми</t>
  </si>
  <si>
    <t>0617363</t>
  </si>
  <si>
    <t>Капітальний ремонт прибудинкової території в районі житлового будинку №55 по вул. Ковпака</t>
  </si>
  <si>
    <t>Капітальний ремонт прибудинкової території в районі житлового будинку №40 по вул. Харківська</t>
  </si>
  <si>
    <t>Капітальний ремонт прибудинкової території в районі житлового будинку №144/2 по вул. Г. Кондратьєва</t>
  </si>
  <si>
    <t>Нове будівництво дитячого майданчика в районі житлового будинку № 9/1  по вул. Зарічна</t>
  </si>
  <si>
    <t>Капітальний ремонт «Монтаж системи пожежної сигналізації, оповіщення людей про пожежу та системи централізованого пожежного спостерігань в приміщеннях Комунальної установи Сумська загальноосвітня школа I-III ступенів №15 ім. Д.Турбіна, м. Суми, Сумської області по вул. Пушкіна, 56 в м. Суми»</t>
  </si>
  <si>
    <t xml:space="preserve">Капітальний ремонт системи протипожежного захисту у складі блискавкозахисту будівлі комунальної установи Сумська загальноосвітня школа I-III ступенів №15 ім. Д. Турбіна, м. Суми, Сумської області по вул. Пушкіна, 56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</si>
  <si>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I-III ступенів  №23, м.Суми, Сумської області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</si>
  <si>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I-III ступенів  №21 Сумської міської ради</t>
  </si>
  <si>
    <t>Капітальний ремонт приміщень Комунальної установи Сумська загальноосвітня школа І-ІІІ ступенів № 5 м.Суми, Сумської області</t>
  </si>
  <si>
    <t>Капітальний ремонт будівлі та приміщень Сумського дошкільного навчального закладу (ясла-садок) №8 «Космічний» м. Суми, Сумської області, проспект Михайла Лушпи, 34</t>
  </si>
  <si>
    <t>Капітальний ремонт із заміною віконних блоків та дверей Сумського дошкільного навчального закладу (ясла-садок) №1 «Ромашка» м. Суми, Сумської області, вул. Радянська 3А</t>
  </si>
  <si>
    <t xml:space="preserve">Капітальний ремонт житлового фонду: заміна ліфта 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</si>
  <si>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ІІІ під’їзду житлового будинку за адресою: м.Суми, вул. Інтернаціоналістів, буд. 59А </t>
  </si>
  <si>
    <t xml:space="preserve">Капітальний ремонт житлового фонду: заміна ліфта ІІ під’їзду житлового будинку за адресою: м.Суми, вул. Інтернаціоналістів, буд. 59А </t>
  </si>
  <si>
    <t>Капітальний ремонт інженерних мереж будівлі гімназії (системи протипожежного захисту) у складі: системи пожежної сигналізації, системи оповіщення про пожежу та системи централізованого пожежного спостерігання,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2 Комунальної установи Сумська класична гімназія Сумської міської ради по вул. Троїцька, 5 в м. Суми;                                                                             3. Корпус № 3 Комунальної установи Сумська класична гімназія Сумської міської ради по вул. Рибалко,5 в м. Суми</t>
  </si>
  <si>
    <t xml:space="preserve">Капітальний ремонт коридору Комунальної установи Сумська загальноосвітня школа І-ІІІ ступенів № 5 м.Суми, Сумської області, по вул. Доватора, 32 </t>
  </si>
  <si>
    <t>Капітальний ремонт прибудинкової території в районі житлового будинку №46 по вул. Прокоф'єва</t>
  </si>
  <si>
    <t>Капітальний ремонт прибудинкової території в районі житлового будинку №48 по вул. Прокоф'єва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</si>
  <si>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58</t>
  </si>
  <si>
    <t>Капітальний ремонт житлового фонду: заміна вікон у під’їздах житлового багатоквартирного будинку за адресою: м. Суми, вул. Нижньосироватська, буд. 37</t>
  </si>
  <si>
    <t>Капітальний ремонт житлового фонду: капітальний ремонт  фасаду житлового будинку за адресою: м. Суми, вул. Ковпака, буд. 81В</t>
  </si>
  <si>
    <t>Капітальний ремонт житлового фонду: капремонт житлового будинку за адресою: м. Суми, вул. Охтирська, буд. 11</t>
  </si>
  <si>
    <t xml:space="preserve">Капітальний ремонт спортивного майданчика Комунальної установи Сумська гімназія № 1 м. Суми, Сумської області </t>
  </si>
  <si>
    <t>Капітальний ремонт дитячого майданчику за адресою: м. Суми, вул. Римського-Корсакова, буд. 34</t>
  </si>
  <si>
    <t>Нове будівництво дитячого майданчика в районі житлового будинку № 12 по вул. Прокоф'єва</t>
  </si>
  <si>
    <t>Нове будівництво дитячого майданчика в районі житлового будинку № 41 по вул. Івана Сірка</t>
  </si>
  <si>
    <t>Нове будівництво дитячого майданчика в районі житлового будинку № 40 по вул. Героїв Крут</t>
  </si>
  <si>
    <t>Нове будівництво спортивного майданчика біля ЗОШ № 23</t>
  </si>
  <si>
    <t xml:space="preserve">Капітальний ремонт житлового фонду: заміна вікна у під’їзді 4 житлового будинку за адресою: м. Суми, проспект Тараса Шевченка, буд. 23 </t>
  </si>
  <si>
    <t>Капітальний ремонт харчоблоку (заміна вентиляційної системи) Комунальної установи Сумська загальноосвітня школа І-ІІІ ступенів № 27, м.Суми, Сумської області</t>
  </si>
  <si>
    <t>Капітальний ремонт покрівлі Сумського закладу загальної середньої освіти І-ІІІ ступенів №21 Сумської міської ради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</si>
  <si>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</si>
  <si>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</si>
  <si>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1020</t>
  </si>
  <si>
    <t>1014060</t>
  </si>
  <si>
    <t>Забезпечення діяльності палаців i будинків культури, клубів, центрів дозвілля та iнших клубних закладів</t>
  </si>
  <si>
    <t>Капітальний ремонт прибудинкової території в районі житлового будинку №40/2 по вул. Харківська</t>
  </si>
  <si>
    <t>Капітальний ремонт прибудинкової території в районі житлового будинку №65А по вул.Інтернаціоналістів</t>
  </si>
  <si>
    <t>Капітальний ремонт прибудинкової території в районі житлового будинку №65Б по вул.Інтернаціоналістів</t>
  </si>
  <si>
    <t>Капітальний ремонт прибудинкової території в районі житлового будинку №63Б по вул.Інтернаціоналістів</t>
  </si>
  <si>
    <t xml:space="preserve">Капітальний ремонт будівель та приміщень Сумського дошкільного навчального закладу (ясла - садок) №29 «Росинка» м.Суми, Сумської області, проспект Шевченка, 16 </t>
  </si>
  <si>
    <t>Капітальний ремонт інженерних мереж будівлі гімназії (системи протипожежного захисту) у складі: системи блискавкозахисту, по об’єкту:                                                    1. Корпус № 1 Комунальної установи Сумська класична гімназія Сумської міської ради по вул. Троїцька, 3 в м. Суми;                                                                                    2. Корпус № 3 Комунальної установи Сумська класична гімназія Сумської міської ради по вул. Рибалко, 5</t>
  </si>
  <si>
    <t>Капітальний ремонт житлового фонду: заміна вікон у під'їздах житлового будинку за адресою: м. Суми, вул. Богуна, буд. 8</t>
  </si>
  <si>
    <t>Будівництво стадіону з хокею на траві по вул. Героїв Крут, 1/1,  1/2</t>
  </si>
  <si>
    <r>
      <t>О</t>
    </r>
    <r>
      <rPr>
        <b/>
        <sz val="12"/>
        <rFont val="Times New Roman"/>
        <family val="1"/>
        <charset val="204"/>
      </rPr>
      <t>бсяг видатків бюджету розвитку</t>
    </r>
    <r>
      <rPr>
        <sz val="12"/>
        <rFont val="Times New Roman"/>
        <family val="1"/>
        <charset val="204"/>
      </rPr>
      <t>,                             які спрямовуються на будівництво об'єкта у бюджетному періоді,             гривень</t>
    </r>
  </si>
  <si>
    <t>Код Функціо-нальної класифікації видатків та кредиту-вання бюджету</t>
  </si>
  <si>
    <t>Внесено змін (+, -)</t>
  </si>
  <si>
    <r>
      <t>Всього видатків з урахуванням змін,</t>
    </r>
    <r>
      <rPr>
        <sz val="12"/>
        <rFont val="Times New Roman"/>
        <family val="1"/>
        <charset val="204"/>
      </rPr>
      <t xml:space="preserve"> гривень</t>
    </r>
  </si>
  <si>
    <t>Будівництво споруд, установ та закладів фізичної культури і спорту</t>
  </si>
  <si>
    <t>Капітальний ремонт житлового фонду: заміна ліфта І під'їзду житлового будинку за адресою: м. Суми, вул. Іллінська, буд. 51Г</t>
  </si>
  <si>
    <t>Капітальний ремонт житлового фонду: заміна ліфта ІІ під'їзду житлового будинку за адресою: м. Суми, вул. Іллінська, буд. 51Г</t>
  </si>
  <si>
    <t>Капітальний ремонт житлового фонду: заміна ліфта ІІІ під'їзду житлового будинку за адресою: м. Суми, вул. Іллінська, буд. 51Г</t>
  </si>
  <si>
    <t>Капітальний ремонт житлового фонду: заміна ліфта ІУ під'їзду житлового будинку за адресою: м. Суми, вул. Іллінська, буд. 51Г</t>
  </si>
  <si>
    <t>Капітальний ремонт житлового фонду: капітальний ремонт житлового будинку за адресою: м. Суми, вул. Іллінська, буд. 51/1</t>
  </si>
  <si>
    <t>Капітальний ремонт житлового фонду: капітальний ремонт житлового будинку за адресою: м. Суми, вул. Садова, буд. 32</t>
  </si>
  <si>
    <t>Нове будівництво підземного контейнерного майданчику за адресою: м. Суми, проспект Михайла Лушпи, буд. 7</t>
  </si>
  <si>
    <t>Капітальний ремонт житлового фонду: улаштування водостоку житлового будинку за адресою: м. Суми, вул. Сумсько-Київських дивізій, буд. 19</t>
  </si>
  <si>
    <t>Капітальний ремонт електричних мереж вуличного освітлення по проспекту Курському (коригування)</t>
  </si>
  <si>
    <t>Капітальний ремонт електричних мереж вуличного освітлення прибудинкової території по вул. Ковпака 14, 14/1</t>
  </si>
  <si>
    <t xml:space="preserve">Внесено змін +, -               </t>
  </si>
  <si>
    <t>Капітальний ремонт тротуару в районі підпірної стінки по вул. Прокоф'єва в м. Суми</t>
  </si>
  <si>
    <t>Капітальний ремонт тротуарів в районі житлового будинку № 10 по просп. М. Лушпи в м. Суми</t>
  </si>
  <si>
    <t>Капітальний ремонт тротуарів в районі житлових будинків № 27-29 по вул. Заливна (ЗОШ №29) в м. Суми</t>
  </si>
  <si>
    <t>Капітальний ремонт тротуарів в районі житлових будинків №9-25 по вул. Харківська в м. Суми</t>
  </si>
  <si>
    <t>Капітальний ремонт тротуару в районі житлових будинків № 5-7 по просп. М. Лушпи в м. Суми</t>
  </si>
  <si>
    <t>Капітальний ремонт тротуарів по вул. Іллінська (від вул. Данила Галицького до вул. Чорновола) в м. Суми</t>
  </si>
  <si>
    <t>Капітальний ремонт тротуару по вул. Г. Кондратьєва (в районі кладовища) в м. Суми</t>
  </si>
  <si>
    <t>Капітальний ремонт тротуарів в районі перехрестя вул. Харківська-вул. Гагаріна (в районі підземного переходу) в м. Суми</t>
  </si>
  <si>
    <t>Капітальний ремонт тротуару в районі будинку №18 по вул. Івана Сірка (зупинка «Дитяча поліклініка») в м. Суми</t>
  </si>
  <si>
    <t>Капітальний ремонт тротуарів в районі житлового будинку №10 по вул. Героїв Крут в м. Суми</t>
  </si>
  <si>
    <t>Капітальний ремонт тротуарів по вул. Троїцька в м. Суми</t>
  </si>
  <si>
    <t>Капітальний ремонт тротуарів по вул. Набережна р. Стрілки в м. Суми</t>
  </si>
  <si>
    <t>Капітальний ремонт тротуарів по вул. Героїв Сумщини  в м. Суми</t>
  </si>
  <si>
    <t xml:space="preserve">Капітальний ремонт об’єкту благоустрою – улаштування бар’єрного огородження по вул. Родини Линтварьових в м. Суми </t>
  </si>
  <si>
    <t xml:space="preserve">Капітальний ремонт тротуару по вул. Реміснича в м. Суми </t>
  </si>
  <si>
    <t xml:space="preserve">Капітальний ремонт тротуару по вул. Холодногірська в м. Суми </t>
  </si>
  <si>
    <t>Капітальний ремонт об'єкту благоустрою - зупинки громадського транспорту №103 - «Легкоатлетичний манеж» по вул. Прокоф’єва м.Суми</t>
  </si>
  <si>
    <t>Капітальний ремонт об'єкту благоустрою - зупинки громадського транспорту №105 - «Технічне училище» по вул. Прокоф’єва м.Суми</t>
  </si>
  <si>
    <t>Капітальний ремонт об'єкту благоустрою - зупинки громадського транспорту №364 - «Прокоф’єва» по вул. Прокоф’єва м.Суми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</si>
  <si>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</si>
  <si>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об'єкту благоустрою - зупинки громадського транспорту №194 - «Будівельний коледж» по вул. Петропавлівській м.Суми</t>
  </si>
  <si>
    <t>Капітальний ремонт об'єкту благоустрою - зупинки громадського транспорту №195 - «1 міська лікарня» по вул. Петропавлівській м.Суми</t>
  </si>
  <si>
    <t>Капітальний ремонт об'єкту благоустрою - зупинки громадського транспорту №197 - «1 міська лікарня» по вул. 20 років Перемоги м.Суми</t>
  </si>
  <si>
    <t xml:space="preserve">Капітальний ремонт прибудинкової території в районі житлового будинку №5 по пров. Інститутський </t>
  </si>
  <si>
    <t xml:space="preserve">Капітальний ремонт прибудинкової території в районі житлового будинку №7 по пров. Інститутський </t>
  </si>
  <si>
    <t>Капітальний ремонт прибудинкової території в районі житлового будинку №21 по вул. Троїцька</t>
  </si>
  <si>
    <t>Капітальний ремонт теплопунктів (облаштування системи автоматичного регулювання споживання тепла) в Комунальній установі Сумська спеціалізована школа І-ІІІ ступенів №29, м.Суми, Сумської області</t>
  </si>
  <si>
    <t>Співфінансування інвестиційних проектів, що реалізуються за рахунок коштів державного фонду регіонального розвитку</t>
  </si>
  <si>
    <t>0717361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</si>
  <si>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</si>
  <si>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Нове будівництво спортивного майданчика в районі житлового будинку № 39 по вул. Заливній</t>
  </si>
  <si>
    <t xml:space="preserve">Нове будівництво дитячого майданчика за адресою: м. Суми, вул. Інтернаціоналістів, 25 </t>
  </si>
  <si>
    <t>Капітальний ремонт житлового фонду: капремонт мережі гарячого водопостачання житлового будинку № 25 по вулиці Сумсько-Київських дивізій у м. Суми</t>
  </si>
  <si>
    <t>Капітальний ремонт житлового фонду: капремонт вимощення житлового будинку № 23 по вулиці Сумсько-Київських дивізій у м. Суми</t>
  </si>
  <si>
    <t xml:space="preserve">Нове будівництво ділянки водогону за адресою: м. Суми, с. Піщане, вул. Вишнева </t>
  </si>
  <si>
    <t xml:space="preserve">Капітальний ремонт покрівлі Сумського закладу загальної середньої освіти І-ІІІ ступенів №21 Сумської міської ради </t>
  </si>
  <si>
    <t>Капітальний ремонт житлового фонду: капремонт ліфта п.1, капремонт ліфта п.2, капремонт ліфта п.3 житлового будинку № 57А по вул. Інтернаціоналістів в м.Суми</t>
  </si>
  <si>
    <t>Капітальний ремонт  житлового фонду: капремонт  стін житлового будинку № 19 по вул.Гамалія в м.Суми</t>
  </si>
  <si>
    <t xml:space="preserve">Капітальний ремонт  дорожнього покриття на перехресті вул. Реміснича та вул. Металургів </t>
  </si>
  <si>
    <t xml:space="preserve">Капітальний ремонт  дорожнього покриття по вул. Парнянська в с. В. Піщане  </t>
  </si>
  <si>
    <t>Капітальний ремонт прибудинкової території в районі житлового будинку №3 по пров. Огарьова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</si>
  <si>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</si>
  <si>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</si>
  <si>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</si>
  <si>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 xml:space="preserve">Капітальний ремонт мереж вуличного освітлення вздовж ДНЗ № 25 по вул. Лесі  Українки </t>
  </si>
  <si>
    <t>Капітальний ремонт приміщення Комунальної установи Сумський навчально - виховний комплекс «Загальноосвітня школа I ступеня -дошкільний навчальний заклад № 9 «Веснянка» м.Суми, Сумської області</t>
  </si>
  <si>
    <t xml:space="preserve">Капітальний ремонт  прального цеху  Сумського дошкільного навчального закладу (ясла - садок) № 39 «Теремок» м.Суми, Сумської області  </t>
  </si>
  <si>
    <t xml:space="preserve">Капітальний ремонт харчоблоку Сумського дошкільного навчального закладу (ясла - садок) № 7 «Попелюшка» м.Суми, Сумської області </t>
  </si>
  <si>
    <t xml:space="preserve">Капітальний ремонт приміщення їдальні Сумського закладу загальної середньої освіти І-ІІІ ступенів №26 Сумської міської ради </t>
  </si>
  <si>
    <t>Капітальний ремонт житлового фонду: капітальний ремонт холодного водопостачання за адресою: м. Суми, вул. Харківська, буд. 54/1, під’їзди 3, 4</t>
  </si>
  <si>
    <t>Капітальний ремонт житлового фонду: капітальний ремонт парапету за адресою: м. Суми, проспект Тараса Шевченка, буд. 11, під’їзд 1</t>
  </si>
  <si>
    <t xml:space="preserve">Капітальний ремонт житлового фонду: капітальний ремонт парапетів покрівлі житлового будинку за адресою: м. Суми, вул. Івана Сірка, буд. 35 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</si>
  <si>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</si>
  <si>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Нове будівництво ділянки водогону за адресою: м. Суми, с.Піщане, вул. Шкільна від будинку № 29</t>
  </si>
  <si>
    <t>Капітальний ремонт житлового фонду: капітальний ремонт  житлового будинку за адресою: м. Суми, проспект Курський, 103</t>
  </si>
  <si>
    <t>Капітальний ремонт житлового фонду: капітальний ремонт  електроосвітлення  в під'їздах житлового будинку  за адресою: м. Суми, проспект Михайла Лушпи, буд.15</t>
  </si>
  <si>
    <t>Сумський міський голова</t>
  </si>
  <si>
    <t>О.М. Лисенко</t>
  </si>
  <si>
    <t>Виконавець : Липова С.А.</t>
  </si>
  <si>
    <t>«Про         внесення        змін        до          рішення</t>
  </si>
  <si>
    <t xml:space="preserve">№  6248 - МР  «Про   бюджет   Сумської    міської </t>
  </si>
  <si>
    <t>об'єднаної   територіальної  громади  на  2020 рік»</t>
  </si>
  <si>
    <t>Інші програми та заходи у сфері охорони здоров’я</t>
  </si>
  <si>
    <t>0712152</t>
  </si>
  <si>
    <t>0763</t>
  </si>
  <si>
    <t xml:space="preserve"> до       рішення       Сумської      міської        ради</t>
  </si>
  <si>
    <t>(зі змінами)»</t>
  </si>
  <si>
    <t>Капітальний ремонт житлового фонду: капремонт покрівлі житлового будинку № 61 по вул. Ковпака м. Суми</t>
  </si>
  <si>
    <t>Капітальний ремонт житлового фонду: капремонт холодного водопостачання п.2,3,4, капремонт водостічної системи житлового будинку №22 по вул. Супруна м. Суми</t>
  </si>
  <si>
    <t>Влаштування пандусів до житлового будинку за адресою: вул. Героїв Крут, 68Б</t>
  </si>
  <si>
    <t>Капітальний ремонт теплопункту (облаштування системи автоматичного регулювання споживання тепла) в дитячій музичній школі № 2</t>
  </si>
  <si>
    <t>Капітальний ремонт теплопункту (облаштування системи автоматичного регулювання споживання тепла) в дитячій художній школі ім. М.Г. Лисенка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</si>
  <si>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</si>
  <si>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Реалізація проекту «Підвищення енергоефективності в дошкільних навчальних закладах міста Суми», в тому числі:</t>
  </si>
  <si>
    <t>Капітальний ремонт житлового фонду: капремонт ліфта  п.1 житлового будинку       № 81В  по вул. Ковпака в м. Суми</t>
  </si>
  <si>
    <t>Капітальний ремонт житлового фонду: капремонт ліфта  п.2 житлового будинку       № 81В  по вул. Ковпака в м. Суми</t>
  </si>
  <si>
    <t>Капітальний ремонт житлового фонду: капремонт ліфта  п.1 житлового будинку       № 91  по вул. Ковпака в м. Суми</t>
  </si>
  <si>
    <t>Капітальний ремонт житлового фонду: капремонт ліфта  п.2 житлового будинку       № 91  по вул. Ковпака в м. Суми</t>
  </si>
  <si>
    <t>Капітальний ремонт житлового фонду: капремонт ліфта  п.3 житлового будинку       № 91  по вул. Ковпака в м. Суми</t>
  </si>
  <si>
    <t>0617321</t>
  </si>
  <si>
    <t>Капітальний ремонт фізіотерапевтичного  кабінету Сумського дошкільного навчального закладу (ясла-садок) №40 «Дельфін» м. Суми, Сумської області</t>
  </si>
  <si>
    <t>Капітальний ремонт прибудинкової території в районі житлового будинку №1 по вул. К. Зеленко</t>
  </si>
  <si>
    <t>Капітальний ремонт прибудинкової території в районі житлового будинку №3 по вул. К. Зеленко</t>
  </si>
  <si>
    <t>Капітальний ремонт прибудинкової території в районі житлового будинку №5 по вул. К. Зеленко</t>
  </si>
  <si>
    <t>Капітальний ремонт прибудинкової території в районі житлового будинку №7 по вул. К. Зеленко</t>
  </si>
  <si>
    <t>Капітальний ремонт прибудинкової території в районі житлового будинку №48 по вул. СКД</t>
  </si>
  <si>
    <t>Капітальний ремонт прибудинкової території в районі житлового будинку №3/1 по вул. СКД</t>
  </si>
  <si>
    <t xml:space="preserve">Будівництво освітніх установ та закладів </t>
  </si>
  <si>
    <t>Капітальний ремонт житлового фонду: капремонт покрівлі житлового будинку №4 по вул. Леваневського м. Суми</t>
  </si>
  <si>
    <t xml:space="preserve">Сумської  міської  ради  від  24  грудня  2019  року </t>
  </si>
  <si>
    <t xml:space="preserve">                                Додаток № 6</t>
  </si>
  <si>
    <t xml:space="preserve">Капітальний ремонт площі Незалежності в м. Суми </t>
  </si>
  <si>
    <t xml:space="preserve">Нове будівництво дитячого майданчика в районі житлових будинків № 82, 84 по вул. Робітнича  </t>
  </si>
  <si>
    <t xml:space="preserve">Капітальний ремонт житлового фонду: капремонт каналізаційної мережі житлового будинку № 19 по вул. Супруна, м. Суми </t>
  </si>
  <si>
    <t>Влаштування пандусів до житлового будинку за адресою: вул. Ковпака, 17 п.2</t>
  </si>
  <si>
    <t xml:space="preserve">Нове будівництво зони відпочинку на річці Псел по пров. Дачний, 9 </t>
  </si>
  <si>
    <t xml:space="preserve">Нове будівництво дитячого майданчика в районі житлового будинку № 2/2 по вул. Котляревського </t>
  </si>
  <si>
    <t>Нове будівництво дитячого майданчика в районі житлового будинку № 110 по вул. Роменська</t>
  </si>
  <si>
    <t>0717322</t>
  </si>
  <si>
    <t>Капітальний ремонт закладів дошкільної освіти, в т.ч.:</t>
  </si>
  <si>
    <t>Капітальний ремонт закладів загальної середньої освіти (у тому числі дошкільні підрозділи НВК), в т.ч.:</t>
  </si>
  <si>
    <t>Капітальний ремонт «Монтаж системи аварійного електроосвітлення» Комунальної установи Сумська загальноосвітня школа I-III ступенів №15 ім. Д. Турбіна, м. Суми, Сумської області по вул. Пушкіна, 56</t>
  </si>
  <si>
    <t xml:space="preserve">Капітальний ремонт системи опалення Комунальної установи Сумський спеціальний реабілітаційний навчально-виховний комплекс  «Загальноосвітня школа І ступеня-дошкільний навчальний заклад №34» Сумської міської ради </t>
  </si>
  <si>
    <t>Капітальний ремонт спеціальних закладів загальної середньої освіти, в т.ч.:</t>
  </si>
  <si>
    <t>Капітальний ремонт фойє  початкової школи будівлі Сумського закладу загальної середньої освіти спеціальна школа Сумської міської ради м. Суми вул. Прокоф'єва, 28</t>
  </si>
  <si>
    <t>Капітальний ремонт закладів позашкільної освіти, в т.ч.:</t>
  </si>
  <si>
    <t>Капітальний ремонт інших закладів освіти, в т.ч.:</t>
  </si>
  <si>
    <t>0217325</t>
  </si>
  <si>
    <t>7325</t>
  </si>
  <si>
    <t>Капітальний ремонт житлового фонду: капремонт системи централізованого опалення житлового будинку № 81В по вул. Ковпака м.Суми</t>
  </si>
  <si>
    <t>Капітальний ремонт житлового фонду: капремонт покрівлі житлового будинку         № 66А по вул. Героїв Крут, м.Суми</t>
  </si>
  <si>
    <t>Капітальний ремонт житлового фонду: капремонт ганків житлового будинку № 81 по вул. Роменська, м.Суми</t>
  </si>
  <si>
    <t xml:space="preserve">Реконструкція будівлі по вул. Карбишева, 45 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</si>
  <si>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</si>
  <si>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субвенції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</si>
  <si>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</si>
  <si>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Управління  освіти і науки Сумської міської ради, у т.ч. за рахунок:</t>
  </si>
  <si>
    <t>Надання дошкільної освіти, у т.ч. за рахунок:</t>
  </si>
  <si>
    <t>Капітальний ремонт спортивної зали відділення гімнастики «МКЗ КДЮСШ «Суми» вулиця Праці, 5, м. Суми</t>
  </si>
  <si>
    <t>Капітальний ремонт покрівлі МЦ ФЗН «Спорт для всіх» (праве крило зі встановленням відливів) вулиця Праці, 5, м.Суми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</si>
  <si>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групами)), у т.ч. за рахунок: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</si>
  <si>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у т.ч. за рахунок:</t>
  </si>
  <si>
    <t xml:space="preserve">Нове будівництво дитячого майданчика в районі житлового будинку № 2/7 по вул. Декабристів </t>
  </si>
  <si>
    <t xml:space="preserve">Капітальний ремонт приміщення їдальні  Комунальної установи Сумська загальноосвітня школа І-ІІІ ступенів № 12 ім. Б.Берестовського, м. Суми, Сумської області </t>
  </si>
  <si>
    <t>Капітальний ремонт житлового фонду (приміщень), у т.ч. за рахунок:</t>
  </si>
  <si>
    <t>Капітальний ремонт інших об`єктів, у т.ч. за рахунок:</t>
  </si>
  <si>
    <t xml:space="preserve">Департамент інфраструктури міста Сумської міської ради, у т.ч. за рахунок: </t>
  </si>
  <si>
    <t>Капітальні трансферти підприємствам (установам, організаціям), у т.ч. за рахунок:</t>
  </si>
  <si>
    <t>місцевого запозичення</t>
  </si>
  <si>
    <t xml:space="preserve">Відділ охорони здоров’я Сумської міської ради, у т.ч. за рахунок:  </t>
  </si>
  <si>
    <t>Капітальний ремонт житлового фонду: капремонт водостічної системи, капремонт фасаду житлового будинку  по вул. Новомістенська, 4 в м. Суми, у т. ч. за рахунок:</t>
  </si>
  <si>
    <t>Капітальний ремонт дороги в районі житлового будинку за № 4 по провулку Інститутський у м. Суми, у т.ч. за рахунок:</t>
  </si>
  <si>
    <t>Управління капітального будівництва та дорожнього господарства Сумської міської ради, у т.ч. за рахунок:</t>
  </si>
  <si>
    <t>Капітальний ремонт дошкільних навчальних закладів в м. Суми, у т.ч. за рахунок:</t>
  </si>
  <si>
    <t xml:space="preserve"> місцевого запозичення</t>
  </si>
  <si>
    <t>Всього видатків, у т.ч. за рахунок:</t>
  </si>
  <si>
    <t>Нове будівництво дитячого та спортивного майданчика в районі будинків по вул. Г. Кондратьєва, буд. 160в, 158/1,158/2,158/3,158/4</t>
  </si>
  <si>
    <t xml:space="preserve">Нове будівництво дитячого майданчика в районі житлового будинку № 2/6 по вул. Котляревського </t>
  </si>
  <si>
    <t xml:space="preserve">Нове будівництво дитячого майданчика в районі будинку № 9/2 по вул. І.Кавалерідзе </t>
  </si>
  <si>
    <t xml:space="preserve">Капітальний ремонт покрівлі Сумського дошкільного навчального закладу (ясла - садок) №25 «Білосніжка» м.Суми, Сумської області  </t>
  </si>
  <si>
    <t>Реконструкція стадіону «Авангард» з влаштуванням штучного покриття грального поля</t>
  </si>
  <si>
    <t>0217330</t>
  </si>
  <si>
    <t>7330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</si>
  <si>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</si>
  <si>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>0817323</t>
  </si>
  <si>
    <r>
      <t>Капітальний ремонт даху Сумського дошкільного навчального закладу (ясла - садок) №6 «Метелик</t>
    </r>
    <r>
      <rPr>
        <b/>
        <sz val="14"/>
        <rFont val="Times New Roman"/>
        <family val="1"/>
        <charset val="204"/>
      </rPr>
      <t>»</t>
    </r>
    <r>
      <rPr>
        <sz val="14"/>
        <rFont val="Times New Roman"/>
        <family val="1"/>
        <charset val="204"/>
      </rPr>
      <t xml:space="preserve"> м.Суми, Сумської області </t>
    </r>
  </si>
  <si>
    <t>Капітальний ремонт будівлі Комунальної установи Сумська загальноосвітня школа І-ІІІ ступенів № 8 Сумської міської ради за адресою: вул. Троїцька, 7, м. Суми, у т.ч. за рахунок:</t>
  </si>
  <si>
    <t xml:space="preserve">Капітальний ремонт житлового фонду: капремонт відмостки житлового будинку за адресою: м.Суми, вул. Ковпака, буд. 87 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</si>
  <si>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</si>
  <si>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Капітальний ремонт об’єкту благоустрою – облаштування скверу «Пам’яті» по вул. Ковпака у м. Суми</t>
  </si>
  <si>
    <t xml:space="preserve">Капітальний ремонт мосту через р. Сумка по вул. Степана Бандери в м. Суми </t>
  </si>
  <si>
    <t>Капітальний ремонт діючого каналізаційного колектора Д-500 мм по вул. Ремісничій в м. Суми</t>
  </si>
  <si>
    <t xml:space="preserve">Будівництво напірного каналізаційного колектору від КНС-6 по вул. Прокоф’єва в м. Суми з переврізкою в збудований напірний колектор  </t>
  </si>
  <si>
    <t xml:space="preserve">Капітальний ремонт об'єкту благоустрою - скверу МЦ «Романтика» в м.Суми </t>
  </si>
  <si>
    <t xml:space="preserve">Капітальний ремонт мереж вуличного освітлення в районі вулиці Івана Франка в м. Суми </t>
  </si>
  <si>
    <t xml:space="preserve">Реконструкція дитячого майданчика в районі житлового будинку № 15 по вул. Інтернаціоналістів   </t>
  </si>
  <si>
    <t xml:space="preserve"> відповідно до проекту рішення, пропозицій виконавчого комітету та міського голови від 19.06.2020</t>
  </si>
  <si>
    <t xml:space="preserve"> відповідно до пропозицій міського голови від 23.06.2020                 </t>
  </si>
  <si>
    <t>Капітальний ремонт тротуару від буд. № 24 до буд. № 8 по вул. Троїцька</t>
  </si>
  <si>
    <t>Капітальний ремонт тротуару в районі буд. № 115 по вул. Р.Атаманюка (Курський ринок)</t>
  </si>
  <si>
    <t>Капітальний ремонт зупинки № 29 «Мануфактура» по вул. Харківська</t>
  </si>
  <si>
    <t>Капітальний ремонт зупинки № 119 «10 мікрорайон» по пр. М. Лушпи (Атріум)</t>
  </si>
  <si>
    <t>Капітальний ремонт зупинки № 170 «вул. Металургів» по вул. Металургів</t>
  </si>
  <si>
    <t xml:space="preserve">Капітальний ремонт будівлі із заміною вікон Сумського дошкільного навчального закладу (ясла – садок) № 35 «Дюймовочка» м. Суми, Сумської області 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</si>
  <si>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</si>
  <si>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 xml:space="preserve">Капітальний ремонт електричних мереж вуличного освітлення по вул. Г.Крут, 40, вул. Інтернаціоналістів, 20, 43А, 43Б, 43В, 43Г, 51, 51А, 51Б та вул. Івана Сірка, 37, 41 в м. Суми 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</si>
  <si>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</si>
  <si>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</si>
  <si>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Капітальний ремонт житлового фонду: капремонт покрівлі житлового будинку № 15/1 по вул. Пришибська площа м. Суми</t>
  </si>
  <si>
    <t>від    24    червня   2020    року     №  7073    -   МР</t>
  </si>
  <si>
    <t>Будівництво установ та закладів соціальної сфери</t>
  </si>
  <si>
    <t xml:space="preserve">субвенцій з державного бюджету місцевим бюджетам </t>
  </si>
  <si>
    <t xml:space="preserve">субвенцій з місцевих бюджетів іншим місцевим бюджетам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</si>
</sst>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0\ _₽"/>
    <numFmt numFmtId="167" formatCode="#,##0.0\ _₽"/>
  </numFmts>
  <fonts count="28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0"/>
      <name val="Times"/>
      <charset val="204"/>
    </font>
    <font>
      <b/>
      <i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u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9" fillId="0" borderId="0"/>
    <xf numFmtId="0" fontId="1" fillId="0" borderId="0"/>
  </cellStyleXfs>
  <cellXfs count="163">
    <xf numFmtId="0" fontId="0" fillId="0" borderId="0" xfId="0"/>
    <xf numFmtId="0" fontId="2" fillId="2" borderId="0" xfId="0" applyNumberFormat="1" applyFont="1" applyFill="1" applyAlignment="1" applyProtection="1"/>
    <xf numFmtId="0" fontId="4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11" fillId="2" borderId="0" xfId="0" applyFont="1" applyFill="1"/>
    <xf numFmtId="49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0" xfId="0" applyFont="1" applyFill="1"/>
    <xf numFmtId="49" fontId="13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10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 applyProtection="1">
      <alignment horizontal="center" vertical="center" wrapText="1"/>
    </xf>
    <xf numFmtId="1" fontId="10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3" fontId="2" fillId="2" borderId="1" xfId="0" applyNumberFormat="1" applyFont="1" applyFill="1" applyBorder="1" applyAlignment="1" applyProtection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3" applyFont="1" applyFill="1" applyBorder="1" applyAlignment="1">
      <alignment horizontal="left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167" fontId="13" fillId="2" borderId="1" xfId="0" applyNumberFormat="1" applyFont="1" applyFill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2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0" fontId="8" fillId="2" borderId="1" xfId="0" applyFont="1" applyFill="1" applyBorder="1"/>
    <xf numFmtId="0" fontId="8" fillId="2" borderId="0" xfId="0" applyFont="1" applyFill="1" applyBorder="1"/>
    <xf numFmtId="0" fontId="4" fillId="2" borderId="0" xfId="0" applyFont="1" applyFill="1" applyAlignment="1"/>
    <xf numFmtId="0" fontId="11" fillId="2" borderId="3" xfId="0" applyFont="1" applyFill="1" applyBorder="1" applyAlignment="1"/>
    <xf numFmtId="0" fontId="8" fillId="2" borderId="3" xfId="0" applyFont="1" applyFill="1" applyBorder="1" applyAlignment="1"/>
    <xf numFmtId="0" fontId="14" fillId="2" borderId="3" xfId="0" applyFont="1" applyFill="1" applyBorder="1" applyAlignment="1"/>
    <xf numFmtId="0" fontId="8" fillId="2" borderId="3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17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 applyProtection="1">
      <alignment horizontal="center" vertical="center"/>
    </xf>
    <xf numFmtId="4" fontId="20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/>
    <xf numFmtId="0" fontId="22" fillId="2" borderId="0" xfId="0" applyFont="1" applyFill="1"/>
    <xf numFmtId="1" fontId="2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/>
    <xf numFmtId="0" fontId="21" fillId="2" borderId="0" xfId="0" applyFont="1" applyFill="1" applyAlignment="1"/>
    <xf numFmtId="0" fontId="21" fillId="2" borderId="0" xfId="0" applyFont="1" applyFill="1"/>
    <xf numFmtId="0" fontId="23" fillId="2" borderId="0" xfId="0" applyFont="1" applyFill="1"/>
    <xf numFmtId="49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0" fontId="23" fillId="2" borderId="0" xfId="0" applyNumberFormat="1" applyFont="1" applyFill="1" applyAlignment="1" applyProtection="1"/>
    <xf numFmtId="16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3" fillId="2" borderId="0" xfId="0" applyNumberFormat="1" applyFont="1" applyFill="1" applyAlignment="1" applyProtection="1">
      <alignment horizontal="center"/>
    </xf>
    <xf numFmtId="0" fontId="25" fillId="2" borderId="0" xfId="0" applyFont="1" applyFill="1" applyAlignment="1">
      <alignment vertical="center"/>
    </xf>
    <xf numFmtId="0" fontId="23" fillId="2" borderId="2" xfId="0" applyNumberFormat="1" applyFont="1" applyFill="1" applyBorder="1" applyAlignment="1" applyProtection="1">
      <alignment horizontal="left"/>
    </xf>
    <xf numFmtId="3" fontId="10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 wrapText="1"/>
    </xf>
    <xf numFmtId="0" fontId="27" fillId="2" borderId="0" xfId="0" applyNumberFormat="1" applyFont="1" applyFill="1" applyAlignment="1" applyProtection="1">
      <alignment horizontal="left"/>
    </xf>
    <xf numFmtId="0" fontId="14" fillId="2" borderId="3" xfId="0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23" fillId="2" borderId="0" xfId="0" applyNumberFormat="1" applyFont="1" applyFill="1" applyAlignment="1" applyProtection="1">
      <alignment horizontal="left"/>
    </xf>
    <xf numFmtId="0" fontId="26" fillId="2" borderId="0" xfId="0" applyNumberFormat="1" applyFont="1" applyFill="1" applyAlignment="1" applyProtection="1">
      <alignment horizontal="left"/>
    </xf>
    <xf numFmtId="0" fontId="23" fillId="2" borderId="0" xfId="0" applyNumberFormat="1" applyFont="1" applyFill="1" applyAlignment="1" applyProtection="1">
      <alignment horizontal="left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right" vertical="distributed" wrapText="1"/>
    </xf>
    <xf numFmtId="0" fontId="7" fillId="2" borderId="2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3" fontId="17" fillId="2" borderId="1" xfId="0" applyNumberFormat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/>
    <xf numFmtId="3" fontId="10" fillId="2" borderId="1" xfId="2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3" fontId="20" fillId="2" borderId="1" xfId="2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3" fontId="17" fillId="2" borderId="1" xfId="2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/>
    <xf numFmtId="0" fontId="19" fillId="2" borderId="0" xfId="0" applyFont="1" applyFill="1"/>
    <xf numFmtId="3" fontId="16" fillId="2" borderId="1" xfId="2" applyNumberFormat="1" applyFont="1" applyFill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8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4" fontId="23" fillId="2" borderId="0" xfId="0" applyNumberFormat="1" applyFont="1" applyFill="1" applyAlignment="1" applyProtection="1"/>
    <xf numFmtId="0" fontId="7" fillId="2" borderId="0" xfId="0" applyFont="1" applyFill="1" applyBorder="1" applyAlignment="1">
      <alignment horizontal="center" vertical="center"/>
    </xf>
    <xf numFmtId="0" fontId="8" fillId="3" borderId="1" xfId="0" applyFont="1" applyFill="1" applyBorder="1"/>
    <xf numFmtId="3" fontId="10" fillId="3" borderId="1" xfId="0" applyNumberFormat="1" applyFont="1" applyFill="1" applyBorder="1" applyAlignment="1">
      <alignment horizontal="left" vertical="center" wrapText="1"/>
    </xf>
    <xf numFmtId="0" fontId="4" fillId="3" borderId="0" xfId="0" applyFont="1" applyFill="1" applyAlignment="1">
      <alignment vertical="center"/>
    </xf>
    <xf numFmtId="0" fontId="8" fillId="3" borderId="0" xfId="0" applyFont="1" applyFill="1" applyBorder="1"/>
  </cellXfs>
  <cellStyles count="5">
    <cellStyle name="Обычный" xfId="0" builtinId="0"/>
    <cellStyle name="Обычный 2" xfId="1"/>
    <cellStyle name="Обычный 3" xfId="2"/>
    <cellStyle name="Обычный 5" xfId="4"/>
    <cellStyle name="Обычный_Пропозиції на фінансування." xfId="3"/>
  </cellStyles>
  <dxfs count="0"/>
  <tableStyles count="0" defaultTableStyle="TableStyleMedium2" defaultPivotStyle="PivotStyleLight16"/>
  <colors>
    <mruColors>
      <color rgb="FFFF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0"/>
  <sheetViews>
    <sheetView showZeros="0" tabSelected="1" view="pageBreakPreview" topLeftCell="A741" zoomScale="40" zoomScaleNormal="100" zoomScaleSheetLayoutView="40" workbookViewId="0">
      <selection activeCell="U746" sqref="U746"/>
    </sheetView>
  </sheetViews>
  <sheetFormatPr defaultColWidth="8.8984375" defaultRowHeight="13" x14ac:dyDescent="0.3"/>
  <cols>
    <col min="1" max="1" width="16" style="2" customWidth="1"/>
    <col min="2" max="2" width="16.09765625" style="2" customWidth="1"/>
    <col min="3" max="3" width="14" style="2" customWidth="1"/>
    <col min="4" max="4" width="43.09765625" style="2" customWidth="1"/>
    <col min="5" max="5" width="52.8984375" style="2" customWidth="1"/>
    <col min="6" max="6" width="15.09765625" style="2" customWidth="1"/>
    <col min="7" max="7" width="16" style="2" customWidth="1"/>
    <col min="8" max="8" width="14.09765625" style="2" customWidth="1"/>
    <col min="9" max="9" width="22.3984375" style="2" customWidth="1"/>
    <col min="10" max="10" width="20.3984375" style="2" hidden="1" customWidth="1"/>
    <col min="11" max="11" width="19.3984375" style="2" hidden="1" customWidth="1"/>
    <col min="12" max="12" width="24" style="2" customWidth="1"/>
    <col min="13" max="13" width="22.296875" style="2" customWidth="1"/>
    <col min="14" max="14" width="14.3984375" style="2" customWidth="1"/>
    <col min="15" max="15" width="11.09765625" style="2" bestFit="1" customWidth="1"/>
    <col min="16" max="16384" width="8.8984375" style="2"/>
  </cols>
  <sheetData>
    <row r="1" spans="1:15" ht="26.5" customHeight="1" x14ac:dyDescent="0.55000000000000004">
      <c r="G1" s="99"/>
      <c r="H1" s="115" t="s">
        <v>631</v>
      </c>
      <c r="I1" s="115"/>
      <c r="J1" s="115"/>
      <c r="K1" s="115"/>
      <c r="L1" s="115"/>
      <c r="M1" s="115"/>
      <c r="N1" s="115"/>
      <c r="O1" s="79"/>
    </row>
    <row r="2" spans="1:15" ht="25.5" x14ac:dyDescent="0.55000000000000004">
      <c r="G2" s="99"/>
      <c r="H2" s="115" t="s">
        <v>606</v>
      </c>
      <c r="I2" s="115"/>
      <c r="J2" s="115"/>
      <c r="K2" s="115"/>
      <c r="L2" s="115"/>
      <c r="M2" s="115"/>
      <c r="N2" s="115"/>
      <c r="O2" s="79"/>
    </row>
    <row r="3" spans="1:15" ht="25.5" x14ac:dyDescent="0.55000000000000004">
      <c r="G3" s="99"/>
      <c r="H3" s="115" t="s">
        <v>600</v>
      </c>
      <c r="I3" s="115"/>
      <c r="J3" s="115"/>
      <c r="K3" s="115"/>
      <c r="L3" s="115"/>
      <c r="M3" s="115"/>
      <c r="N3" s="115"/>
      <c r="O3" s="79"/>
    </row>
    <row r="4" spans="1:15" ht="25.5" x14ac:dyDescent="0.55000000000000004">
      <c r="G4" s="99"/>
      <c r="H4" s="115" t="s">
        <v>630</v>
      </c>
      <c r="I4" s="115"/>
      <c r="J4" s="115"/>
      <c r="K4" s="115"/>
      <c r="L4" s="115"/>
      <c r="M4" s="115"/>
      <c r="N4" s="115"/>
      <c r="O4" s="79"/>
    </row>
    <row r="5" spans="1:15" ht="25.5" x14ac:dyDescent="0.55000000000000004">
      <c r="G5" s="99"/>
      <c r="H5" s="115" t="s">
        <v>601</v>
      </c>
      <c r="I5" s="115"/>
      <c r="J5" s="115"/>
      <c r="K5" s="115"/>
      <c r="L5" s="115"/>
      <c r="M5" s="115"/>
      <c r="N5" s="115"/>
      <c r="O5" s="79"/>
    </row>
    <row r="6" spans="1:15" ht="25.5" x14ac:dyDescent="0.55000000000000004">
      <c r="G6" s="99"/>
      <c r="H6" s="115" t="s">
        <v>602</v>
      </c>
      <c r="I6" s="115"/>
      <c r="J6" s="115"/>
      <c r="K6" s="115"/>
      <c r="L6" s="115"/>
      <c r="M6" s="115"/>
      <c r="N6" s="115"/>
      <c r="O6" s="79"/>
    </row>
    <row r="7" spans="1:15" ht="25.5" x14ac:dyDescent="0.55000000000000004">
      <c r="G7" s="99"/>
      <c r="H7" s="113" t="s">
        <v>607</v>
      </c>
      <c r="I7" s="113"/>
      <c r="J7" s="113"/>
      <c r="K7" s="113"/>
      <c r="L7" s="113"/>
      <c r="M7" s="113"/>
      <c r="N7" s="113"/>
      <c r="O7" s="79"/>
    </row>
    <row r="8" spans="1:15" ht="28.75" customHeight="1" x14ac:dyDescent="0.55000000000000004">
      <c r="G8" s="108"/>
      <c r="H8" s="115" t="s">
        <v>710</v>
      </c>
      <c r="I8" s="115"/>
      <c r="J8" s="115"/>
      <c r="K8" s="115"/>
      <c r="L8" s="115"/>
      <c r="M8" s="115"/>
      <c r="N8" s="115"/>
      <c r="O8" s="79"/>
    </row>
    <row r="9" spans="1:15" ht="18" x14ac:dyDescent="0.4">
      <c r="G9" s="1"/>
      <c r="H9" s="1"/>
      <c r="I9" s="1"/>
      <c r="J9" s="1"/>
      <c r="K9" s="1"/>
      <c r="L9" s="1"/>
      <c r="M9" s="1"/>
      <c r="N9" s="1"/>
      <c r="O9" s="79"/>
    </row>
    <row r="10" spans="1:15" ht="18" x14ac:dyDescent="0.4">
      <c r="G10" s="1"/>
      <c r="H10" s="1"/>
      <c r="I10" s="1"/>
      <c r="J10" s="1"/>
      <c r="K10" s="1"/>
      <c r="L10" s="1"/>
      <c r="M10" s="1"/>
      <c r="N10" s="1"/>
      <c r="O10" s="79"/>
    </row>
    <row r="11" spans="1:15" ht="18" x14ac:dyDescent="0.4">
      <c r="G11" s="1"/>
      <c r="H11" s="1"/>
      <c r="I11" s="1"/>
      <c r="J11" s="1"/>
      <c r="K11" s="1"/>
      <c r="L11" s="1"/>
      <c r="M11" s="1"/>
      <c r="N11" s="1"/>
      <c r="O11" s="79"/>
    </row>
    <row r="12" spans="1:15" ht="25" x14ac:dyDescent="0.3">
      <c r="A12" s="123" t="s">
        <v>362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79"/>
    </row>
    <row r="13" spans="1:15" ht="77.5" customHeight="1" x14ac:dyDescent="0.3">
      <c r="A13" s="123" t="s">
        <v>363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79"/>
    </row>
    <row r="14" spans="1:15" ht="17.5" x14ac:dyDescent="0.3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9"/>
    </row>
    <row r="15" spans="1:15" ht="18" x14ac:dyDescent="0.3">
      <c r="A15" s="124">
        <v>18531000000</v>
      </c>
      <c r="B15" s="12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9"/>
    </row>
    <row r="16" spans="1:15" ht="24" customHeight="1" x14ac:dyDescent="0.35">
      <c r="A16" s="122" t="s">
        <v>58</v>
      </c>
      <c r="B16" s="12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 t="s">
        <v>59</v>
      </c>
      <c r="O16" s="79"/>
    </row>
    <row r="17" spans="1:15" ht="24" customHeight="1" x14ac:dyDescent="0.35">
      <c r="A17" s="158"/>
      <c r="B17" s="158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79"/>
    </row>
    <row r="18" spans="1:15" s="95" customFormat="1" ht="31.5" customHeight="1" x14ac:dyDescent="0.35">
      <c r="A18" s="116" t="s">
        <v>15</v>
      </c>
      <c r="B18" s="116" t="s">
        <v>16</v>
      </c>
      <c r="C18" s="116" t="s">
        <v>526</v>
      </c>
      <c r="D18" s="116" t="s">
        <v>17</v>
      </c>
      <c r="E18" s="116" t="s">
        <v>18</v>
      </c>
      <c r="F18" s="116" t="s">
        <v>19</v>
      </c>
      <c r="G18" s="116" t="s">
        <v>20</v>
      </c>
      <c r="H18" s="116" t="s">
        <v>21</v>
      </c>
      <c r="I18" s="116" t="s">
        <v>525</v>
      </c>
      <c r="J18" s="118" t="s">
        <v>527</v>
      </c>
      <c r="K18" s="119"/>
      <c r="L18" s="116" t="s">
        <v>540</v>
      </c>
      <c r="M18" s="120" t="s">
        <v>528</v>
      </c>
      <c r="N18" s="116" t="s">
        <v>22</v>
      </c>
      <c r="O18" s="94"/>
    </row>
    <row r="19" spans="1:15" s="95" customFormat="1" ht="114" customHeight="1" x14ac:dyDescent="0.35">
      <c r="A19" s="117"/>
      <c r="B19" s="117"/>
      <c r="C19" s="117"/>
      <c r="D19" s="117"/>
      <c r="E19" s="117"/>
      <c r="F19" s="117"/>
      <c r="G19" s="117"/>
      <c r="H19" s="117"/>
      <c r="I19" s="117"/>
      <c r="J19" s="112" t="s">
        <v>697</v>
      </c>
      <c r="K19" s="112" t="s">
        <v>698</v>
      </c>
      <c r="L19" s="117"/>
      <c r="M19" s="117"/>
      <c r="N19" s="117"/>
      <c r="O19" s="94"/>
    </row>
    <row r="20" spans="1:15" s="18" customFormat="1" ht="24" customHeight="1" x14ac:dyDescent="0.45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/>
      <c r="K20" s="7"/>
      <c r="L20" s="7">
        <v>10</v>
      </c>
      <c r="M20" s="7">
        <v>11</v>
      </c>
      <c r="N20" s="7">
        <v>12</v>
      </c>
      <c r="O20" s="93"/>
    </row>
    <row r="21" spans="1:15" s="14" customFormat="1" ht="51.5" customHeight="1" x14ac:dyDescent="0.45">
      <c r="A21" s="7" t="s">
        <v>7</v>
      </c>
      <c r="B21" s="8"/>
      <c r="C21" s="8"/>
      <c r="D21" s="9" t="s">
        <v>8</v>
      </c>
      <c r="E21" s="8"/>
      <c r="F21" s="8"/>
      <c r="G21" s="8"/>
      <c r="H21" s="8"/>
      <c r="I21" s="10">
        <f>I22</f>
        <v>34202750</v>
      </c>
      <c r="J21" s="10">
        <f t="shared" ref="J21:M21" si="0">J22</f>
        <v>68000</v>
      </c>
      <c r="K21" s="10">
        <f t="shared" si="0"/>
        <v>-13296262</v>
      </c>
      <c r="L21" s="10">
        <f t="shared" si="0"/>
        <v>-13228262</v>
      </c>
      <c r="M21" s="10">
        <f t="shared" si="0"/>
        <v>20974488</v>
      </c>
      <c r="N21" s="8"/>
      <c r="O21" s="79"/>
    </row>
    <row r="22" spans="1:15" s="14" customFormat="1" ht="52" customHeight="1" x14ac:dyDescent="0.45">
      <c r="A22" s="11" t="s">
        <v>9</v>
      </c>
      <c r="B22" s="11"/>
      <c r="C22" s="11"/>
      <c r="D22" s="12" t="s">
        <v>8</v>
      </c>
      <c r="E22" s="8"/>
      <c r="F22" s="8"/>
      <c r="G22" s="8"/>
      <c r="H22" s="8"/>
      <c r="I22" s="13">
        <f>SUM(I52:I52)+I23+I27+I29+I30+I35+I44+I51+I34+I37+I38+I41+I55</f>
        <v>34202750</v>
      </c>
      <c r="J22" s="13">
        <f t="shared" ref="J22:M22" si="1">SUM(J52:J52)+J23+J27+J29+J30+J35+J44+J51+J34+J37+J38+J41+J55</f>
        <v>68000</v>
      </c>
      <c r="K22" s="13">
        <f t="shared" si="1"/>
        <v>-13296262</v>
      </c>
      <c r="L22" s="13">
        <f t="shared" si="1"/>
        <v>-13228262</v>
      </c>
      <c r="M22" s="13">
        <f t="shared" si="1"/>
        <v>20974488</v>
      </c>
      <c r="N22" s="8"/>
      <c r="O22" s="79"/>
    </row>
    <row r="23" spans="1:15" s="18" customFormat="1" ht="122" customHeight="1" x14ac:dyDescent="0.45">
      <c r="A23" s="15" t="s">
        <v>77</v>
      </c>
      <c r="B23" s="16" t="s">
        <v>80</v>
      </c>
      <c r="C23" s="17" t="s">
        <v>78</v>
      </c>
      <c r="D23" s="9" t="s">
        <v>79</v>
      </c>
      <c r="E23" s="7"/>
      <c r="F23" s="7"/>
      <c r="G23" s="7"/>
      <c r="H23" s="7"/>
      <c r="I23" s="10">
        <f>I24</f>
        <v>1230200</v>
      </c>
      <c r="J23" s="10">
        <f t="shared" ref="J23:L23" si="2">J24</f>
        <v>-1230200</v>
      </c>
      <c r="K23" s="10">
        <f>K24</f>
        <v>0</v>
      </c>
      <c r="L23" s="10">
        <f t="shared" si="2"/>
        <v>-1230200</v>
      </c>
      <c r="M23" s="10">
        <f>M24</f>
        <v>0</v>
      </c>
      <c r="N23" s="7"/>
      <c r="O23" s="79"/>
    </row>
    <row r="24" spans="1:15" s="23" customFormat="1" ht="31.5" customHeight="1" x14ac:dyDescent="0.45">
      <c r="A24" s="19"/>
      <c r="B24" s="20"/>
      <c r="C24" s="11"/>
      <c r="D24" s="21"/>
      <c r="E24" s="21" t="s">
        <v>175</v>
      </c>
      <c r="F24" s="22"/>
      <c r="G24" s="22"/>
      <c r="H24" s="22"/>
      <c r="I24" s="13">
        <f>I25+I26</f>
        <v>1230200</v>
      </c>
      <c r="J24" s="13">
        <f t="shared" ref="J24:M24" si="3">J25+J26</f>
        <v>-1230200</v>
      </c>
      <c r="K24" s="13">
        <f t="shared" si="3"/>
        <v>0</v>
      </c>
      <c r="L24" s="13">
        <f t="shared" si="3"/>
        <v>-1230200</v>
      </c>
      <c r="M24" s="13">
        <f t="shared" si="3"/>
        <v>0</v>
      </c>
      <c r="N24" s="7"/>
      <c r="O24" s="79"/>
    </row>
    <row r="25" spans="1:15" s="32" customFormat="1" ht="67" customHeight="1" x14ac:dyDescent="0.45">
      <c r="A25" s="24"/>
      <c r="B25" s="25"/>
      <c r="C25" s="26"/>
      <c r="D25" s="27"/>
      <c r="E25" s="28" t="s">
        <v>263</v>
      </c>
      <c r="F25" s="29" t="s">
        <v>49</v>
      </c>
      <c r="G25" s="30">
        <v>1492916</v>
      </c>
      <c r="H25" s="29" t="s">
        <v>182</v>
      </c>
      <c r="I25" s="31">
        <v>870889</v>
      </c>
      <c r="J25" s="31">
        <v>-870889</v>
      </c>
      <c r="K25" s="31"/>
      <c r="L25" s="31">
        <f>K25+J25</f>
        <v>-870889</v>
      </c>
      <c r="M25" s="31">
        <f>I25+L25</f>
        <v>0</v>
      </c>
      <c r="N25" s="8"/>
      <c r="O25" s="79"/>
    </row>
    <row r="26" spans="1:15" s="32" customFormat="1" ht="54" x14ac:dyDescent="0.45">
      <c r="A26" s="24"/>
      <c r="B26" s="25"/>
      <c r="C26" s="26"/>
      <c r="D26" s="27"/>
      <c r="E26" s="28" t="s">
        <v>264</v>
      </c>
      <c r="F26" s="29" t="s">
        <v>49</v>
      </c>
      <c r="G26" s="30">
        <v>1493136</v>
      </c>
      <c r="H26" s="29" t="s">
        <v>265</v>
      </c>
      <c r="I26" s="31">
        <v>359311</v>
      </c>
      <c r="J26" s="31">
        <v>-359311</v>
      </c>
      <c r="K26" s="31"/>
      <c r="L26" s="31">
        <f>K26+J26</f>
        <v>-359311</v>
      </c>
      <c r="M26" s="31">
        <f>I26+L26</f>
        <v>0</v>
      </c>
      <c r="N26" s="8"/>
      <c r="O26" s="79"/>
    </row>
    <row r="27" spans="1:15" s="18" customFormat="1" ht="92" customHeight="1" x14ac:dyDescent="0.45">
      <c r="A27" s="15" t="s">
        <v>81</v>
      </c>
      <c r="B27" s="16" t="s">
        <v>82</v>
      </c>
      <c r="C27" s="17" t="s">
        <v>83</v>
      </c>
      <c r="D27" s="9" t="s">
        <v>369</v>
      </c>
      <c r="E27" s="7"/>
      <c r="F27" s="7"/>
      <c r="G27" s="7"/>
      <c r="H27" s="7"/>
      <c r="I27" s="10">
        <f>I28</f>
        <v>25500</v>
      </c>
      <c r="J27" s="10">
        <f t="shared" ref="J27" si="4">J28</f>
        <v>0</v>
      </c>
      <c r="K27" s="10">
        <f>K28</f>
        <v>585738</v>
      </c>
      <c r="L27" s="10">
        <f>L28</f>
        <v>585738</v>
      </c>
      <c r="M27" s="10">
        <f>M28</f>
        <v>611238</v>
      </c>
      <c r="N27" s="7"/>
      <c r="O27" s="79"/>
    </row>
    <row r="28" spans="1:15" s="23" customFormat="1" ht="57.65" customHeight="1" x14ac:dyDescent="0.45">
      <c r="A28" s="19"/>
      <c r="B28" s="20"/>
      <c r="C28" s="11"/>
      <c r="D28" s="21"/>
      <c r="E28" s="21" t="s">
        <v>176</v>
      </c>
      <c r="F28" s="22"/>
      <c r="G28" s="22"/>
      <c r="H28" s="22"/>
      <c r="I28" s="13">
        <v>25500</v>
      </c>
      <c r="J28" s="13"/>
      <c r="K28" s="13">
        <v>585738</v>
      </c>
      <c r="L28" s="31">
        <f t="shared" ref="L28" si="5">K28+J28</f>
        <v>585738</v>
      </c>
      <c r="M28" s="13">
        <f>K28+I28</f>
        <v>611238</v>
      </c>
      <c r="N28" s="22"/>
      <c r="O28" s="79"/>
    </row>
    <row r="29" spans="1:15" s="18" customFormat="1" ht="75" customHeight="1" x14ac:dyDescent="0.45">
      <c r="A29" s="15" t="s">
        <v>84</v>
      </c>
      <c r="B29" s="16" t="s">
        <v>85</v>
      </c>
      <c r="C29" s="17" t="s">
        <v>86</v>
      </c>
      <c r="D29" s="9" t="s">
        <v>87</v>
      </c>
      <c r="E29" s="21" t="s">
        <v>176</v>
      </c>
      <c r="F29" s="7"/>
      <c r="G29" s="7"/>
      <c r="H29" s="7"/>
      <c r="I29" s="10">
        <v>224000</v>
      </c>
      <c r="J29" s="10"/>
      <c r="K29" s="10"/>
      <c r="L29" s="10"/>
      <c r="M29" s="10">
        <f>K29+I29</f>
        <v>224000</v>
      </c>
      <c r="N29" s="7"/>
      <c r="O29" s="80"/>
    </row>
    <row r="30" spans="1:15" s="18" customFormat="1" ht="90" customHeight="1" x14ac:dyDescent="0.45">
      <c r="A30" s="15" t="s">
        <v>88</v>
      </c>
      <c r="B30" s="16" t="s">
        <v>89</v>
      </c>
      <c r="C30" s="17" t="s">
        <v>90</v>
      </c>
      <c r="D30" s="9" t="s">
        <v>91</v>
      </c>
      <c r="E30" s="21"/>
      <c r="F30" s="7"/>
      <c r="G30" s="7"/>
      <c r="H30" s="7"/>
      <c r="I30" s="10">
        <f>I31+I32</f>
        <v>728000</v>
      </c>
      <c r="J30" s="10">
        <f t="shared" ref="J30:M30" si="6">J31+J32</f>
        <v>-500000</v>
      </c>
      <c r="K30" s="10">
        <f t="shared" si="6"/>
        <v>39000</v>
      </c>
      <c r="L30" s="10">
        <f t="shared" si="6"/>
        <v>-461000</v>
      </c>
      <c r="M30" s="10">
        <f t="shared" si="6"/>
        <v>267000</v>
      </c>
      <c r="N30" s="7"/>
      <c r="O30" s="80"/>
    </row>
    <row r="31" spans="1:15" s="18" customFormat="1" ht="78" customHeight="1" x14ac:dyDescent="0.45">
      <c r="A31" s="15"/>
      <c r="B31" s="16"/>
      <c r="C31" s="17"/>
      <c r="D31" s="9"/>
      <c r="E31" s="21" t="s">
        <v>176</v>
      </c>
      <c r="F31" s="7"/>
      <c r="G31" s="7"/>
      <c r="H31" s="7"/>
      <c r="I31" s="13">
        <v>228000</v>
      </c>
      <c r="J31" s="13"/>
      <c r="K31" s="13">
        <v>39000</v>
      </c>
      <c r="L31" s="13">
        <f>K31+J31</f>
        <v>39000</v>
      </c>
      <c r="M31" s="13">
        <f>L31+I31</f>
        <v>267000</v>
      </c>
      <c r="N31" s="7"/>
      <c r="O31" s="80"/>
    </row>
    <row r="32" spans="1:15" s="18" customFormat="1" ht="78" customHeight="1" x14ac:dyDescent="0.45">
      <c r="A32" s="15"/>
      <c r="B32" s="16"/>
      <c r="C32" s="17"/>
      <c r="D32" s="9"/>
      <c r="E32" s="21" t="s">
        <v>175</v>
      </c>
      <c r="F32" s="7"/>
      <c r="G32" s="7"/>
      <c r="H32" s="7"/>
      <c r="I32" s="13">
        <f>I33</f>
        <v>500000</v>
      </c>
      <c r="J32" s="13">
        <f t="shared" ref="J32:M32" si="7">J33</f>
        <v>-500000</v>
      </c>
      <c r="K32" s="13">
        <f t="shared" si="7"/>
        <v>0</v>
      </c>
      <c r="L32" s="13">
        <f t="shared" si="7"/>
        <v>-500000</v>
      </c>
      <c r="M32" s="13">
        <f t="shared" si="7"/>
        <v>0</v>
      </c>
      <c r="N32" s="7"/>
      <c r="O32" s="80"/>
    </row>
    <row r="33" spans="1:15" s="14" customFormat="1" ht="60.65" customHeight="1" x14ac:dyDescent="0.45">
      <c r="A33" s="33"/>
      <c r="B33" s="29"/>
      <c r="C33" s="34"/>
      <c r="D33" s="35"/>
      <c r="E33" s="28" t="s">
        <v>250</v>
      </c>
      <c r="F33" s="29" t="s">
        <v>183</v>
      </c>
      <c r="G33" s="30"/>
      <c r="H33" s="8"/>
      <c r="I33" s="31">
        <v>500000</v>
      </c>
      <c r="J33" s="31">
        <v>-500000</v>
      </c>
      <c r="K33" s="31"/>
      <c r="L33" s="31">
        <f>K33+J33</f>
        <v>-500000</v>
      </c>
      <c r="M33" s="31">
        <f>I33+L33</f>
        <v>0</v>
      </c>
      <c r="N33" s="8"/>
      <c r="O33" s="80"/>
    </row>
    <row r="34" spans="1:15" s="18" customFormat="1" ht="90" customHeight="1" x14ac:dyDescent="0.45">
      <c r="A34" s="15" t="s">
        <v>439</v>
      </c>
      <c r="B34" s="16" t="s">
        <v>440</v>
      </c>
      <c r="C34" s="17" t="s">
        <v>90</v>
      </c>
      <c r="D34" s="9" t="s">
        <v>441</v>
      </c>
      <c r="E34" s="21" t="s">
        <v>178</v>
      </c>
      <c r="F34" s="16"/>
      <c r="G34" s="36"/>
      <c r="H34" s="7"/>
      <c r="I34" s="10">
        <f>93000+7000+30000</f>
        <v>130000</v>
      </c>
      <c r="J34" s="10">
        <v>68000</v>
      </c>
      <c r="K34" s="10"/>
      <c r="L34" s="10">
        <f>K34+J34</f>
        <v>68000</v>
      </c>
      <c r="M34" s="10">
        <f>I34+L34</f>
        <v>198000</v>
      </c>
      <c r="N34" s="7"/>
      <c r="O34" s="80"/>
    </row>
    <row r="35" spans="1:15" s="18" customFormat="1" ht="133" customHeight="1" x14ac:dyDescent="0.45">
      <c r="A35" s="15" t="s">
        <v>92</v>
      </c>
      <c r="B35" s="16" t="s">
        <v>93</v>
      </c>
      <c r="C35" s="17" t="s">
        <v>90</v>
      </c>
      <c r="D35" s="9" t="s">
        <v>375</v>
      </c>
      <c r="E35" s="21" t="s">
        <v>175</v>
      </c>
      <c r="F35" s="7"/>
      <c r="G35" s="7"/>
      <c r="H35" s="7"/>
      <c r="I35" s="10">
        <f>I36</f>
        <v>900000</v>
      </c>
      <c r="J35" s="10">
        <f t="shared" ref="J35:M35" si="8">J36</f>
        <v>-900000</v>
      </c>
      <c r="K35" s="10">
        <f>K36</f>
        <v>0</v>
      </c>
      <c r="L35" s="10">
        <f t="shared" si="8"/>
        <v>-900000</v>
      </c>
      <c r="M35" s="10">
        <f t="shared" si="8"/>
        <v>0</v>
      </c>
      <c r="N35" s="7"/>
      <c r="O35" s="80"/>
    </row>
    <row r="36" spans="1:15" s="14" customFormat="1" ht="72" customHeight="1" x14ac:dyDescent="0.45">
      <c r="A36" s="33"/>
      <c r="B36" s="29"/>
      <c r="C36" s="34"/>
      <c r="D36" s="35"/>
      <c r="E36" s="28" t="s">
        <v>361</v>
      </c>
      <c r="F36" s="29" t="s">
        <v>183</v>
      </c>
      <c r="G36" s="30"/>
      <c r="H36" s="29"/>
      <c r="I36" s="31">
        <v>900000</v>
      </c>
      <c r="J36" s="31">
        <v>-900000</v>
      </c>
      <c r="K36" s="31"/>
      <c r="L36" s="31">
        <f>K36+J36</f>
        <v>-900000</v>
      </c>
      <c r="M36" s="31">
        <f>I36+L36</f>
        <v>0</v>
      </c>
      <c r="N36" s="8"/>
      <c r="O36" s="80"/>
    </row>
    <row r="37" spans="1:15" s="18" customFormat="1" ht="126" customHeight="1" x14ac:dyDescent="0.45">
      <c r="A37" s="15" t="s">
        <v>582</v>
      </c>
      <c r="B37" s="16" t="s">
        <v>584</v>
      </c>
      <c r="C37" s="17" t="s">
        <v>90</v>
      </c>
      <c r="D37" s="9" t="s">
        <v>583</v>
      </c>
      <c r="E37" s="21" t="s">
        <v>178</v>
      </c>
      <c r="F37" s="7"/>
      <c r="G37" s="7"/>
      <c r="H37" s="7"/>
      <c r="I37" s="10">
        <v>43450</v>
      </c>
      <c r="J37" s="10"/>
      <c r="K37" s="10"/>
      <c r="L37" s="10">
        <f>K37+J37</f>
        <v>0</v>
      </c>
      <c r="M37" s="10">
        <f>I37+L37</f>
        <v>43450</v>
      </c>
      <c r="N37" s="7"/>
      <c r="O37" s="80"/>
    </row>
    <row r="38" spans="1:15" s="18" customFormat="1" ht="70.5" customHeight="1" x14ac:dyDescent="0.45">
      <c r="A38" s="15" t="s">
        <v>648</v>
      </c>
      <c r="B38" s="16" t="s">
        <v>649</v>
      </c>
      <c r="C38" s="17" t="s">
        <v>2</v>
      </c>
      <c r="D38" s="47" t="s">
        <v>529</v>
      </c>
      <c r="E38" s="21" t="s">
        <v>175</v>
      </c>
      <c r="F38" s="7"/>
      <c r="G38" s="7"/>
      <c r="H38" s="7"/>
      <c r="I38" s="10">
        <f>I39+I40</f>
        <v>0</v>
      </c>
      <c r="J38" s="10">
        <f t="shared" ref="J38:M38" si="9">J39+J40</f>
        <v>1400000</v>
      </c>
      <c r="K38" s="10">
        <f t="shared" si="9"/>
        <v>0</v>
      </c>
      <c r="L38" s="10">
        <f t="shared" si="9"/>
        <v>1400000</v>
      </c>
      <c r="M38" s="10">
        <f t="shared" si="9"/>
        <v>1400000</v>
      </c>
      <c r="N38" s="7"/>
      <c r="O38" s="80"/>
    </row>
    <row r="39" spans="1:15" s="14" customFormat="1" ht="60.65" customHeight="1" x14ac:dyDescent="0.45">
      <c r="A39" s="33"/>
      <c r="B39" s="29"/>
      <c r="C39" s="34"/>
      <c r="D39" s="35"/>
      <c r="E39" s="28" t="s">
        <v>659</v>
      </c>
      <c r="F39" s="29" t="s">
        <v>183</v>
      </c>
      <c r="G39" s="30"/>
      <c r="H39" s="8"/>
      <c r="I39" s="31"/>
      <c r="J39" s="31">
        <v>500000</v>
      </c>
      <c r="K39" s="31"/>
      <c r="L39" s="31">
        <f>K39+J39</f>
        <v>500000</v>
      </c>
      <c r="M39" s="31">
        <f>I39+L39</f>
        <v>500000</v>
      </c>
      <c r="N39" s="8"/>
      <c r="O39" s="80"/>
    </row>
    <row r="40" spans="1:15" s="14" customFormat="1" ht="101" customHeight="1" x14ac:dyDescent="0.45">
      <c r="A40" s="33"/>
      <c r="B40" s="29"/>
      <c r="C40" s="34"/>
      <c r="D40" s="35"/>
      <c r="E40" s="28" t="s">
        <v>660</v>
      </c>
      <c r="F40" s="29" t="s">
        <v>183</v>
      </c>
      <c r="G40" s="30"/>
      <c r="H40" s="29"/>
      <c r="I40" s="31"/>
      <c r="J40" s="31">
        <v>900000</v>
      </c>
      <c r="K40" s="31"/>
      <c r="L40" s="31">
        <f>K40+J40</f>
        <v>900000</v>
      </c>
      <c r="M40" s="31">
        <f>I40+L40</f>
        <v>900000</v>
      </c>
      <c r="N40" s="8"/>
      <c r="O40" s="80"/>
    </row>
    <row r="41" spans="1:15" s="18" customFormat="1" ht="76" customHeight="1" x14ac:dyDescent="0.45">
      <c r="A41" s="15" t="s">
        <v>682</v>
      </c>
      <c r="B41" s="16" t="s">
        <v>683</v>
      </c>
      <c r="C41" s="17" t="s">
        <v>2</v>
      </c>
      <c r="D41" s="9" t="s">
        <v>24</v>
      </c>
      <c r="E41" s="21" t="s">
        <v>175</v>
      </c>
      <c r="F41" s="16"/>
      <c r="G41" s="36"/>
      <c r="H41" s="16"/>
      <c r="I41" s="10">
        <f>I42+I43</f>
        <v>0</v>
      </c>
      <c r="J41" s="10">
        <f t="shared" ref="J41:M41" si="10">J42+J43</f>
        <v>1230200</v>
      </c>
      <c r="K41" s="10">
        <f t="shared" si="10"/>
        <v>0</v>
      </c>
      <c r="L41" s="10">
        <f t="shared" si="10"/>
        <v>1230200</v>
      </c>
      <c r="M41" s="10">
        <f t="shared" si="10"/>
        <v>1230200</v>
      </c>
      <c r="N41" s="7"/>
      <c r="O41" s="80"/>
    </row>
    <row r="42" spans="1:15" s="14" customFormat="1" ht="72" x14ac:dyDescent="0.45">
      <c r="A42" s="33"/>
      <c r="B42" s="29"/>
      <c r="C42" s="34"/>
      <c r="D42" s="35"/>
      <c r="E42" s="28" t="s">
        <v>263</v>
      </c>
      <c r="F42" s="29" t="s">
        <v>49</v>
      </c>
      <c r="G42" s="30">
        <v>1492916</v>
      </c>
      <c r="H42" s="29" t="s">
        <v>182</v>
      </c>
      <c r="I42" s="31"/>
      <c r="J42" s="31">
        <v>870889</v>
      </c>
      <c r="K42" s="31"/>
      <c r="L42" s="31">
        <f>K42+J42</f>
        <v>870889</v>
      </c>
      <c r="M42" s="31">
        <f>I42+L42</f>
        <v>870889</v>
      </c>
      <c r="N42" s="8">
        <v>100</v>
      </c>
      <c r="O42" s="80"/>
    </row>
    <row r="43" spans="1:15" s="14" customFormat="1" ht="54" x14ac:dyDescent="0.45">
      <c r="A43" s="33"/>
      <c r="B43" s="29"/>
      <c r="C43" s="34"/>
      <c r="D43" s="35"/>
      <c r="E43" s="28" t="s">
        <v>264</v>
      </c>
      <c r="F43" s="29" t="s">
        <v>49</v>
      </c>
      <c r="G43" s="30">
        <v>1493136</v>
      </c>
      <c r="H43" s="29" t="s">
        <v>265</v>
      </c>
      <c r="I43" s="31"/>
      <c r="J43" s="31">
        <v>359311</v>
      </c>
      <c r="K43" s="31"/>
      <c r="L43" s="31">
        <f>K43+J43</f>
        <v>359311</v>
      </c>
      <c r="M43" s="31">
        <f>I43+L43</f>
        <v>359311</v>
      </c>
      <c r="N43" s="8">
        <v>29.2</v>
      </c>
      <c r="O43" s="80"/>
    </row>
    <row r="44" spans="1:15" s="18" customFormat="1" ht="66" customHeight="1" x14ac:dyDescent="0.45">
      <c r="A44" s="15" t="s">
        <v>94</v>
      </c>
      <c r="B44" s="16" t="s">
        <v>95</v>
      </c>
      <c r="C44" s="17" t="s">
        <v>96</v>
      </c>
      <c r="D44" s="9" t="s">
        <v>97</v>
      </c>
      <c r="E44" s="7"/>
      <c r="F44" s="7"/>
      <c r="G44" s="7"/>
      <c r="H44" s="7"/>
      <c r="I44" s="10">
        <f>I45+I46+I48</f>
        <v>6050000</v>
      </c>
      <c r="J44" s="10">
        <f t="shared" ref="J44:L44" si="11">J45+J46+J48</f>
        <v>0</v>
      </c>
      <c r="K44" s="10">
        <f t="shared" si="11"/>
        <v>-1390000</v>
      </c>
      <c r="L44" s="10">
        <f t="shared" si="11"/>
        <v>-1390000</v>
      </c>
      <c r="M44" s="10">
        <f>M45+M46+M48</f>
        <v>4660000</v>
      </c>
      <c r="N44" s="7"/>
      <c r="O44" s="80"/>
    </row>
    <row r="45" spans="1:15" s="18" customFormat="1" ht="56.15" customHeight="1" x14ac:dyDescent="0.45">
      <c r="A45" s="15"/>
      <c r="B45" s="16"/>
      <c r="C45" s="17"/>
      <c r="D45" s="9"/>
      <c r="E45" s="21" t="s">
        <v>176</v>
      </c>
      <c r="F45" s="7"/>
      <c r="G45" s="7"/>
      <c r="H45" s="7"/>
      <c r="I45" s="13">
        <v>2800000</v>
      </c>
      <c r="J45" s="13"/>
      <c r="K45" s="13">
        <v>-1340000</v>
      </c>
      <c r="L45" s="13">
        <f>K45+J45</f>
        <v>-1340000</v>
      </c>
      <c r="M45" s="13">
        <f>I45+L45</f>
        <v>1460000</v>
      </c>
      <c r="N45" s="7"/>
      <c r="O45" s="80"/>
    </row>
    <row r="46" spans="1:15" s="23" customFormat="1" ht="47.5" customHeight="1" x14ac:dyDescent="0.45">
      <c r="A46" s="19"/>
      <c r="B46" s="20"/>
      <c r="C46" s="11"/>
      <c r="D46" s="21"/>
      <c r="E46" s="21" t="s">
        <v>177</v>
      </c>
      <c r="F46" s="22"/>
      <c r="G46" s="22"/>
      <c r="H46" s="22"/>
      <c r="I46" s="13">
        <f>I47</f>
        <v>3000000</v>
      </c>
      <c r="J46" s="13">
        <f t="shared" ref="J46:M46" si="12">J47</f>
        <v>0</v>
      </c>
      <c r="K46" s="13">
        <f>K47</f>
        <v>0</v>
      </c>
      <c r="L46" s="13">
        <f t="shared" si="12"/>
        <v>0</v>
      </c>
      <c r="M46" s="13">
        <f t="shared" si="12"/>
        <v>3000000</v>
      </c>
      <c r="N46" s="22"/>
      <c r="O46" s="80"/>
    </row>
    <row r="47" spans="1:15" s="14" customFormat="1" ht="49.5" customHeight="1" x14ac:dyDescent="0.45">
      <c r="A47" s="33"/>
      <c r="B47" s="29"/>
      <c r="C47" s="34"/>
      <c r="D47" s="35"/>
      <c r="E47" s="28" t="s">
        <v>185</v>
      </c>
      <c r="F47" s="29" t="s">
        <v>183</v>
      </c>
      <c r="G47" s="30"/>
      <c r="H47" s="8"/>
      <c r="I47" s="31">
        <v>3000000</v>
      </c>
      <c r="J47" s="31"/>
      <c r="K47" s="31"/>
      <c r="L47" s="31"/>
      <c r="M47" s="31">
        <f>K47+I47</f>
        <v>3000000</v>
      </c>
      <c r="N47" s="8"/>
      <c r="O47" s="80"/>
    </row>
    <row r="48" spans="1:15" s="18" customFormat="1" ht="26.5" customHeight="1" x14ac:dyDescent="0.45">
      <c r="A48" s="15"/>
      <c r="B48" s="16"/>
      <c r="C48" s="17"/>
      <c r="D48" s="9"/>
      <c r="E48" s="21" t="s">
        <v>175</v>
      </c>
      <c r="F48" s="7"/>
      <c r="G48" s="7"/>
      <c r="H48" s="7"/>
      <c r="I48" s="13">
        <f>I49+I50</f>
        <v>250000</v>
      </c>
      <c r="J48" s="13">
        <f t="shared" ref="J48:M48" si="13">J49+J50</f>
        <v>0</v>
      </c>
      <c r="K48" s="13">
        <f>K49+K50</f>
        <v>-50000</v>
      </c>
      <c r="L48" s="13">
        <f t="shared" si="13"/>
        <v>-50000</v>
      </c>
      <c r="M48" s="13">
        <f t="shared" si="13"/>
        <v>200000</v>
      </c>
      <c r="N48" s="7"/>
      <c r="O48" s="80"/>
    </row>
    <row r="49" spans="1:15" s="14" customFormat="1" ht="60.65" customHeight="1" x14ac:dyDescent="0.45">
      <c r="A49" s="33"/>
      <c r="B49" s="29"/>
      <c r="C49" s="34"/>
      <c r="D49" s="35"/>
      <c r="E49" s="28" t="s">
        <v>186</v>
      </c>
      <c r="F49" s="29" t="s">
        <v>183</v>
      </c>
      <c r="G49" s="30"/>
      <c r="H49" s="8"/>
      <c r="I49" s="31">
        <v>200000</v>
      </c>
      <c r="J49" s="31"/>
      <c r="K49" s="31">
        <v>-100000</v>
      </c>
      <c r="L49" s="31">
        <f t="shared" ref="L49:L50" si="14">K49+J49</f>
        <v>-100000</v>
      </c>
      <c r="M49" s="31">
        <f t="shared" ref="M49:M50" si="15">I49+L49</f>
        <v>100000</v>
      </c>
      <c r="N49" s="8"/>
      <c r="O49" s="80"/>
    </row>
    <row r="50" spans="1:15" s="14" customFormat="1" ht="62.5" customHeight="1" x14ac:dyDescent="0.45">
      <c r="A50" s="33"/>
      <c r="B50" s="29"/>
      <c r="C50" s="34"/>
      <c r="D50" s="35"/>
      <c r="E50" s="28" t="s">
        <v>184</v>
      </c>
      <c r="F50" s="29" t="s">
        <v>183</v>
      </c>
      <c r="G50" s="30"/>
      <c r="H50" s="8"/>
      <c r="I50" s="31">
        <v>50000</v>
      </c>
      <c r="J50" s="31"/>
      <c r="K50" s="31">
        <v>50000</v>
      </c>
      <c r="L50" s="31">
        <f t="shared" si="14"/>
        <v>50000</v>
      </c>
      <c r="M50" s="31">
        <f t="shared" si="15"/>
        <v>100000</v>
      </c>
      <c r="N50" s="8"/>
      <c r="O50" s="80"/>
    </row>
    <row r="51" spans="1:15" s="18" customFormat="1" ht="53.15" customHeight="1" x14ac:dyDescent="0.45">
      <c r="A51" s="15" t="s">
        <v>98</v>
      </c>
      <c r="B51" s="16" t="s">
        <v>99</v>
      </c>
      <c r="C51" s="17" t="s">
        <v>100</v>
      </c>
      <c r="D51" s="9" t="s">
        <v>101</v>
      </c>
      <c r="E51" s="35" t="s">
        <v>251</v>
      </c>
      <c r="F51" s="7"/>
      <c r="G51" s="7"/>
      <c r="H51" s="7"/>
      <c r="I51" s="10">
        <v>22572000</v>
      </c>
      <c r="J51" s="10"/>
      <c r="K51" s="10">
        <v>-13000000</v>
      </c>
      <c r="L51" s="10">
        <f>K51+J51</f>
        <v>-13000000</v>
      </c>
      <c r="M51" s="10">
        <f>I51+L51</f>
        <v>9572000</v>
      </c>
      <c r="N51" s="7"/>
      <c r="O51" s="80"/>
    </row>
    <row r="52" spans="1:15" s="18" customFormat="1" ht="83.15" customHeight="1" x14ac:dyDescent="0.45">
      <c r="A52" s="15" t="s">
        <v>10</v>
      </c>
      <c r="B52" s="7" t="s">
        <v>11</v>
      </c>
      <c r="C52" s="17" t="s">
        <v>13</v>
      </c>
      <c r="D52" s="9" t="s">
        <v>12</v>
      </c>
      <c r="E52" s="35"/>
      <c r="F52" s="7"/>
      <c r="G52" s="36"/>
      <c r="H52" s="7"/>
      <c r="I52" s="10">
        <f>SUM(I53+I54)</f>
        <v>2299600</v>
      </c>
      <c r="J52" s="10">
        <f t="shared" ref="J52:M52" si="16">SUM(J53+J54)</f>
        <v>0</v>
      </c>
      <c r="K52" s="10">
        <f t="shared" si="16"/>
        <v>0</v>
      </c>
      <c r="L52" s="10">
        <f t="shared" si="16"/>
        <v>0</v>
      </c>
      <c r="M52" s="10">
        <f t="shared" si="16"/>
        <v>2299600</v>
      </c>
      <c r="N52" s="7"/>
      <c r="O52" s="80"/>
    </row>
    <row r="53" spans="1:15" s="18" customFormat="1" ht="39.65" customHeight="1" x14ac:dyDescent="0.45">
      <c r="A53" s="15"/>
      <c r="B53" s="7"/>
      <c r="C53" s="17"/>
      <c r="D53" s="9"/>
      <c r="E53" s="35" t="s">
        <v>176</v>
      </c>
      <c r="F53" s="7"/>
      <c r="G53" s="36"/>
      <c r="H53" s="7"/>
      <c r="I53" s="10">
        <v>140000</v>
      </c>
      <c r="J53" s="10"/>
      <c r="K53" s="10"/>
      <c r="L53" s="10">
        <f t="shared" ref="L53" si="17">K53+J53</f>
        <v>0</v>
      </c>
      <c r="M53" s="10">
        <f t="shared" ref="M53" si="18">I53+L53</f>
        <v>140000</v>
      </c>
      <c r="N53" s="7"/>
      <c r="O53" s="80"/>
    </row>
    <row r="54" spans="1:15" s="18" customFormat="1" ht="61.4" customHeight="1" x14ac:dyDescent="0.45">
      <c r="A54" s="15"/>
      <c r="B54" s="7"/>
      <c r="C54" s="17"/>
      <c r="D54" s="9"/>
      <c r="E54" s="35" t="s">
        <v>38</v>
      </c>
      <c r="F54" s="8" t="s">
        <v>39</v>
      </c>
      <c r="G54" s="30">
        <v>4174146.72</v>
      </c>
      <c r="H54" s="8">
        <v>48.2</v>
      </c>
      <c r="I54" s="10">
        <v>2159600</v>
      </c>
      <c r="J54" s="10"/>
      <c r="K54" s="10"/>
      <c r="L54" s="10">
        <f>K54+J54</f>
        <v>0</v>
      </c>
      <c r="M54" s="10">
        <f>I54+L54</f>
        <v>2159600</v>
      </c>
      <c r="N54" s="8">
        <v>100</v>
      </c>
      <c r="O54" s="80"/>
    </row>
    <row r="55" spans="1:15" s="18" customFormat="1" ht="102" customHeight="1" x14ac:dyDescent="0.45">
      <c r="A55" s="15" t="s">
        <v>707</v>
      </c>
      <c r="B55" s="7">
        <v>9800</v>
      </c>
      <c r="C55" s="17" t="s">
        <v>165</v>
      </c>
      <c r="D55" s="9" t="s">
        <v>708</v>
      </c>
      <c r="E55" s="21" t="s">
        <v>180</v>
      </c>
      <c r="F55" s="8"/>
      <c r="G55" s="30"/>
      <c r="H55" s="8"/>
      <c r="I55" s="10"/>
      <c r="J55" s="10"/>
      <c r="K55" s="10">
        <v>469000</v>
      </c>
      <c r="L55" s="10">
        <f>K55+J55</f>
        <v>469000</v>
      </c>
      <c r="M55" s="10">
        <f>I55+L55</f>
        <v>469000</v>
      </c>
      <c r="N55" s="8"/>
      <c r="O55" s="80"/>
    </row>
    <row r="56" spans="1:15" s="14" customFormat="1" ht="55" customHeight="1" x14ac:dyDescent="0.45">
      <c r="A56" s="7" t="s">
        <v>102</v>
      </c>
      <c r="B56" s="8"/>
      <c r="C56" s="34"/>
      <c r="D56" s="9" t="s">
        <v>104</v>
      </c>
      <c r="E56" s="35"/>
      <c r="F56" s="8"/>
      <c r="G56" s="31"/>
      <c r="H56" s="8"/>
      <c r="I56" s="10">
        <f>I57</f>
        <v>36014219.549999997</v>
      </c>
      <c r="J56" s="10">
        <f t="shared" ref="J56:L56" si="19">J57</f>
        <v>-985419.80000000075</v>
      </c>
      <c r="K56" s="10">
        <f t="shared" si="19"/>
        <v>419000</v>
      </c>
      <c r="L56" s="10">
        <f t="shared" si="19"/>
        <v>-566419.80000000075</v>
      </c>
      <c r="M56" s="10">
        <f>M57</f>
        <v>35447799.75</v>
      </c>
      <c r="N56" s="7"/>
      <c r="O56" s="80"/>
    </row>
    <row r="57" spans="1:15" s="14" customFormat="1" ht="81" customHeight="1" x14ac:dyDescent="0.45">
      <c r="A57" s="22" t="s">
        <v>103</v>
      </c>
      <c r="B57" s="8"/>
      <c r="C57" s="34"/>
      <c r="D57" s="21" t="s">
        <v>657</v>
      </c>
      <c r="E57" s="35"/>
      <c r="F57" s="8"/>
      <c r="G57" s="31"/>
      <c r="H57" s="8"/>
      <c r="I57" s="13">
        <f>I62+I101+I155+I160+I166+I170+I271+I267+I171</f>
        <v>36014219.549999997</v>
      </c>
      <c r="J57" s="13">
        <f>J62+J101+J155+J160+J166+J170+J271+J267+J171</f>
        <v>-985419.80000000075</v>
      </c>
      <c r="K57" s="13">
        <f>K62+K101+K155+K160+K166+K170+K271+K267+K171</f>
        <v>419000</v>
      </c>
      <c r="L57" s="13">
        <f>L62+L101+L155+L160+L166+L170+L271+L267+L171</f>
        <v>-566419.80000000075</v>
      </c>
      <c r="M57" s="13">
        <f>M62+M101+M155+M160+M166+M170+M271+M267+M171</f>
        <v>35447799.75</v>
      </c>
      <c r="N57" s="7"/>
      <c r="O57" s="80"/>
    </row>
    <row r="58" spans="1:15" s="14" customFormat="1" ht="130" customHeight="1" x14ac:dyDescent="0.45">
      <c r="A58" s="22"/>
      <c r="B58" s="8"/>
      <c r="C58" s="34"/>
      <c r="D58" s="42" t="s">
        <v>654</v>
      </c>
      <c r="E58" s="35"/>
      <c r="F58" s="8"/>
      <c r="G58" s="31"/>
      <c r="H58" s="8"/>
      <c r="I58" s="13">
        <f t="shared" ref="I58:L58" si="20">I63+I102</f>
        <v>744000</v>
      </c>
      <c r="J58" s="13">
        <f t="shared" si="20"/>
        <v>0</v>
      </c>
      <c r="K58" s="13">
        <f t="shared" si="20"/>
        <v>0</v>
      </c>
      <c r="L58" s="13">
        <f t="shared" si="20"/>
        <v>0</v>
      </c>
      <c r="M58" s="13">
        <f>M63+M102</f>
        <v>744000</v>
      </c>
      <c r="N58" s="7"/>
      <c r="O58" s="80"/>
    </row>
    <row r="59" spans="1:15" s="14" customFormat="1" ht="136" customHeight="1" x14ac:dyDescent="0.45">
      <c r="A59" s="22"/>
      <c r="B59" s="8"/>
      <c r="C59" s="34"/>
      <c r="D59" s="42" t="s">
        <v>655</v>
      </c>
      <c r="E59" s="35"/>
      <c r="F59" s="8"/>
      <c r="G59" s="31"/>
      <c r="H59" s="8"/>
      <c r="I59" s="13">
        <f>I103+I156</f>
        <v>742539</v>
      </c>
      <c r="J59" s="13">
        <f>J103+J156</f>
        <v>0</v>
      </c>
      <c r="K59" s="13">
        <f>K103+K156</f>
        <v>0</v>
      </c>
      <c r="L59" s="13">
        <f>L103+L156</f>
        <v>0</v>
      </c>
      <c r="M59" s="13">
        <f>M103+M156</f>
        <v>742539</v>
      </c>
      <c r="N59" s="7"/>
      <c r="O59" s="80"/>
    </row>
    <row r="60" spans="1:15" s="14" customFormat="1" ht="103.5" customHeight="1" x14ac:dyDescent="0.45">
      <c r="A60" s="22"/>
      <c r="B60" s="8"/>
      <c r="C60" s="34"/>
      <c r="D60" s="42" t="s">
        <v>684</v>
      </c>
      <c r="E60" s="35"/>
      <c r="F60" s="8"/>
      <c r="G60" s="31"/>
      <c r="H60" s="8"/>
      <c r="I60" s="13">
        <f>I104</f>
        <v>0</v>
      </c>
      <c r="J60" s="13">
        <f t="shared" ref="J60:M60" si="21">J104</f>
        <v>621926</v>
      </c>
      <c r="K60" s="13">
        <f t="shared" si="21"/>
        <v>0</v>
      </c>
      <c r="L60" s="13">
        <f t="shared" si="21"/>
        <v>621926</v>
      </c>
      <c r="M60" s="13">
        <f t="shared" si="21"/>
        <v>621926</v>
      </c>
      <c r="N60" s="7"/>
      <c r="O60" s="80"/>
    </row>
    <row r="61" spans="1:15" s="14" customFormat="1" ht="106" customHeight="1" x14ac:dyDescent="0.45">
      <c r="A61" s="22"/>
      <c r="B61" s="8"/>
      <c r="C61" s="34"/>
      <c r="D61" s="42" t="s">
        <v>656</v>
      </c>
      <c r="E61" s="35"/>
      <c r="F61" s="8"/>
      <c r="G61" s="31"/>
      <c r="H61" s="8"/>
      <c r="I61" s="13">
        <f t="shared" ref="I61:L61" si="22">I268</f>
        <v>250078.55</v>
      </c>
      <c r="J61" s="13">
        <f t="shared" si="22"/>
        <v>0</v>
      </c>
      <c r="K61" s="13">
        <f t="shared" si="22"/>
        <v>0</v>
      </c>
      <c r="L61" s="13">
        <f t="shared" si="22"/>
        <v>0</v>
      </c>
      <c r="M61" s="13">
        <f>M268</f>
        <v>250078.55</v>
      </c>
      <c r="N61" s="7"/>
      <c r="O61" s="80"/>
    </row>
    <row r="62" spans="1:15" s="18" customFormat="1" ht="47.5" customHeight="1" x14ac:dyDescent="0.45">
      <c r="A62" s="15" t="s">
        <v>108</v>
      </c>
      <c r="B62" s="7">
        <v>1010</v>
      </c>
      <c r="C62" s="7" t="s">
        <v>105</v>
      </c>
      <c r="D62" s="9" t="s">
        <v>658</v>
      </c>
      <c r="E62" s="9"/>
      <c r="F62" s="7"/>
      <c r="G62" s="36"/>
      <c r="H62" s="7"/>
      <c r="I62" s="10">
        <f>I64+I65</f>
        <v>6590947</v>
      </c>
      <c r="J62" s="10">
        <f>J64+J65</f>
        <v>-5089000</v>
      </c>
      <c r="K62" s="10">
        <f>K64+K65</f>
        <v>150000</v>
      </c>
      <c r="L62" s="10">
        <f>L64+L65</f>
        <v>-4939000</v>
      </c>
      <c r="M62" s="10">
        <f>M64+M65</f>
        <v>1651947</v>
      </c>
      <c r="N62" s="7"/>
      <c r="O62" s="80"/>
    </row>
    <row r="63" spans="1:15" s="14" customFormat="1" ht="103.5" customHeight="1" x14ac:dyDescent="0.45">
      <c r="A63" s="22"/>
      <c r="B63" s="8"/>
      <c r="C63" s="34"/>
      <c r="D63" s="125" t="s">
        <v>654</v>
      </c>
      <c r="E63" s="35"/>
      <c r="F63" s="8"/>
      <c r="G63" s="31"/>
      <c r="H63" s="8"/>
      <c r="I63" s="89">
        <v>80600</v>
      </c>
      <c r="J63" s="89"/>
      <c r="K63" s="89"/>
      <c r="L63" s="89">
        <f>K63+J63</f>
        <v>0</v>
      </c>
      <c r="M63" s="89">
        <f>L63+I63</f>
        <v>80600</v>
      </c>
      <c r="N63" s="7"/>
      <c r="O63" s="81"/>
    </row>
    <row r="64" spans="1:15" s="18" customFormat="1" ht="48" customHeight="1" x14ac:dyDescent="0.45">
      <c r="A64" s="22"/>
      <c r="B64" s="7"/>
      <c r="C64" s="17"/>
      <c r="D64" s="21"/>
      <c r="E64" s="21" t="s">
        <v>176</v>
      </c>
      <c r="F64" s="7"/>
      <c r="G64" s="10"/>
      <c r="H64" s="7"/>
      <c r="I64" s="13">
        <f>853136+449043+199768</f>
        <v>1501947</v>
      </c>
      <c r="J64" s="13"/>
      <c r="K64" s="13">
        <v>150000</v>
      </c>
      <c r="L64" s="13">
        <f>K64+J64</f>
        <v>150000</v>
      </c>
      <c r="M64" s="13">
        <f>I64+L64</f>
        <v>1651947</v>
      </c>
      <c r="N64" s="7"/>
      <c r="O64" s="81"/>
    </row>
    <row r="65" spans="1:15" s="18" customFormat="1" ht="39.65" customHeight="1" x14ac:dyDescent="0.45">
      <c r="A65" s="22"/>
      <c r="B65" s="7"/>
      <c r="C65" s="17"/>
      <c r="D65" s="21"/>
      <c r="E65" s="21" t="s">
        <v>175</v>
      </c>
      <c r="F65" s="7"/>
      <c r="G65" s="10"/>
      <c r="H65" s="7"/>
      <c r="I65" s="13">
        <f>SUM(I66:I100)</f>
        <v>5089000</v>
      </c>
      <c r="J65" s="13">
        <f>SUM(J66:J100)</f>
        <v>-5089000</v>
      </c>
      <c r="K65" s="13">
        <f>SUM(K66:K100)</f>
        <v>0</v>
      </c>
      <c r="L65" s="13">
        <f>SUM(L66:L100)</f>
        <v>-5089000</v>
      </c>
      <c r="M65" s="13">
        <f>SUM(M66:M100)</f>
        <v>0</v>
      </c>
      <c r="N65" s="7"/>
      <c r="O65" s="81"/>
    </row>
    <row r="66" spans="1:15" s="14" customFormat="1" ht="81.650000000000006" customHeight="1" x14ac:dyDescent="0.45">
      <c r="A66" s="22"/>
      <c r="B66" s="8"/>
      <c r="C66" s="34"/>
      <c r="D66" s="27"/>
      <c r="E66" s="28" t="s">
        <v>252</v>
      </c>
      <c r="F66" s="29">
        <v>2020</v>
      </c>
      <c r="G66" s="30"/>
      <c r="H66" s="8"/>
      <c r="I66" s="31">
        <v>100000</v>
      </c>
      <c r="J66" s="31">
        <v>-100000</v>
      </c>
      <c r="K66" s="31"/>
      <c r="L66" s="31">
        <f t="shared" ref="L66:L100" si="23">K66+J66</f>
        <v>-100000</v>
      </c>
      <c r="M66" s="31">
        <f t="shared" ref="M66:M100" si="24">I66+L66</f>
        <v>0</v>
      </c>
      <c r="N66" s="8"/>
      <c r="O66" s="81"/>
    </row>
    <row r="67" spans="1:15" s="14" customFormat="1" ht="110.5" customHeight="1" x14ac:dyDescent="0.45">
      <c r="A67" s="22"/>
      <c r="B67" s="8"/>
      <c r="C67" s="34"/>
      <c r="D67" s="27"/>
      <c r="E67" s="28" t="s">
        <v>491</v>
      </c>
      <c r="F67" s="29" t="s">
        <v>183</v>
      </c>
      <c r="G67" s="30"/>
      <c r="H67" s="8"/>
      <c r="I67" s="31">
        <v>210000</v>
      </c>
      <c r="J67" s="31">
        <v>-210000</v>
      </c>
      <c r="K67" s="31"/>
      <c r="L67" s="31">
        <f t="shared" si="23"/>
        <v>-210000</v>
      </c>
      <c r="M67" s="31">
        <f t="shared" si="24"/>
        <v>0</v>
      </c>
      <c r="N67" s="8"/>
      <c r="O67" s="81"/>
    </row>
    <row r="68" spans="1:15" s="14" customFormat="1" ht="80.5" customHeight="1" x14ac:dyDescent="0.45">
      <c r="A68" s="22"/>
      <c r="B68" s="8"/>
      <c r="C68" s="34"/>
      <c r="D68" s="27"/>
      <c r="E68" s="28" t="s">
        <v>253</v>
      </c>
      <c r="F68" s="29">
        <v>2020</v>
      </c>
      <c r="G68" s="30"/>
      <c r="H68" s="8"/>
      <c r="I68" s="31">
        <v>100000</v>
      </c>
      <c r="J68" s="31">
        <v>-100000</v>
      </c>
      <c r="K68" s="31"/>
      <c r="L68" s="31">
        <f t="shared" si="23"/>
        <v>-100000</v>
      </c>
      <c r="M68" s="31">
        <f t="shared" si="24"/>
        <v>0</v>
      </c>
      <c r="N68" s="8"/>
      <c r="O68" s="81"/>
    </row>
    <row r="69" spans="1:15" s="14" customFormat="1" ht="87.65" customHeight="1" x14ac:dyDescent="0.45">
      <c r="A69" s="22"/>
      <c r="B69" s="8"/>
      <c r="C69" s="34"/>
      <c r="D69" s="27"/>
      <c r="E69" s="28" t="s">
        <v>463</v>
      </c>
      <c r="F69" s="29">
        <v>2020</v>
      </c>
      <c r="G69" s="30"/>
      <c r="H69" s="8"/>
      <c r="I69" s="31">
        <v>100000</v>
      </c>
      <c r="J69" s="31">
        <v>-100000</v>
      </c>
      <c r="K69" s="31"/>
      <c r="L69" s="31">
        <f t="shared" si="23"/>
        <v>-100000</v>
      </c>
      <c r="M69" s="31">
        <f t="shared" si="24"/>
        <v>0</v>
      </c>
      <c r="N69" s="8"/>
      <c r="O69" s="81"/>
    </row>
    <row r="70" spans="1:15" s="14" customFormat="1" ht="84" customHeight="1" x14ac:dyDescent="0.45">
      <c r="A70" s="22"/>
      <c r="B70" s="8"/>
      <c r="C70" s="34"/>
      <c r="D70" s="27"/>
      <c r="E70" s="28" t="s">
        <v>588</v>
      </c>
      <c r="F70" s="29" t="s">
        <v>183</v>
      </c>
      <c r="G70" s="30"/>
      <c r="H70" s="8"/>
      <c r="I70" s="31">
        <v>200000</v>
      </c>
      <c r="J70" s="31">
        <v>-200000</v>
      </c>
      <c r="K70" s="31"/>
      <c r="L70" s="31">
        <f t="shared" si="23"/>
        <v>-200000</v>
      </c>
      <c r="M70" s="31">
        <f t="shared" si="24"/>
        <v>0</v>
      </c>
      <c r="N70" s="8"/>
      <c r="O70" s="81"/>
    </row>
    <row r="71" spans="1:15" s="14" customFormat="1" ht="96.65" customHeight="1" x14ac:dyDescent="0.45">
      <c r="A71" s="22"/>
      <c r="B71" s="8"/>
      <c r="C71" s="34"/>
      <c r="D71" s="27"/>
      <c r="E71" s="28" t="s">
        <v>254</v>
      </c>
      <c r="F71" s="29">
        <v>2020</v>
      </c>
      <c r="G71" s="30"/>
      <c r="H71" s="8"/>
      <c r="I71" s="31">
        <v>80000</v>
      </c>
      <c r="J71" s="31">
        <v>-80000</v>
      </c>
      <c r="K71" s="31"/>
      <c r="L71" s="31">
        <f t="shared" si="23"/>
        <v>-80000</v>
      </c>
      <c r="M71" s="31">
        <f t="shared" si="24"/>
        <v>0</v>
      </c>
      <c r="N71" s="8"/>
      <c r="O71" s="81"/>
    </row>
    <row r="72" spans="1:15" s="14" customFormat="1" ht="96.65" customHeight="1" x14ac:dyDescent="0.45">
      <c r="A72" s="22"/>
      <c r="B72" s="8"/>
      <c r="C72" s="34"/>
      <c r="D72" s="27"/>
      <c r="E72" s="28" t="s">
        <v>490</v>
      </c>
      <c r="F72" s="29" t="s">
        <v>183</v>
      </c>
      <c r="G72" s="30"/>
      <c r="H72" s="8"/>
      <c r="I72" s="31">
        <v>250000</v>
      </c>
      <c r="J72" s="31">
        <v>-250000</v>
      </c>
      <c r="K72" s="31"/>
      <c r="L72" s="31">
        <f t="shared" si="23"/>
        <v>-250000</v>
      </c>
      <c r="M72" s="31">
        <f t="shared" si="24"/>
        <v>0</v>
      </c>
      <c r="N72" s="8"/>
      <c r="O72" s="81"/>
    </row>
    <row r="73" spans="1:15" s="14" customFormat="1" ht="153.65" customHeight="1" x14ac:dyDescent="0.45">
      <c r="A73" s="22"/>
      <c r="B73" s="8"/>
      <c r="C73" s="34"/>
      <c r="D73" s="7"/>
      <c r="E73" s="28" t="s">
        <v>255</v>
      </c>
      <c r="F73" s="29">
        <v>2020</v>
      </c>
      <c r="G73" s="30"/>
      <c r="H73" s="8"/>
      <c r="I73" s="31">
        <v>350000</v>
      </c>
      <c r="J73" s="31">
        <v>-350000</v>
      </c>
      <c r="K73" s="31"/>
      <c r="L73" s="31">
        <f t="shared" si="23"/>
        <v>-350000</v>
      </c>
      <c r="M73" s="31">
        <f t="shared" si="24"/>
        <v>0</v>
      </c>
      <c r="N73" s="8"/>
      <c r="O73" s="81"/>
    </row>
    <row r="74" spans="1:15" s="14" customFormat="1" ht="98.5" customHeight="1" x14ac:dyDescent="0.45">
      <c r="A74" s="22"/>
      <c r="B74" s="8"/>
      <c r="C74" s="34"/>
      <c r="D74" s="27"/>
      <c r="E74" s="28" t="s">
        <v>376</v>
      </c>
      <c r="F74" s="29">
        <v>2020</v>
      </c>
      <c r="G74" s="30"/>
      <c r="H74" s="8"/>
      <c r="I74" s="31">
        <v>100000</v>
      </c>
      <c r="J74" s="31">
        <v>-100000</v>
      </c>
      <c r="K74" s="31"/>
      <c r="L74" s="31">
        <f t="shared" si="23"/>
        <v>-100000</v>
      </c>
      <c r="M74" s="31">
        <f t="shared" si="24"/>
        <v>0</v>
      </c>
      <c r="N74" s="8"/>
      <c r="O74" s="81"/>
    </row>
    <row r="75" spans="1:15" s="14" customFormat="1" ht="84" customHeight="1" x14ac:dyDescent="0.45">
      <c r="A75" s="22"/>
      <c r="B75" s="8"/>
      <c r="C75" s="34"/>
      <c r="D75" s="27"/>
      <c r="E75" s="28" t="s">
        <v>256</v>
      </c>
      <c r="F75" s="29">
        <v>2020</v>
      </c>
      <c r="G75" s="30"/>
      <c r="H75" s="8"/>
      <c r="I75" s="31">
        <v>100000</v>
      </c>
      <c r="J75" s="31">
        <v>-100000</v>
      </c>
      <c r="K75" s="31"/>
      <c r="L75" s="31">
        <f t="shared" si="23"/>
        <v>-100000</v>
      </c>
      <c r="M75" s="31">
        <f t="shared" si="24"/>
        <v>0</v>
      </c>
      <c r="N75" s="8"/>
      <c r="O75" s="81"/>
    </row>
    <row r="76" spans="1:15" s="14" customFormat="1" ht="101.15" customHeight="1" x14ac:dyDescent="0.45">
      <c r="A76" s="22"/>
      <c r="B76" s="8"/>
      <c r="C76" s="34"/>
      <c r="D76" s="27"/>
      <c r="E76" s="28" t="s">
        <v>257</v>
      </c>
      <c r="F76" s="29">
        <v>2020</v>
      </c>
      <c r="G76" s="30"/>
      <c r="H76" s="8"/>
      <c r="I76" s="31">
        <v>90000</v>
      </c>
      <c r="J76" s="31">
        <v>-90000</v>
      </c>
      <c r="K76" s="31"/>
      <c r="L76" s="31">
        <f t="shared" si="23"/>
        <v>-90000</v>
      </c>
      <c r="M76" s="31">
        <f t="shared" si="24"/>
        <v>0</v>
      </c>
      <c r="N76" s="8"/>
      <c r="O76" s="81"/>
    </row>
    <row r="77" spans="1:15" s="14" customFormat="1" ht="140.15" customHeight="1" x14ac:dyDescent="0.45">
      <c r="A77" s="22"/>
      <c r="B77" s="8"/>
      <c r="C77" s="34"/>
      <c r="D77" s="7"/>
      <c r="E77" s="28" t="s">
        <v>464</v>
      </c>
      <c r="F77" s="29">
        <v>2020</v>
      </c>
      <c r="G77" s="30" t="s">
        <v>218</v>
      </c>
      <c r="H77" s="8"/>
      <c r="I77" s="31">
        <v>350000</v>
      </c>
      <c r="J77" s="31">
        <v>-350000</v>
      </c>
      <c r="K77" s="31"/>
      <c r="L77" s="31">
        <f t="shared" si="23"/>
        <v>-350000</v>
      </c>
      <c r="M77" s="31">
        <f t="shared" si="24"/>
        <v>0</v>
      </c>
      <c r="N77" s="8"/>
      <c r="O77" s="81"/>
    </row>
    <row r="78" spans="1:15" s="14" customFormat="1" ht="104.5" customHeight="1" x14ac:dyDescent="0.45">
      <c r="A78" s="22"/>
      <c r="B78" s="8"/>
      <c r="C78" s="34"/>
      <c r="D78" s="27"/>
      <c r="E78" s="28" t="s">
        <v>258</v>
      </c>
      <c r="F78" s="29">
        <v>2020</v>
      </c>
      <c r="G78" s="30"/>
      <c r="H78" s="8"/>
      <c r="I78" s="31">
        <v>100000</v>
      </c>
      <c r="J78" s="31">
        <v>-100000</v>
      </c>
      <c r="K78" s="31"/>
      <c r="L78" s="31">
        <f t="shared" si="23"/>
        <v>-100000</v>
      </c>
      <c r="M78" s="31">
        <f t="shared" si="24"/>
        <v>0</v>
      </c>
      <c r="N78" s="8"/>
      <c r="O78" s="81"/>
    </row>
    <row r="79" spans="1:15" s="14" customFormat="1" ht="90.65" customHeight="1" x14ac:dyDescent="0.45">
      <c r="A79" s="22"/>
      <c r="B79" s="8"/>
      <c r="C79" s="34"/>
      <c r="D79" s="27"/>
      <c r="E79" s="28" t="s">
        <v>310</v>
      </c>
      <c r="F79" s="29">
        <v>2020</v>
      </c>
      <c r="G79" s="30"/>
      <c r="H79" s="8"/>
      <c r="I79" s="31">
        <v>100000</v>
      </c>
      <c r="J79" s="31">
        <v>-100000</v>
      </c>
      <c r="K79" s="31"/>
      <c r="L79" s="31">
        <f t="shared" si="23"/>
        <v>-100000</v>
      </c>
      <c r="M79" s="31">
        <f t="shared" si="24"/>
        <v>0</v>
      </c>
      <c r="N79" s="8"/>
      <c r="O79" s="81"/>
    </row>
    <row r="80" spans="1:15" s="14" customFormat="1" ht="81" customHeight="1" x14ac:dyDescent="0.45">
      <c r="A80" s="22"/>
      <c r="B80" s="8"/>
      <c r="C80" s="34"/>
      <c r="D80" s="27"/>
      <c r="E80" s="28" t="s">
        <v>259</v>
      </c>
      <c r="F80" s="29">
        <v>2020</v>
      </c>
      <c r="G80" s="30"/>
      <c r="H80" s="8"/>
      <c r="I80" s="31">
        <v>100000</v>
      </c>
      <c r="J80" s="31">
        <v>-100000</v>
      </c>
      <c r="K80" s="31"/>
      <c r="L80" s="31">
        <f t="shared" si="23"/>
        <v>-100000</v>
      </c>
      <c r="M80" s="31">
        <f t="shared" si="24"/>
        <v>0</v>
      </c>
      <c r="N80" s="8"/>
      <c r="O80" s="81"/>
    </row>
    <row r="81" spans="1:15" s="14" customFormat="1" ht="105" customHeight="1" x14ac:dyDescent="0.45">
      <c r="A81" s="22"/>
      <c r="B81" s="8"/>
      <c r="C81" s="34"/>
      <c r="D81" s="27"/>
      <c r="E81" s="28" t="s">
        <v>260</v>
      </c>
      <c r="F81" s="29">
        <v>2020</v>
      </c>
      <c r="G81" s="30"/>
      <c r="H81" s="8"/>
      <c r="I81" s="31">
        <v>100000</v>
      </c>
      <c r="J81" s="31">
        <v>-100000</v>
      </c>
      <c r="K81" s="31"/>
      <c r="L81" s="31">
        <f t="shared" si="23"/>
        <v>-100000</v>
      </c>
      <c r="M81" s="31">
        <f t="shared" si="24"/>
        <v>0</v>
      </c>
      <c r="N81" s="8"/>
      <c r="O81" s="81"/>
    </row>
    <row r="82" spans="1:15" s="14" customFormat="1" ht="85.5" customHeight="1" x14ac:dyDescent="0.45">
      <c r="A82" s="22"/>
      <c r="B82" s="8"/>
      <c r="C82" s="34"/>
      <c r="D82" s="27"/>
      <c r="E82" s="28" t="s">
        <v>261</v>
      </c>
      <c r="F82" s="29">
        <v>2020</v>
      </c>
      <c r="G82" s="30"/>
      <c r="H82" s="8"/>
      <c r="I82" s="31">
        <v>65000</v>
      </c>
      <c r="J82" s="31">
        <v>-65000</v>
      </c>
      <c r="K82" s="31"/>
      <c r="L82" s="31">
        <f t="shared" si="23"/>
        <v>-65000</v>
      </c>
      <c r="M82" s="31">
        <f t="shared" si="24"/>
        <v>0</v>
      </c>
      <c r="N82" s="8"/>
      <c r="O82" s="81"/>
    </row>
    <row r="83" spans="1:15" s="14" customFormat="1" ht="100.5" customHeight="1" x14ac:dyDescent="0.45">
      <c r="A83" s="22"/>
      <c r="B83" s="8"/>
      <c r="C83" s="34"/>
      <c r="D83" s="27"/>
      <c r="E83" s="28" t="s">
        <v>262</v>
      </c>
      <c r="F83" s="29">
        <v>2020</v>
      </c>
      <c r="G83" s="30"/>
      <c r="H83" s="8"/>
      <c r="I83" s="31">
        <v>500000</v>
      </c>
      <c r="J83" s="31">
        <v>-500000</v>
      </c>
      <c r="K83" s="31"/>
      <c r="L83" s="31">
        <f t="shared" si="23"/>
        <v>-500000</v>
      </c>
      <c r="M83" s="31">
        <f t="shared" si="24"/>
        <v>0</v>
      </c>
      <c r="N83" s="8"/>
      <c r="O83" s="81"/>
    </row>
    <row r="84" spans="1:15" s="14" customFormat="1" ht="83.15" customHeight="1" x14ac:dyDescent="0.45">
      <c r="A84" s="22"/>
      <c r="B84" s="8"/>
      <c r="C84" s="34"/>
      <c r="D84" s="27"/>
      <c r="E84" s="28" t="s">
        <v>267</v>
      </c>
      <c r="F84" s="29">
        <v>2020</v>
      </c>
      <c r="G84" s="30"/>
      <c r="H84" s="8"/>
      <c r="I84" s="31">
        <v>100000</v>
      </c>
      <c r="J84" s="31">
        <v>-100000</v>
      </c>
      <c r="K84" s="31"/>
      <c r="L84" s="31">
        <f t="shared" si="23"/>
        <v>-100000</v>
      </c>
      <c r="M84" s="31">
        <f t="shared" si="24"/>
        <v>0</v>
      </c>
      <c r="N84" s="8"/>
      <c r="O84" s="81"/>
    </row>
    <row r="85" spans="1:15" s="14" customFormat="1" ht="87.65" customHeight="1" x14ac:dyDescent="0.45">
      <c r="A85" s="22"/>
      <c r="B85" s="8"/>
      <c r="C85" s="34"/>
      <c r="D85" s="27"/>
      <c r="E85" s="28" t="s">
        <v>268</v>
      </c>
      <c r="F85" s="29">
        <v>2020</v>
      </c>
      <c r="G85" s="30"/>
      <c r="H85" s="8"/>
      <c r="I85" s="31">
        <v>100000</v>
      </c>
      <c r="J85" s="31">
        <v>-100000</v>
      </c>
      <c r="K85" s="31"/>
      <c r="L85" s="31">
        <f t="shared" si="23"/>
        <v>-100000</v>
      </c>
      <c r="M85" s="31">
        <f t="shared" si="24"/>
        <v>0</v>
      </c>
      <c r="N85" s="8"/>
      <c r="O85" s="81"/>
    </row>
    <row r="86" spans="1:15" s="14" customFormat="1" ht="85.5" customHeight="1" x14ac:dyDescent="0.45">
      <c r="A86" s="22"/>
      <c r="B86" s="8"/>
      <c r="C86" s="34"/>
      <c r="D86" s="27"/>
      <c r="E86" s="28" t="s">
        <v>269</v>
      </c>
      <c r="F86" s="29">
        <v>2020</v>
      </c>
      <c r="G86" s="30"/>
      <c r="H86" s="8"/>
      <c r="I86" s="31">
        <v>100000</v>
      </c>
      <c r="J86" s="31">
        <v>-100000</v>
      </c>
      <c r="K86" s="31"/>
      <c r="L86" s="31">
        <f t="shared" si="23"/>
        <v>-100000</v>
      </c>
      <c r="M86" s="31">
        <f t="shared" si="24"/>
        <v>0</v>
      </c>
      <c r="N86" s="8"/>
      <c r="O86" s="81"/>
    </row>
    <row r="87" spans="1:15" s="14" customFormat="1" ht="104.15" customHeight="1" x14ac:dyDescent="0.45">
      <c r="A87" s="22"/>
      <c r="B87" s="8"/>
      <c r="C87" s="34"/>
      <c r="D87" s="27"/>
      <c r="E87" s="28" t="s">
        <v>270</v>
      </c>
      <c r="F87" s="29">
        <v>2020</v>
      </c>
      <c r="G87" s="30"/>
      <c r="H87" s="8"/>
      <c r="I87" s="31">
        <v>100000</v>
      </c>
      <c r="J87" s="31">
        <v>-100000</v>
      </c>
      <c r="K87" s="31"/>
      <c r="L87" s="31">
        <f t="shared" si="23"/>
        <v>-100000</v>
      </c>
      <c r="M87" s="31">
        <f t="shared" si="24"/>
        <v>0</v>
      </c>
      <c r="N87" s="8"/>
      <c r="O87" s="81"/>
    </row>
    <row r="88" spans="1:15" s="14" customFormat="1" ht="98.15" customHeight="1" x14ac:dyDescent="0.45">
      <c r="A88" s="22"/>
      <c r="B88" s="8"/>
      <c r="C88" s="34"/>
      <c r="D88" s="27"/>
      <c r="E88" s="28" t="s">
        <v>271</v>
      </c>
      <c r="F88" s="29">
        <v>2020</v>
      </c>
      <c r="G88" s="30"/>
      <c r="H88" s="8"/>
      <c r="I88" s="31">
        <v>35000</v>
      </c>
      <c r="J88" s="31">
        <v>-35000</v>
      </c>
      <c r="K88" s="31"/>
      <c r="L88" s="31">
        <f t="shared" si="23"/>
        <v>-35000</v>
      </c>
      <c r="M88" s="31">
        <f t="shared" si="24"/>
        <v>0</v>
      </c>
      <c r="N88" s="8"/>
      <c r="O88" s="81"/>
    </row>
    <row r="89" spans="1:15" s="14" customFormat="1" ht="103" customHeight="1" x14ac:dyDescent="0.45">
      <c r="A89" s="22"/>
      <c r="B89" s="8"/>
      <c r="C89" s="34"/>
      <c r="D89" s="27"/>
      <c r="E89" s="28" t="s">
        <v>272</v>
      </c>
      <c r="F89" s="29">
        <v>2020</v>
      </c>
      <c r="G89" s="30"/>
      <c r="H89" s="8"/>
      <c r="I89" s="31">
        <v>65000</v>
      </c>
      <c r="J89" s="31">
        <v>-65000</v>
      </c>
      <c r="K89" s="31"/>
      <c r="L89" s="31">
        <f t="shared" si="23"/>
        <v>-65000</v>
      </c>
      <c r="M89" s="31">
        <f t="shared" si="24"/>
        <v>0</v>
      </c>
      <c r="N89" s="8"/>
      <c r="O89" s="81"/>
    </row>
    <row r="90" spans="1:15" s="14" customFormat="1" ht="86.15" customHeight="1" x14ac:dyDescent="0.45">
      <c r="A90" s="22"/>
      <c r="B90" s="8"/>
      <c r="C90" s="34"/>
      <c r="D90" s="27"/>
      <c r="E90" s="28" t="s">
        <v>273</v>
      </c>
      <c r="F90" s="29">
        <v>2020</v>
      </c>
      <c r="G90" s="30"/>
      <c r="H90" s="8"/>
      <c r="I90" s="31">
        <v>100000</v>
      </c>
      <c r="J90" s="31">
        <v>-100000</v>
      </c>
      <c r="K90" s="31"/>
      <c r="L90" s="31">
        <f t="shared" si="23"/>
        <v>-100000</v>
      </c>
      <c r="M90" s="31">
        <f t="shared" si="24"/>
        <v>0</v>
      </c>
      <c r="N90" s="8"/>
      <c r="O90" s="81"/>
    </row>
    <row r="91" spans="1:15" s="14" customFormat="1" ht="85.5" customHeight="1" x14ac:dyDescent="0.45">
      <c r="A91" s="22"/>
      <c r="B91" s="8"/>
      <c r="C91" s="34"/>
      <c r="D91" s="27"/>
      <c r="E91" s="28" t="s">
        <v>274</v>
      </c>
      <c r="F91" s="29">
        <v>2020</v>
      </c>
      <c r="G91" s="30"/>
      <c r="H91" s="8"/>
      <c r="I91" s="31">
        <v>100000</v>
      </c>
      <c r="J91" s="31">
        <v>-100000</v>
      </c>
      <c r="K91" s="31"/>
      <c r="L91" s="31">
        <f t="shared" si="23"/>
        <v>-100000</v>
      </c>
      <c r="M91" s="31">
        <f t="shared" si="24"/>
        <v>0</v>
      </c>
      <c r="N91" s="8"/>
      <c r="O91" s="81"/>
    </row>
    <row r="92" spans="1:15" s="14" customFormat="1" ht="106.5" customHeight="1" x14ac:dyDescent="0.45">
      <c r="A92" s="22"/>
      <c r="B92" s="8"/>
      <c r="C92" s="34"/>
      <c r="D92" s="27"/>
      <c r="E92" s="28" t="s">
        <v>521</v>
      </c>
      <c r="F92" s="29" t="s">
        <v>183</v>
      </c>
      <c r="G92" s="30"/>
      <c r="H92" s="8"/>
      <c r="I92" s="31">
        <v>300000</v>
      </c>
      <c r="J92" s="31">
        <v>-300000</v>
      </c>
      <c r="K92" s="31"/>
      <c r="L92" s="31">
        <f t="shared" si="23"/>
        <v>-300000</v>
      </c>
      <c r="M92" s="31">
        <f t="shared" si="24"/>
        <v>0</v>
      </c>
      <c r="N92" s="8"/>
      <c r="O92" s="81"/>
    </row>
    <row r="93" spans="1:15" s="14" customFormat="1" ht="81" customHeight="1" x14ac:dyDescent="0.45">
      <c r="A93" s="22"/>
      <c r="B93" s="8"/>
      <c r="C93" s="34"/>
      <c r="D93" s="27"/>
      <c r="E93" s="28" t="s">
        <v>275</v>
      </c>
      <c r="F93" s="29">
        <v>2020</v>
      </c>
      <c r="G93" s="30"/>
      <c r="H93" s="8"/>
      <c r="I93" s="31">
        <v>100000</v>
      </c>
      <c r="J93" s="31">
        <v>-100000</v>
      </c>
      <c r="K93" s="31"/>
      <c r="L93" s="31">
        <f t="shared" si="23"/>
        <v>-100000</v>
      </c>
      <c r="M93" s="31">
        <f t="shared" si="24"/>
        <v>0</v>
      </c>
      <c r="N93" s="8"/>
      <c r="O93" s="81"/>
    </row>
    <row r="94" spans="1:15" s="14" customFormat="1" ht="80.150000000000006" customHeight="1" x14ac:dyDescent="0.45">
      <c r="A94" s="22"/>
      <c r="B94" s="8"/>
      <c r="C94" s="34"/>
      <c r="D94" s="27"/>
      <c r="E94" s="28" t="s">
        <v>311</v>
      </c>
      <c r="F94" s="29">
        <v>2020</v>
      </c>
      <c r="G94" s="30"/>
      <c r="H94" s="8"/>
      <c r="I94" s="31">
        <f>100000+150000</f>
        <v>250000</v>
      </c>
      <c r="J94" s="31">
        <v>-250000</v>
      </c>
      <c r="K94" s="31"/>
      <c r="L94" s="31">
        <f t="shared" si="23"/>
        <v>-250000</v>
      </c>
      <c r="M94" s="31">
        <f t="shared" si="24"/>
        <v>0</v>
      </c>
      <c r="N94" s="8"/>
      <c r="O94" s="81"/>
    </row>
    <row r="95" spans="1:15" s="14" customFormat="1" ht="88" customHeight="1" x14ac:dyDescent="0.45">
      <c r="A95" s="22"/>
      <c r="B95" s="8"/>
      <c r="C95" s="34"/>
      <c r="D95" s="27"/>
      <c r="E95" s="28" t="s">
        <v>276</v>
      </c>
      <c r="F95" s="29">
        <v>2020</v>
      </c>
      <c r="G95" s="30"/>
      <c r="H95" s="8"/>
      <c r="I95" s="31">
        <v>100000</v>
      </c>
      <c r="J95" s="31">
        <v>-100000</v>
      </c>
      <c r="K95" s="31"/>
      <c r="L95" s="31">
        <f t="shared" si="23"/>
        <v>-100000</v>
      </c>
      <c r="M95" s="31">
        <f t="shared" si="24"/>
        <v>0</v>
      </c>
      <c r="N95" s="8"/>
      <c r="O95" s="81"/>
    </row>
    <row r="96" spans="1:15" s="14" customFormat="1" ht="98.15" customHeight="1" x14ac:dyDescent="0.45">
      <c r="A96" s="22"/>
      <c r="B96" s="8"/>
      <c r="C96" s="34"/>
      <c r="D96" s="27"/>
      <c r="E96" s="28" t="s">
        <v>450</v>
      </c>
      <c r="F96" s="29" t="s">
        <v>183</v>
      </c>
      <c r="G96" s="30"/>
      <c r="H96" s="8"/>
      <c r="I96" s="31">
        <v>204000</v>
      </c>
      <c r="J96" s="31">
        <v>-204000</v>
      </c>
      <c r="K96" s="31"/>
      <c r="L96" s="31">
        <f t="shared" si="23"/>
        <v>-204000</v>
      </c>
      <c r="M96" s="31">
        <f t="shared" si="24"/>
        <v>0</v>
      </c>
      <c r="N96" s="8"/>
      <c r="O96" s="81"/>
    </row>
    <row r="97" spans="1:15" s="14" customFormat="1" ht="104.5" customHeight="1" x14ac:dyDescent="0.45">
      <c r="A97" s="22"/>
      <c r="B97" s="8"/>
      <c r="C97" s="34"/>
      <c r="D97" s="27"/>
      <c r="E97" s="28" t="s">
        <v>312</v>
      </c>
      <c r="F97" s="29">
        <v>2020</v>
      </c>
      <c r="G97" s="30"/>
      <c r="H97" s="8"/>
      <c r="I97" s="31">
        <v>100000</v>
      </c>
      <c r="J97" s="31">
        <v>-100000</v>
      </c>
      <c r="K97" s="31"/>
      <c r="L97" s="31">
        <f t="shared" si="23"/>
        <v>-100000</v>
      </c>
      <c r="M97" s="31">
        <f t="shared" si="24"/>
        <v>0</v>
      </c>
      <c r="N97" s="8"/>
      <c r="O97" s="81"/>
    </row>
    <row r="98" spans="1:15" s="14" customFormat="1" ht="106.5" customHeight="1" x14ac:dyDescent="0.45">
      <c r="A98" s="22"/>
      <c r="B98" s="8"/>
      <c r="C98" s="34"/>
      <c r="D98" s="27"/>
      <c r="E98" s="28" t="s">
        <v>277</v>
      </c>
      <c r="F98" s="29">
        <v>2020</v>
      </c>
      <c r="G98" s="30"/>
      <c r="H98" s="8"/>
      <c r="I98" s="31">
        <v>100000</v>
      </c>
      <c r="J98" s="31">
        <v>-100000</v>
      </c>
      <c r="K98" s="31"/>
      <c r="L98" s="31">
        <f t="shared" si="23"/>
        <v>-100000</v>
      </c>
      <c r="M98" s="31">
        <f t="shared" si="24"/>
        <v>0</v>
      </c>
      <c r="N98" s="8"/>
      <c r="O98" s="81"/>
    </row>
    <row r="99" spans="1:15" s="14" customFormat="1" ht="82" customHeight="1" x14ac:dyDescent="0.45">
      <c r="A99" s="22"/>
      <c r="B99" s="8"/>
      <c r="C99" s="34"/>
      <c r="D99" s="27"/>
      <c r="E99" s="28" t="s">
        <v>587</v>
      </c>
      <c r="F99" s="29">
        <v>2020</v>
      </c>
      <c r="G99" s="30"/>
      <c r="H99" s="8"/>
      <c r="I99" s="31">
        <f>100000+40000</f>
        <v>140000</v>
      </c>
      <c r="J99" s="31">
        <v>-140000</v>
      </c>
      <c r="K99" s="31"/>
      <c r="L99" s="31">
        <f t="shared" si="23"/>
        <v>-140000</v>
      </c>
      <c r="M99" s="31">
        <f t="shared" si="24"/>
        <v>0</v>
      </c>
      <c r="N99" s="8"/>
      <c r="O99" s="81"/>
    </row>
    <row r="100" spans="1:15" s="14" customFormat="1" ht="95.15" customHeight="1" x14ac:dyDescent="0.45">
      <c r="A100" s="22"/>
      <c r="B100" s="8"/>
      <c r="C100" s="34"/>
      <c r="D100" s="27"/>
      <c r="E100" s="28" t="s">
        <v>278</v>
      </c>
      <c r="F100" s="29">
        <v>2020</v>
      </c>
      <c r="G100" s="30"/>
      <c r="H100" s="8"/>
      <c r="I100" s="31">
        <v>100000</v>
      </c>
      <c r="J100" s="31">
        <v>-100000</v>
      </c>
      <c r="K100" s="31"/>
      <c r="L100" s="31">
        <f t="shared" si="23"/>
        <v>-100000</v>
      </c>
      <c r="M100" s="31">
        <f t="shared" si="24"/>
        <v>0</v>
      </c>
      <c r="N100" s="8"/>
      <c r="O100" s="81"/>
    </row>
    <row r="101" spans="1:15" s="18" customFormat="1" ht="132" customHeight="1" x14ac:dyDescent="0.45">
      <c r="A101" s="15" t="s">
        <v>109</v>
      </c>
      <c r="B101" s="7">
        <v>1020</v>
      </c>
      <c r="C101" s="17" t="s">
        <v>106</v>
      </c>
      <c r="D101" s="9" t="s">
        <v>661</v>
      </c>
      <c r="E101" s="9"/>
      <c r="F101" s="7"/>
      <c r="G101" s="10"/>
      <c r="H101" s="7"/>
      <c r="I101" s="10">
        <f>I105+I106</f>
        <v>24427088.640000001</v>
      </c>
      <c r="J101" s="10">
        <f>J105+J106</f>
        <v>-19087540</v>
      </c>
      <c r="K101" s="10">
        <f>K105+K106</f>
        <v>30000</v>
      </c>
      <c r="L101" s="10">
        <f>L105+L106</f>
        <v>-19057540</v>
      </c>
      <c r="M101" s="10">
        <f>M105+M106</f>
        <v>5369548.6400000006</v>
      </c>
      <c r="N101" s="7"/>
      <c r="O101" s="81"/>
    </row>
    <row r="102" spans="1:15" s="95" customFormat="1" ht="101" customHeight="1" x14ac:dyDescent="0.35">
      <c r="A102" s="126"/>
      <c r="B102" s="112"/>
      <c r="C102" s="127"/>
      <c r="D102" s="125" t="s">
        <v>654</v>
      </c>
      <c r="E102" s="128"/>
      <c r="F102" s="112"/>
      <c r="G102" s="129"/>
      <c r="H102" s="112"/>
      <c r="I102" s="89">
        <v>663400</v>
      </c>
      <c r="J102" s="89"/>
      <c r="K102" s="89"/>
      <c r="L102" s="89">
        <f>K102+J102</f>
        <v>0</v>
      </c>
      <c r="M102" s="89">
        <f>L102+I102</f>
        <v>663400</v>
      </c>
      <c r="N102" s="86"/>
      <c r="O102" s="90"/>
    </row>
    <row r="103" spans="1:15" s="95" customFormat="1" ht="111" customHeight="1" x14ac:dyDescent="0.35">
      <c r="A103" s="126"/>
      <c r="B103" s="112"/>
      <c r="C103" s="127"/>
      <c r="D103" s="125" t="s">
        <v>655</v>
      </c>
      <c r="E103" s="128"/>
      <c r="F103" s="112"/>
      <c r="G103" s="129"/>
      <c r="H103" s="112"/>
      <c r="I103" s="89">
        <v>721310</v>
      </c>
      <c r="J103" s="89"/>
      <c r="K103" s="89"/>
      <c r="L103" s="89">
        <f>K103+J103</f>
        <v>0</v>
      </c>
      <c r="M103" s="89">
        <f>L103+I103</f>
        <v>721310</v>
      </c>
      <c r="N103" s="86"/>
      <c r="O103" s="90"/>
    </row>
    <row r="104" spans="1:15" s="95" customFormat="1" ht="81" customHeight="1" x14ac:dyDescent="0.35">
      <c r="A104" s="126"/>
      <c r="B104" s="112"/>
      <c r="C104" s="127"/>
      <c r="D104" s="125" t="s">
        <v>684</v>
      </c>
      <c r="E104" s="128"/>
      <c r="F104" s="112"/>
      <c r="G104" s="129"/>
      <c r="H104" s="112"/>
      <c r="I104" s="89"/>
      <c r="J104" s="89">
        <v>621926</v>
      </c>
      <c r="K104" s="89"/>
      <c r="L104" s="89">
        <f>K104+J104</f>
        <v>621926</v>
      </c>
      <c r="M104" s="89">
        <f>L104+I104</f>
        <v>621926</v>
      </c>
      <c r="N104" s="86"/>
      <c r="O104" s="90"/>
    </row>
    <row r="105" spans="1:15" s="18" customFormat="1" ht="52" customHeight="1" x14ac:dyDescent="0.45">
      <c r="A105" s="22"/>
      <c r="B105" s="7"/>
      <c r="C105" s="17"/>
      <c r="D105" s="21"/>
      <c r="E105" s="21" t="s">
        <v>176</v>
      </c>
      <c r="F105" s="7"/>
      <c r="G105" s="10"/>
      <c r="H105" s="7"/>
      <c r="I105" s="13">
        <f>2771872+383683.64+778805+2219031+13000+234000</f>
        <v>6400391.6400000006</v>
      </c>
      <c r="J105" s="13">
        <f>25000+621926+266800-1974569</f>
        <v>-1060843</v>
      </c>
      <c r="K105" s="13">
        <v>30000</v>
      </c>
      <c r="L105" s="13">
        <f>K105+J105</f>
        <v>-1030843</v>
      </c>
      <c r="M105" s="13">
        <f>I105+L105</f>
        <v>5369548.6400000006</v>
      </c>
      <c r="N105" s="7"/>
      <c r="O105" s="81"/>
    </row>
    <row r="106" spans="1:15" s="18" customFormat="1" ht="38.5" customHeight="1" x14ac:dyDescent="0.45">
      <c r="A106" s="22"/>
      <c r="B106" s="7"/>
      <c r="C106" s="17"/>
      <c r="D106" s="21"/>
      <c r="E106" s="21" t="s">
        <v>175</v>
      </c>
      <c r="F106" s="7"/>
      <c r="G106" s="10"/>
      <c r="H106" s="7"/>
      <c r="I106" s="13">
        <f>SUM(I107:I154)</f>
        <v>18026697</v>
      </c>
      <c r="J106" s="13">
        <f>SUM(J107:J154)</f>
        <v>-18026697</v>
      </c>
      <c r="K106" s="13">
        <f>SUM(K107:K154)</f>
        <v>0</v>
      </c>
      <c r="L106" s="13">
        <f>SUM(L107:L154)</f>
        <v>-18026697</v>
      </c>
      <c r="M106" s="13">
        <f>SUM(M107:M154)</f>
        <v>0</v>
      </c>
      <c r="N106" s="7"/>
      <c r="O106" s="81"/>
    </row>
    <row r="107" spans="1:15" s="14" customFormat="1" ht="90" x14ac:dyDescent="0.45">
      <c r="A107" s="22"/>
      <c r="B107" s="8"/>
      <c r="C107" s="34"/>
      <c r="D107" s="27"/>
      <c r="E107" s="28" t="s">
        <v>313</v>
      </c>
      <c r="F107" s="8">
        <v>2020</v>
      </c>
      <c r="G107" s="30"/>
      <c r="H107" s="8"/>
      <c r="I107" s="31">
        <v>200000</v>
      </c>
      <c r="J107" s="31">
        <v>-200000</v>
      </c>
      <c r="K107" s="31"/>
      <c r="L107" s="31">
        <f t="shared" ref="L107:L154" si="25">K107+J107</f>
        <v>-200000</v>
      </c>
      <c r="M107" s="31">
        <f t="shared" ref="M107:M154" si="26">I107+L107</f>
        <v>0</v>
      </c>
      <c r="N107" s="8"/>
      <c r="O107" s="81"/>
    </row>
    <row r="108" spans="1:15" s="14" customFormat="1" ht="84.65" customHeight="1" x14ac:dyDescent="0.45">
      <c r="A108" s="22"/>
      <c r="B108" s="8"/>
      <c r="C108" s="34"/>
      <c r="D108" s="7"/>
      <c r="E108" s="28" t="s">
        <v>314</v>
      </c>
      <c r="F108" s="8" t="s">
        <v>227</v>
      </c>
      <c r="G108" s="30">
        <v>952286</v>
      </c>
      <c r="H108" s="8">
        <v>5.3</v>
      </c>
      <c r="I108" s="31">
        <v>901482</v>
      </c>
      <c r="J108" s="31">
        <v>-901482</v>
      </c>
      <c r="K108" s="31"/>
      <c r="L108" s="31">
        <f t="shared" si="25"/>
        <v>-901482</v>
      </c>
      <c r="M108" s="31">
        <f t="shared" si="26"/>
        <v>0</v>
      </c>
      <c r="N108" s="8">
        <v>100</v>
      </c>
      <c r="O108" s="81"/>
    </row>
    <row r="109" spans="1:15" s="14" customFormat="1" ht="99.65" customHeight="1" x14ac:dyDescent="0.45">
      <c r="A109" s="22"/>
      <c r="B109" s="8"/>
      <c r="C109" s="34"/>
      <c r="D109" s="7"/>
      <c r="E109" s="28" t="s">
        <v>315</v>
      </c>
      <c r="F109" s="8">
        <v>2020</v>
      </c>
      <c r="G109" s="30"/>
      <c r="H109" s="8"/>
      <c r="I109" s="31">
        <v>1000000</v>
      </c>
      <c r="J109" s="31">
        <v>-1000000</v>
      </c>
      <c r="K109" s="31"/>
      <c r="L109" s="31">
        <f t="shared" si="25"/>
        <v>-1000000</v>
      </c>
      <c r="M109" s="31">
        <f t="shared" si="26"/>
        <v>0</v>
      </c>
      <c r="N109" s="8"/>
      <c r="O109" s="81"/>
    </row>
    <row r="110" spans="1:15" s="14" customFormat="1" ht="103.5" customHeight="1" x14ac:dyDescent="0.45">
      <c r="A110" s="22"/>
      <c r="B110" s="8"/>
      <c r="C110" s="34"/>
      <c r="D110" s="7"/>
      <c r="E110" s="28" t="s">
        <v>279</v>
      </c>
      <c r="F110" s="8">
        <v>2020</v>
      </c>
      <c r="G110" s="30"/>
      <c r="H110" s="8"/>
      <c r="I110" s="31">
        <v>150000</v>
      </c>
      <c r="J110" s="31">
        <v>-150000</v>
      </c>
      <c r="K110" s="31"/>
      <c r="L110" s="31">
        <f t="shared" si="25"/>
        <v>-150000</v>
      </c>
      <c r="M110" s="31">
        <f t="shared" si="26"/>
        <v>0</v>
      </c>
      <c r="N110" s="8"/>
      <c r="O110" s="81"/>
    </row>
    <row r="111" spans="1:15" s="14" customFormat="1" ht="155.15" customHeight="1" x14ac:dyDescent="0.45">
      <c r="A111" s="22"/>
      <c r="B111" s="8"/>
      <c r="C111" s="34"/>
      <c r="D111" s="7"/>
      <c r="E111" s="28" t="s">
        <v>280</v>
      </c>
      <c r="F111" s="8">
        <v>2020</v>
      </c>
      <c r="G111" s="30"/>
      <c r="H111" s="8"/>
      <c r="I111" s="31">
        <f>700000-200214</f>
        <v>499786</v>
      </c>
      <c r="J111" s="31">
        <v>-499786</v>
      </c>
      <c r="K111" s="31"/>
      <c r="L111" s="31">
        <f t="shared" si="25"/>
        <v>-499786</v>
      </c>
      <c r="M111" s="31">
        <f t="shared" si="26"/>
        <v>0</v>
      </c>
      <c r="N111" s="8"/>
      <c r="O111" s="81"/>
    </row>
    <row r="112" spans="1:15" s="14" customFormat="1" ht="115" customHeight="1" x14ac:dyDescent="0.45">
      <c r="A112" s="22"/>
      <c r="B112" s="8"/>
      <c r="C112" s="34"/>
      <c r="D112" s="27"/>
      <c r="E112" s="28" t="s">
        <v>228</v>
      </c>
      <c r="F112" s="8">
        <v>2020</v>
      </c>
      <c r="G112" s="30"/>
      <c r="H112" s="8"/>
      <c r="I112" s="31">
        <v>200000</v>
      </c>
      <c r="J112" s="31">
        <v>-200000</v>
      </c>
      <c r="K112" s="31"/>
      <c r="L112" s="31">
        <f t="shared" si="25"/>
        <v>-200000</v>
      </c>
      <c r="M112" s="31">
        <f t="shared" si="26"/>
        <v>0</v>
      </c>
      <c r="N112" s="8"/>
      <c r="O112" s="81"/>
    </row>
    <row r="113" spans="1:15" s="14" customFormat="1" ht="90" customHeight="1" x14ac:dyDescent="0.45">
      <c r="A113" s="22"/>
      <c r="B113" s="8"/>
      <c r="C113" s="34"/>
      <c r="D113" s="27"/>
      <c r="E113" s="28" t="s">
        <v>496</v>
      </c>
      <c r="F113" s="8">
        <v>2020</v>
      </c>
      <c r="G113" s="30"/>
      <c r="H113" s="8"/>
      <c r="I113" s="31">
        <v>200000</v>
      </c>
      <c r="J113" s="31">
        <v>-200000</v>
      </c>
      <c r="K113" s="31"/>
      <c r="L113" s="31">
        <f t="shared" si="25"/>
        <v>-200000</v>
      </c>
      <c r="M113" s="31">
        <f t="shared" si="26"/>
        <v>0</v>
      </c>
      <c r="N113" s="8"/>
      <c r="O113" s="81"/>
    </row>
    <row r="114" spans="1:15" s="14" customFormat="1" ht="90" customHeight="1" x14ac:dyDescent="0.45">
      <c r="A114" s="22"/>
      <c r="B114" s="8"/>
      <c r="C114" s="34"/>
      <c r="D114" s="27"/>
      <c r="E114" s="28" t="s">
        <v>489</v>
      </c>
      <c r="F114" s="8">
        <v>2020</v>
      </c>
      <c r="G114" s="30"/>
      <c r="H114" s="8"/>
      <c r="I114" s="31">
        <v>600000</v>
      </c>
      <c r="J114" s="31">
        <v>-600000</v>
      </c>
      <c r="K114" s="31"/>
      <c r="L114" s="31">
        <f t="shared" si="25"/>
        <v>-600000</v>
      </c>
      <c r="M114" s="31">
        <f t="shared" si="26"/>
        <v>0</v>
      </c>
      <c r="N114" s="8"/>
      <c r="O114" s="81"/>
    </row>
    <row r="115" spans="1:15" s="14" customFormat="1" ht="104.15" customHeight="1" x14ac:dyDescent="0.45">
      <c r="A115" s="22"/>
      <c r="B115" s="8"/>
      <c r="C115" s="34"/>
      <c r="D115" s="27"/>
      <c r="E115" s="28" t="s">
        <v>281</v>
      </c>
      <c r="F115" s="8">
        <v>2020</v>
      </c>
      <c r="G115" s="30"/>
      <c r="H115" s="8"/>
      <c r="I115" s="31">
        <v>200000</v>
      </c>
      <c r="J115" s="31">
        <v>-200000</v>
      </c>
      <c r="K115" s="31"/>
      <c r="L115" s="31">
        <f t="shared" si="25"/>
        <v>-200000</v>
      </c>
      <c r="M115" s="31">
        <f t="shared" si="26"/>
        <v>0</v>
      </c>
      <c r="N115" s="8"/>
      <c r="O115" s="81"/>
    </row>
    <row r="116" spans="1:15" s="14" customFormat="1" ht="94" customHeight="1" x14ac:dyDescent="0.45">
      <c r="A116" s="22"/>
      <c r="B116" s="8"/>
      <c r="C116" s="34"/>
      <c r="D116" s="27"/>
      <c r="E116" s="28" t="s">
        <v>282</v>
      </c>
      <c r="F116" s="8">
        <v>2020</v>
      </c>
      <c r="G116" s="30"/>
      <c r="H116" s="8"/>
      <c r="I116" s="31">
        <v>137000</v>
      </c>
      <c r="J116" s="31">
        <v>-137000</v>
      </c>
      <c r="K116" s="31"/>
      <c r="L116" s="31">
        <f t="shared" si="25"/>
        <v>-137000</v>
      </c>
      <c r="M116" s="31">
        <f t="shared" si="26"/>
        <v>0</v>
      </c>
      <c r="N116" s="8"/>
      <c r="O116" s="81"/>
    </row>
    <row r="117" spans="1:15" s="14" customFormat="1" ht="99" customHeight="1" x14ac:dyDescent="0.45">
      <c r="A117" s="22"/>
      <c r="B117" s="8"/>
      <c r="C117" s="34"/>
      <c r="D117" s="27"/>
      <c r="E117" s="28" t="s">
        <v>229</v>
      </c>
      <c r="F117" s="8">
        <v>2020</v>
      </c>
      <c r="G117" s="30"/>
      <c r="H117" s="8"/>
      <c r="I117" s="31">
        <v>200000</v>
      </c>
      <c r="J117" s="31">
        <v>-200000</v>
      </c>
      <c r="K117" s="31"/>
      <c r="L117" s="31">
        <f t="shared" si="25"/>
        <v>-200000</v>
      </c>
      <c r="M117" s="31">
        <f t="shared" si="26"/>
        <v>0</v>
      </c>
      <c r="N117" s="8"/>
      <c r="O117" s="81"/>
    </row>
    <row r="118" spans="1:15" s="14" customFormat="1" ht="107.15" customHeight="1" x14ac:dyDescent="0.45">
      <c r="A118" s="22"/>
      <c r="B118" s="8"/>
      <c r="C118" s="34"/>
      <c r="D118" s="27"/>
      <c r="E118" s="28" t="s">
        <v>283</v>
      </c>
      <c r="F118" s="8">
        <v>2020</v>
      </c>
      <c r="G118" s="30"/>
      <c r="H118" s="8"/>
      <c r="I118" s="31">
        <v>200000</v>
      </c>
      <c r="J118" s="31">
        <v>-200000</v>
      </c>
      <c r="K118" s="31"/>
      <c r="L118" s="31">
        <f t="shared" si="25"/>
        <v>-200000</v>
      </c>
      <c r="M118" s="31">
        <f t="shared" si="26"/>
        <v>0</v>
      </c>
      <c r="N118" s="8"/>
      <c r="O118" s="81"/>
    </row>
    <row r="119" spans="1:15" s="14" customFormat="1" ht="126" x14ac:dyDescent="0.45">
      <c r="A119" s="22"/>
      <c r="B119" s="8"/>
      <c r="C119" s="34"/>
      <c r="D119" s="27"/>
      <c r="E119" s="28" t="s">
        <v>445</v>
      </c>
      <c r="F119" s="8">
        <v>2020</v>
      </c>
      <c r="G119" s="30"/>
      <c r="H119" s="8"/>
      <c r="I119" s="31">
        <v>167400</v>
      </c>
      <c r="J119" s="31">
        <v>-167400</v>
      </c>
      <c r="K119" s="31"/>
      <c r="L119" s="31">
        <f t="shared" si="25"/>
        <v>-167400</v>
      </c>
      <c r="M119" s="31">
        <f t="shared" si="26"/>
        <v>0</v>
      </c>
      <c r="N119" s="8"/>
      <c r="O119" s="81"/>
    </row>
    <row r="120" spans="1:15" s="14" customFormat="1" ht="110.15" customHeight="1" x14ac:dyDescent="0.45">
      <c r="A120" s="22"/>
      <c r="B120" s="8"/>
      <c r="C120" s="34"/>
      <c r="D120" s="27"/>
      <c r="E120" s="28" t="s">
        <v>446</v>
      </c>
      <c r="F120" s="8">
        <v>2020</v>
      </c>
      <c r="G120" s="30"/>
      <c r="H120" s="8"/>
      <c r="I120" s="31">
        <v>285000</v>
      </c>
      <c r="J120" s="31">
        <v>-285000</v>
      </c>
      <c r="K120" s="31"/>
      <c r="L120" s="31">
        <f t="shared" si="25"/>
        <v>-285000</v>
      </c>
      <c r="M120" s="31">
        <f t="shared" si="26"/>
        <v>0</v>
      </c>
      <c r="N120" s="8"/>
      <c r="O120" s="81"/>
    </row>
    <row r="121" spans="1:15" s="14" customFormat="1" ht="108" customHeight="1" x14ac:dyDescent="0.45">
      <c r="A121" s="22"/>
      <c r="B121" s="8"/>
      <c r="C121" s="34"/>
      <c r="D121" s="27"/>
      <c r="E121" s="28" t="s">
        <v>230</v>
      </c>
      <c r="F121" s="8">
        <v>2020</v>
      </c>
      <c r="G121" s="30"/>
      <c r="H121" s="8"/>
      <c r="I121" s="31">
        <v>150000</v>
      </c>
      <c r="J121" s="31">
        <v>-150000</v>
      </c>
      <c r="K121" s="31"/>
      <c r="L121" s="31">
        <f t="shared" si="25"/>
        <v>-150000</v>
      </c>
      <c r="M121" s="31">
        <f t="shared" si="26"/>
        <v>0</v>
      </c>
      <c r="N121" s="8"/>
      <c r="O121" s="81"/>
    </row>
    <row r="122" spans="1:15" s="14" customFormat="1" ht="90.65" customHeight="1" x14ac:dyDescent="0.45">
      <c r="A122" s="22"/>
      <c r="B122" s="8"/>
      <c r="C122" s="34"/>
      <c r="D122" s="27"/>
      <c r="E122" s="28" t="s">
        <v>231</v>
      </c>
      <c r="F122" s="8">
        <v>2020</v>
      </c>
      <c r="G122" s="30"/>
      <c r="H122" s="8"/>
      <c r="I122" s="31">
        <v>70000</v>
      </c>
      <c r="J122" s="31">
        <v>-70000</v>
      </c>
      <c r="K122" s="31"/>
      <c r="L122" s="31">
        <f t="shared" si="25"/>
        <v>-70000</v>
      </c>
      <c r="M122" s="31">
        <f t="shared" si="26"/>
        <v>0</v>
      </c>
      <c r="N122" s="8"/>
      <c r="O122" s="81"/>
    </row>
    <row r="123" spans="1:15" s="14" customFormat="1" ht="111" customHeight="1" x14ac:dyDescent="0.45">
      <c r="A123" s="22"/>
      <c r="B123" s="8"/>
      <c r="C123" s="34"/>
      <c r="D123" s="35"/>
      <c r="E123" s="28" t="s">
        <v>232</v>
      </c>
      <c r="F123" s="8">
        <v>2020</v>
      </c>
      <c r="G123" s="30"/>
      <c r="H123" s="8"/>
      <c r="I123" s="31">
        <v>130000</v>
      </c>
      <c r="J123" s="31">
        <v>-130000</v>
      </c>
      <c r="K123" s="31"/>
      <c r="L123" s="31">
        <f t="shared" si="25"/>
        <v>-130000</v>
      </c>
      <c r="M123" s="31">
        <f t="shared" si="26"/>
        <v>0</v>
      </c>
      <c r="N123" s="8"/>
      <c r="O123" s="81"/>
    </row>
    <row r="124" spans="1:15" s="14" customFormat="1" ht="155.5" customHeight="1" x14ac:dyDescent="0.45">
      <c r="A124" s="22"/>
      <c r="B124" s="8"/>
      <c r="C124" s="34"/>
      <c r="D124" s="7"/>
      <c r="E124" s="28" t="s">
        <v>485</v>
      </c>
      <c r="F124" s="8">
        <v>2020</v>
      </c>
      <c r="G124" s="30"/>
      <c r="H124" s="8"/>
      <c r="I124" s="31">
        <v>1241000</v>
      </c>
      <c r="J124" s="31">
        <v>-1241000</v>
      </c>
      <c r="K124" s="31"/>
      <c r="L124" s="31">
        <f t="shared" si="25"/>
        <v>-1241000</v>
      </c>
      <c r="M124" s="31">
        <f t="shared" si="26"/>
        <v>0</v>
      </c>
      <c r="N124" s="8"/>
      <c r="O124" s="81"/>
    </row>
    <row r="125" spans="1:15" s="14" customFormat="1" ht="127" customHeight="1" x14ac:dyDescent="0.45">
      <c r="A125" s="22"/>
      <c r="B125" s="8"/>
      <c r="C125" s="34"/>
      <c r="D125" s="7"/>
      <c r="E125" s="28" t="s">
        <v>486</v>
      </c>
      <c r="F125" s="8">
        <v>2020</v>
      </c>
      <c r="G125" s="30"/>
      <c r="H125" s="8"/>
      <c r="I125" s="31">
        <v>359000</v>
      </c>
      <c r="J125" s="31">
        <v>-359000</v>
      </c>
      <c r="K125" s="31"/>
      <c r="L125" s="31">
        <f t="shared" si="25"/>
        <v>-359000</v>
      </c>
      <c r="M125" s="31">
        <f t="shared" si="26"/>
        <v>0</v>
      </c>
      <c r="N125" s="8"/>
      <c r="O125" s="81"/>
    </row>
    <row r="126" spans="1:15" s="14" customFormat="1" ht="90" customHeight="1" x14ac:dyDescent="0.45">
      <c r="A126" s="22"/>
      <c r="B126" s="8"/>
      <c r="C126" s="34"/>
      <c r="D126" s="27"/>
      <c r="E126" s="28" t="s">
        <v>233</v>
      </c>
      <c r="F126" s="8">
        <v>2020</v>
      </c>
      <c r="G126" s="30"/>
      <c r="H126" s="8"/>
      <c r="I126" s="31">
        <v>200000</v>
      </c>
      <c r="J126" s="31">
        <v>-200000</v>
      </c>
      <c r="K126" s="31"/>
      <c r="L126" s="31">
        <f t="shared" si="25"/>
        <v>-200000</v>
      </c>
      <c r="M126" s="31">
        <f t="shared" si="26"/>
        <v>0</v>
      </c>
      <c r="N126" s="8"/>
      <c r="O126" s="81"/>
    </row>
    <row r="127" spans="1:15" s="14" customFormat="1" ht="137.5" customHeight="1" x14ac:dyDescent="0.45">
      <c r="A127" s="22"/>
      <c r="B127" s="8"/>
      <c r="C127" s="34"/>
      <c r="D127" s="7"/>
      <c r="E127" s="28" t="s">
        <v>284</v>
      </c>
      <c r="F127" s="8">
        <v>2020</v>
      </c>
      <c r="G127" s="30"/>
      <c r="H127" s="8"/>
      <c r="I127" s="31">
        <v>915000</v>
      </c>
      <c r="J127" s="31">
        <v>-915000</v>
      </c>
      <c r="K127" s="31"/>
      <c r="L127" s="31">
        <f t="shared" si="25"/>
        <v>-915000</v>
      </c>
      <c r="M127" s="31">
        <f t="shared" si="26"/>
        <v>0</v>
      </c>
      <c r="N127" s="8"/>
      <c r="O127" s="81"/>
    </row>
    <row r="128" spans="1:15" s="14" customFormat="1" ht="91" customHeight="1" x14ac:dyDescent="0.45">
      <c r="A128" s="22"/>
      <c r="B128" s="8"/>
      <c r="C128" s="34"/>
      <c r="D128" s="27"/>
      <c r="E128" s="28" t="s">
        <v>234</v>
      </c>
      <c r="F128" s="8">
        <v>2020</v>
      </c>
      <c r="G128" s="30"/>
      <c r="H128" s="8"/>
      <c r="I128" s="31">
        <v>200000</v>
      </c>
      <c r="J128" s="31">
        <v>-200000</v>
      </c>
      <c r="K128" s="31"/>
      <c r="L128" s="31">
        <f t="shared" si="25"/>
        <v>-200000</v>
      </c>
      <c r="M128" s="31">
        <f t="shared" si="26"/>
        <v>0</v>
      </c>
      <c r="N128" s="8"/>
      <c r="O128" s="81"/>
    </row>
    <row r="129" spans="1:15" s="14" customFormat="1" ht="120.65" customHeight="1" x14ac:dyDescent="0.45">
      <c r="A129" s="22"/>
      <c r="B129" s="8"/>
      <c r="C129" s="34"/>
      <c r="D129" s="7"/>
      <c r="E129" s="28" t="s">
        <v>316</v>
      </c>
      <c r="F129" s="8" t="s">
        <v>227</v>
      </c>
      <c r="G129" s="30">
        <v>638165</v>
      </c>
      <c r="H129" s="8">
        <v>7.8</v>
      </c>
      <c r="I129" s="31">
        <v>588165</v>
      </c>
      <c r="J129" s="31">
        <v>-588165</v>
      </c>
      <c r="K129" s="31"/>
      <c r="L129" s="31">
        <f t="shared" si="25"/>
        <v>-588165</v>
      </c>
      <c r="M129" s="31">
        <f t="shared" si="26"/>
        <v>0</v>
      </c>
      <c r="N129" s="8">
        <v>100</v>
      </c>
      <c r="O129" s="81"/>
    </row>
    <row r="130" spans="1:15" s="14" customFormat="1" ht="98.15" customHeight="1" x14ac:dyDescent="0.45">
      <c r="A130" s="22"/>
      <c r="B130" s="8"/>
      <c r="C130" s="34"/>
      <c r="D130" s="27"/>
      <c r="E130" s="28" t="s">
        <v>285</v>
      </c>
      <c r="F130" s="8">
        <v>2020</v>
      </c>
      <c r="G130" s="30"/>
      <c r="H130" s="8"/>
      <c r="I130" s="31">
        <v>200000</v>
      </c>
      <c r="J130" s="31">
        <v>-200000</v>
      </c>
      <c r="K130" s="31"/>
      <c r="L130" s="31">
        <f t="shared" si="25"/>
        <v>-200000</v>
      </c>
      <c r="M130" s="31">
        <f t="shared" si="26"/>
        <v>0</v>
      </c>
      <c r="N130" s="8"/>
      <c r="O130" s="81"/>
    </row>
    <row r="131" spans="1:15" s="14" customFormat="1" ht="91" customHeight="1" x14ac:dyDescent="0.45">
      <c r="A131" s="22"/>
      <c r="B131" s="8"/>
      <c r="C131" s="34"/>
      <c r="D131" s="27"/>
      <c r="E131" s="28" t="s">
        <v>286</v>
      </c>
      <c r="F131" s="8">
        <v>2020</v>
      </c>
      <c r="G131" s="30"/>
      <c r="H131" s="8"/>
      <c r="I131" s="31">
        <v>200000</v>
      </c>
      <c r="J131" s="31">
        <v>-200000</v>
      </c>
      <c r="K131" s="31"/>
      <c r="L131" s="31">
        <f t="shared" si="25"/>
        <v>-200000</v>
      </c>
      <c r="M131" s="31">
        <f t="shared" si="26"/>
        <v>0</v>
      </c>
      <c r="N131" s="8"/>
      <c r="O131" s="81"/>
    </row>
    <row r="132" spans="1:15" s="14" customFormat="1" ht="76" customHeight="1" x14ac:dyDescent="0.45">
      <c r="A132" s="22"/>
      <c r="B132" s="8"/>
      <c r="C132" s="34"/>
      <c r="D132" s="27"/>
      <c r="E132" s="28" t="s">
        <v>576</v>
      </c>
      <c r="F132" s="8">
        <v>2020</v>
      </c>
      <c r="G132" s="30"/>
      <c r="H132" s="8"/>
      <c r="I132" s="31">
        <v>366000</v>
      </c>
      <c r="J132" s="31">
        <v>-366000</v>
      </c>
      <c r="K132" s="31"/>
      <c r="L132" s="31">
        <f t="shared" si="25"/>
        <v>-366000</v>
      </c>
      <c r="M132" s="31">
        <f t="shared" si="26"/>
        <v>0</v>
      </c>
      <c r="N132" s="8"/>
      <c r="O132" s="81"/>
    </row>
    <row r="133" spans="1:15" s="14" customFormat="1" ht="140.15" customHeight="1" x14ac:dyDescent="0.45">
      <c r="A133" s="22"/>
      <c r="B133" s="8"/>
      <c r="C133" s="34"/>
      <c r="D133" s="7"/>
      <c r="E133" s="28" t="s">
        <v>488</v>
      </c>
      <c r="F133" s="8">
        <v>2020</v>
      </c>
      <c r="G133" s="30"/>
      <c r="H133" s="8"/>
      <c r="I133" s="31">
        <v>100214</v>
      </c>
      <c r="J133" s="31">
        <v>-100214</v>
      </c>
      <c r="K133" s="31"/>
      <c r="L133" s="31">
        <f t="shared" si="25"/>
        <v>-100214</v>
      </c>
      <c r="M133" s="31">
        <f t="shared" si="26"/>
        <v>0</v>
      </c>
      <c r="N133" s="8"/>
      <c r="O133" s="81"/>
    </row>
    <row r="134" spans="1:15" s="14" customFormat="1" ht="80.150000000000006" customHeight="1" x14ac:dyDescent="0.45">
      <c r="A134" s="22"/>
      <c r="B134" s="8"/>
      <c r="C134" s="34"/>
      <c r="D134" s="27"/>
      <c r="E134" s="28" t="s">
        <v>511</v>
      </c>
      <c r="F134" s="8">
        <v>2020</v>
      </c>
      <c r="G134" s="30"/>
      <c r="H134" s="8"/>
      <c r="I134" s="31">
        <v>700000</v>
      </c>
      <c r="J134" s="31">
        <v>-700000</v>
      </c>
      <c r="K134" s="31"/>
      <c r="L134" s="31">
        <f t="shared" si="25"/>
        <v>-700000</v>
      </c>
      <c r="M134" s="31">
        <f t="shared" si="26"/>
        <v>0</v>
      </c>
      <c r="N134" s="8"/>
      <c r="O134" s="81"/>
    </row>
    <row r="135" spans="1:15" s="14" customFormat="1" ht="87" customHeight="1" x14ac:dyDescent="0.45">
      <c r="A135" s="22"/>
      <c r="B135" s="8"/>
      <c r="C135" s="34"/>
      <c r="D135" s="7"/>
      <c r="E135" s="28" t="s">
        <v>317</v>
      </c>
      <c r="F135" s="8" t="s">
        <v>49</v>
      </c>
      <c r="G135" s="30">
        <v>3799984</v>
      </c>
      <c r="H135" s="50">
        <v>50</v>
      </c>
      <c r="I135" s="31">
        <v>1899400</v>
      </c>
      <c r="J135" s="31">
        <v>-1899400</v>
      </c>
      <c r="K135" s="31"/>
      <c r="L135" s="31">
        <f t="shared" si="25"/>
        <v>-1899400</v>
      </c>
      <c r="M135" s="31">
        <f t="shared" si="26"/>
        <v>0</v>
      </c>
      <c r="N135" s="8">
        <v>100</v>
      </c>
      <c r="O135" s="81"/>
    </row>
    <row r="136" spans="1:15" s="14" customFormat="1" ht="137.15" customHeight="1" x14ac:dyDescent="0.45">
      <c r="A136" s="22"/>
      <c r="B136" s="8"/>
      <c r="C136" s="34"/>
      <c r="D136" s="7"/>
      <c r="E136" s="28" t="s">
        <v>487</v>
      </c>
      <c r="F136" s="8">
        <v>2020</v>
      </c>
      <c r="G136" s="30"/>
      <c r="H136" s="8"/>
      <c r="I136" s="31">
        <v>100000</v>
      </c>
      <c r="J136" s="31">
        <v>-100000</v>
      </c>
      <c r="K136" s="31"/>
      <c r="L136" s="31">
        <f t="shared" si="25"/>
        <v>-100000</v>
      </c>
      <c r="M136" s="31">
        <f t="shared" si="26"/>
        <v>0</v>
      </c>
      <c r="N136" s="8"/>
      <c r="O136" s="81"/>
    </row>
    <row r="137" spans="1:15" s="14" customFormat="1" ht="89.15" customHeight="1" x14ac:dyDescent="0.45">
      <c r="A137" s="22"/>
      <c r="B137" s="8"/>
      <c r="C137" s="34"/>
      <c r="D137" s="27"/>
      <c r="E137" s="28" t="s">
        <v>235</v>
      </c>
      <c r="F137" s="8">
        <v>2020</v>
      </c>
      <c r="G137" s="30"/>
      <c r="H137" s="8"/>
      <c r="I137" s="31">
        <v>100000</v>
      </c>
      <c r="J137" s="31">
        <v>-100000</v>
      </c>
      <c r="K137" s="31"/>
      <c r="L137" s="31">
        <f t="shared" si="25"/>
        <v>-100000</v>
      </c>
      <c r="M137" s="31">
        <f t="shared" si="26"/>
        <v>0</v>
      </c>
      <c r="N137" s="8"/>
      <c r="O137" s="81"/>
    </row>
    <row r="138" spans="1:15" s="14" customFormat="1" ht="89.15" customHeight="1" x14ac:dyDescent="0.45">
      <c r="A138" s="22"/>
      <c r="B138" s="8"/>
      <c r="C138" s="34"/>
      <c r="D138" s="27"/>
      <c r="E138" s="28" t="s">
        <v>318</v>
      </c>
      <c r="F138" s="8">
        <v>2020</v>
      </c>
      <c r="G138" s="30"/>
      <c r="H138" s="8"/>
      <c r="I138" s="31">
        <v>200000</v>
      </c>
      <c r="J138" s="31">
        <v>-200000</v>
      </c>
      <c r="K138" s="31"/>
      <c r="L138" s="31">
        <f t="shared" si="25"/>
        <v>-200000</v>
      </c>
      <c r="M138" s="31">
        <f t="shared" si="26"/>
        <v>0</v>
      </c>
      <c r="N138" s="8"/>
      <c r="O138" s="81"/>
    </row>
    <row r="139" spans="1:15" s="14" customFormat="1" ht="100.5" customHeight="1" x14ac:dyDescent="0.45">
      <c r="A139" s="22"/>
      <c r="B139" s="8"/>
      <c r="C139" s="34"/>
      <c r="D139" s="27"/>
      <c r="E139" s="28" t="s">
        <v>447</v>
      </c>
      <c r="F139" s="8">
        <v>2020</v>
      </c>
      <c r="G139" s="30"/>
      <c r="H139" s="8"/>
      <c r="I139" s="31">
        <v>323000</v>
      </c>
      <c r="J139" s="31">
        <v>-323000</v>
      </c>
      <c r="K139" s="31"/>
      <c r="L139" s="31">
        <f>K139+J139</f>
        <v>-323000</v>
      </c>
      <c r="M139" s="31">
        <f>I139+L139</f>
        <v>0</v>
      </c>
      <c r="N139" s="8"/>
      <c r="O139" s="81"/>
    </row>
    <row r="140" spans="1:15" s="14" customFormat="1" ht="112.5" customHeight="1" x14ac:dyDescent="0.45">
      <c r="A140" s="22"/>
      <c r="B140" s="8"/>
      <c r="C140" s="34"/>
      <c r="D140" s="7"/>
      <c r="E140" s="28" t="s">
        <v>319</v>
      </c>
      <c r="F140" s="8" t="s">
        <v>236</v>
      </c>
      <c r="G140" s="30">
        <v>749640</v>
      </c>
      <c r="H140" s="8">
        <v>5.3</v>
      </c>
      <c r="I140" s="31">
        <v>710250</v>
      </c>
      <c r="J140" s="31">
        <v>-710250</v>
      </c>
      <c r="K140" s="31"/>
      <c r="L140" s="31">
        <f t="shared" si="25"/>
        <v>-710250</v>
      </c>
      <c r="M140" s="31">
        <f t="shared" si="26"/>
        <v>0</v>
      </c>
      <c r="N140" s="8">
        <v>100</v>
      </c>
      <c r="O140" s="81"/>
    </row>
    <row r="141" spans="1:15" s="14" customFormat="1" ht="86.15" customHeight="1" x14ac:dyDescent="0.45">
      <c r="A141" s="22"/>
      <c r="B141" s="8"/>
      <c r="C141" s="34"/>
      <c r="D141" s="27"/>
      <c r="E141" s="28" t="s">
        <v>589</v>
      </c>
      <c r="F141" s="8">
        <v>2020</v>
      </c>
      <c r="G141" s="30"/>
      <c r="H141" s="8"/>
      <c r="I141" s="31">
        <v>200000</v>
      </c>
      <c r="J141" s="31">
        <v>-200000</v>
      </c>
      <c r="K141" s="31"/>
      <c r="L141" s="31">
        <f t="shared" si="25"/>
        <v>-200000</v>
      </c>
      <c r="M141" s="31">
        <f t="shared" si="26"/>
        <v>0</v>
      </c>
      <c r="N141" s="8"/>
      <c r="O141" s="81"/>
    </row>
    <row r="142" spans="1:15" s="14" customFormat="1" ht="88" customHeight="1" x14ac:dyDescent="0.45">
      <c r="A142" s="22"/>
      <c r="B142" s="8"/>
      <c r="C142" s="34"/>
      <c r="D142" s="7"/>
      <c r="E142" s="28" t="s">
        <v>237</v>
      </c>
      <c r="F142" s="8">
        <v>2020</v>
      </c>
      <c r="G142" s="30"/>
      <c r="H142" s="8"/>
      <c r="I142" s="31">
        <f>409000-209000</f>
        <v>200000</v>
      </c>
      <c r="J142" s="31">
        <v>-200000</v>
      </c>
      <c r="K142" s="31"/>
      <c r="L142" s="31">
        <f t="shared" si="25"/>
        <v>-200000</v>
      </c>
      <c r="M142" s="31">
        <f t="shared" si="26"/>
        <v>0</v>
      </c>
      <c r="N142" s="8"/>
      <c r="O142" s="81"/>
    </row>
    <row r="143" spans="1:15" s="14" customFormat="1" ht="99" customHeight="1" x14ac:dyDescent="0.45">
      <c r="A143" s="22"/>
      <c r="B143" s="8"/>
      <c r="C143" s="34"/>
      <c r="D143" s="7"/>
      <c r="E143" s="28" t="s">
        <v>510</v>
      </c>
      <c r="F143" s="8">
        <v>2020</v>
      </c>
      <c r="G143" s="30"/>
      <c r="H143" s="8"/>
      <c r="I143" s="31">
        <v>209000</v>
      </c>
      <c r="J143" s="31">
        <v>-209000</v>
      </c>
      <c r="K143" s="31"/>
      <c r="L143" s="31">
        <f t="shared" si="25"/>
        <v>-209000</v>
      </c>
      <c r="M143" s="31">
        <f t="shared" si="26"/>
        <v>0</v>
      </c>
      <c r="N143" s="8"/>
      <c r="O143" s="81"/>
    </row>
    <row r="144" spans="1:15" s="14" customFormat="1" ht="97" customHeight="1" x14ac:dyDescent="0.45">
      <c r="A144" s="22"/>
      <c r="B144" s="8"/>
      <c r="C144" s="34"/>
      <c r="D144" s="27"/>
      <c r="E144" s="28" t="s">
        <v>347</v>
      </c>
      <c r="F144" s="8">
        <v>2020</v>
      </c>
      <c r="G144" s="30"/>
      <c r="H144" s="8"/>
      <c r="I144" s="31">
        <v>200000</v>
      </c>
      <c r="J144" s="31">
        <v>-200000</v>
      </c>
      <c r="K144" s="31"/>
      <c r="L144" s="31">
        <f t="shared" si="25"/>
        <v>-200000</v>
      </c>
      <c r="M144" s="31">
        <f t="shared" si="26"/>
        <v>0</v>
      </c>
      <c r="N144" s="8"/>
      <c r="O144" s="81"/>
    </row>
    <row r="145" spans="1:15" s="14" customFormat="1" ht="72" x14ac:dyDescent="0.45">
      <c r="A145" s="22"/>
      <c r="B145" s="8"/>
      <c r="C145" s="34"/>
      <c r="D145" s="27"/>
      <c r="E145" s="28" t="s">
        <v>503</v>
      </c>
      <c r="F145" s="8">
        <v>2020</v>
      </c>
      <c r="G145" s="30"/>
      <c r="H145" s="8"/>
      <c r="I145" s="31">
        <v>950000</v>
      </c>
      <c r="J145" s="31">
        <v>-950000</v>
      </c>
      <c r="K145" s="31"/>
      <c r="L145" s="31">
        <f t="shared" si="25"/>
        <v>-950000</v>
      </c>
      <c r="M145" s="31">
        <f t="shared" si="26"/>
        <v>0</v>
      </c>
      <c r="N145" s="8"/>
      <c r="O145" s="81"/>
    </row>
    <row r="146" spans="1:15" s="14" customFormat="1" ht="310" customHeight="1" x14ac:dyDescent="0.45">
      <c r="A146" s="22"/>
      <c r="B146" s="8"/>
      <c r="C146" s="34"/>
      <c r="D146" s="7"/>
      <c r="E146" s="28" t="s">
        <v>495</v>
      </c>
      <c r="F146" s="8"/>
      <c r="G146" s="30"/>
      <c r="H146" s="8"/>
      <c r="I146" s="31">
        <v>700000</v>
      </c>
      <c r="J146" s="31">
        <v>-700000</v>
      </c>
      <c r="K146" s="31"/>
      <c r="L146" s="31">
        <f t="shared" si="25"/>
        <v>-700000</v>
      </c>
      <c r="M146" s="31">
        <f t="shared" si="26"/>
        <v>0</v>
      </c>
      <c r="N146" s="8"/>
      <c r="O146" s="81"/>
    </row>
    <row r="147" spans="1:15" s="14" customFormat="1" ht="213" customHeight="1" x14ac:dyDescent="0.45">
      <c r="A147" s="22"/>
      <c r="B147" s="8"/>
      <c r="C147" s="34"/>
      <c r="D147" s="7"/>
      <c r="E147" s="28" t="s">
        <v>522</v>
      </c>
      <c r="F147" s="8">
        <v>2020</v>
      </c>
      <c r="G147" s="30"/>
      <c r="H147" s="8"/>
      <c r="I147" s="31">
        <v>435000</v>
      </c>
      <c r="J147" s="31">
        <v>-435000</v>
      </c>
      <c r="K147" s="31"/>
      <c r="L147" s="31">
        <f t="shared" si="25"/>
        <v>-435000</v>
      </c>
      <c r="M147" s="31">
        <f t="shared" si="26"/>
        <v>0</v>
      </c>
      <c r="N147" s="8"/>
      <c r="O147" s="81"/>
    </row>
    <row r="148" spans="1:15" s="14" customFormat="1" ht="96" customHeight="1" x14ac:dyDescent="0.45">
      <c r="A148" s="22"/>
      <c r="B148" s="8"/>
      <c r="C148" s="34"/>
      <c r="D148" s="27"/>
      <c r="E148" s="28" t="s">
        <v>238</v>
      </c>
      <c r="F148" s="8">
        <v>2020</v>
      </c>
      <c r="G148" s="30"/>
      <c r="H148" s="8"/>
      <c r="I148" s="31">
        <v>200000</v>
      </c>
      <c r="J148" s="31">
        <v>-200000</v>
      </c>
      <c r="K148" s="31"/>
      <c r="L148" s="31">
        <f t="shared" si="25"/>
        <v>-200000</v>
      </c>
      <c r="M148" s="31">
        <f t="shared" si="26"/>
        <v>0</v>
      </c>
      <c r="N148" s="8"/>
      <c r="O148" s="81"/>
    </row>
    <row r="149" spans="1:15" s="14" customFormat="1" ht="116.5" customHeight="1" x14ac:dyDescent="0.45">
      <c r="A149" s="22"/>
      <c r="B149" s="8"/>
      <c r="C149" s="34"/>
      <c r="D149" s="27"/>
      <c r="E149" s="28" t="s">
        <v>586</v>
      </c>
      <c r="F149" s="8">
        <v>2020</v>
      </c>
      <c r="G149" s="30"/>
      <c r="H149" s="8"/>
      <c r="I149" s="31">
        <f>200000+90000</f>
        <v>290000</v>
      </c>
      <c r="J149" s="31">
        <v>-290000</v>
      </c>
      <c r="K149" s="31"/>
      <c r="L149" s="31">
        <f t="shared" si="25"/>
        <v>-290000</v>
      </c>
      <c r="M149" s="31">
        <f t="shared" si="26"/>
        <v>0</v>
      </c>
      <c r="N149" s="8"/>
      <c r="O149" s="81"/>
    </row>
    <row r="150" spans="1:15" s="14" customFormat="1" ht="121.5" customHeight="1" x14ac:dyDescent="0.45">
      <c r="A150" s="22"/>
      <c r="B150" s="8"/>
      <c r="C150" s="34"/>
      <c r="D150" s="27"/>
      <c r="E150" s="28" t="s">
        <v>320</v>
      </c>
      <c r="F150" s="8">
        <v>2020</v>
      </c>
      <c r="G150" s="30"/>
      <c r="H150" s="8"/>
      <c r="I150" s="31">
        <v>200000</v>
      </c>
      <c r="J150" s="31">
        <v>-200000</v>
      </c>
      <c r="K150" s="31"/>
      <c r="L150" s="31">
        <f t="shared" si="25"/>
        <v>-200000</v>
      </c>
      <c r="M150" s="31">
        <f t="shared" si="26"/>
        <v>0</v>
      </c>
      <c r="N150" s="8"/>
      <c r="O150" s="81"/>
    </row>
    <row r="151" spans="1:15" s="14" customFormat="1" ht="126" x14ac:dyDescent="0.45">
      <c r="A151" s="22"/>
      <c r="B151" s="8"/>
      <c r="C151" s="34"/>
      <c r="D151" s="27"/>
      <c r="E151" s="28" t="s">
        <v>287</v>
      </c>
      <c r="F151" s="8">
        <v>2020</v>
      </c>
      <c r="G151" s="30"/>
      <c r="H151" s="8"/>
      <c r="I151" s="31">
        <v>200000</v>
      </c>
      <c r="J151" s="31">
        <v>-200000</v>
      </c>
      <c r="K151" s="31"/>
      <c r="L151" s="31">
        <f t="shared" si="25"/>
        <v>-200000</v>
      </c>
      <c r="M151" s="31">
        <f t="shared" si="26"/>
        <v>0</v>
      </c>
      <c r="N151" s="8"/>
      <c r="O151" s="81"/>
    </row>
    <row r="152" spans="1:15" s="14" customFormat="1" ht="137.15" customHeight="1" x14ac:dyDescent="0.45">
      <c r="A152" s="22"/>
      <c r="B152" s="8"/>
      <c r="C152" s="34"/>
      <c r="D152" s="27"/>
      <c r="E152" s="28" t="s">
        <v>321</v>
      </c>
      <c r="F152" s="8">
        <v>2020</v>
      </c>
      <c r="G152" s="30"/>
      <c r="H152" s="8"/>
      <c r="I152" s="31">
        <v>200000</v>
      </c>
      <c r="J152" s="31">
        <v>-200000</v>
      </c>
      <c r="K152" s="31"/>
      <c r="L152" s="31">
        <f t="shared" si="25"/>
        <v>-200000</v>
      </c>
      <c r="M152" s="31">
        <f t="shared" si="26"/>
        <v>0</v>
      </c>
      <c r="N152" s="8"/>
      <c r="O152" s="81"/>
    </row>
    <row r="153" spans="1:15" s="14" customFormat="1" ht="121.5" customHeight="1" x14ac:dyDescent="0.45">
      <c r="A153" s="22"/>
      <c r="B153" s="8"/>
      <c r="C153" s="34"/>
      <c r="D153" s="27"/>
      <c r="E153" s="28" t="s">
        <v>322</v>
      </c>
      <c r="F153" s="8">
        <v>2020</v>
      </c>
      <c r="G153" s="30"/>
      <c r="H153" s="8"/>
      <c r="I153" s="31">
        <v>150000</v>
      </c>
      <c r="J153" s="31">
        <v>-150000</v>
      </c>
      <c r="K153" s="31"/>
      <c r="L153" s="31">
        <f t="shared" si="25"/>
        <v>-150000</v>
      </c>
      <c r="M153" s="31">
        <f t="shared" si="26"/>
        <v>0</v>
      </c>
      <c r="N153" s="8"/>
      <c r="O153" s="81"/>
    </row>
    <row r="154" spans="1:15" s="14" customFormat="1" ht="105" customHeight="1" x14ac:dyDescent="0.45">
      <c r="A154" s="22"/>
      <c r="B154" s="8"/>
      <c r="C154" s="34"/>
      <c r="D154" s="27"/>
      <c r="E154" s="28" t="s">
        <v>288</v>
      </c>
      <c r="F154" s="8">
        <v>2020</v>
      </c>
      <c r="G154" s="30"/>
      <c r="H154" s="8"/>
      <c r="I154" s="31">
        <v>200000</v>
      </c>
      <c r="J154" s="31">
        <v>-200000</v>
      </c>
      <c r="K154" s="31"/>
      <c r="L154" s="31">
        <f t="shared" si="25"/>
        <v>-200000</v>
      </c>
      <c r="M154" s="31">
        <f t="shared" si="26"/>
        <v>0</v>
      </c>
      <c r="N154" s="8"/>
      <c r="O154" s="81"/>
    </row>
    <row r="155" spans="1:15" s="18" customFormat="1" ht="123" customHeight="1" x14ac:dyDescent="0.45">
      <c r="A155" s="15" t="s">
        <v>110</v>
      </c>
      <c r="B155" s="7">
        <v>1030</v>
      </c>
      <c r="C155" s="17" t="s">
        <v>107</v>
      </c>
      <c r="D155" s="9" t="s">
        <v>662</v>
      </c>
      <c r="E155" s="21"/>
      <c r="F155" s="7"/>
      <c r="G155" s="10"/>
      <c r="H155" s="7"/>
      <c r="I155" s="10">
        <f>I157+I158</f>
        <v>213403</v>
      </c>
      <c r="J155" s="10">
        <f>J157+J158</f>
        <v>-161076</v>
      </c>
      <c r="K155" s="10">
        <f>K157+K158</f>
        <v>0</v>
      </c>
      <c r="L155" s="10">
        <f>L157+L158</f>
        <v>-161076</v>
      </c>
      <c r="M155" s="10">
        <f>M157+M158</f>
        <v>52327</v>
      </c>
      <c r="N155" s="7"/>
      <c r="O155" s="81"/>
    </row>
    <row r="156" spans="1:15" s="18" customFormat="1" ht="110" customHeight="1" x14ac:dyDescent="0.45">
      <c r="A156" s="15"/>
      <c r="B156" s="7"/>
      <c r="C156" s="17"/>
      <c r="D156" s="125" t="s">
        <v>655</v>
      </c>
      <c r="E156" s="21"/>
      <c r="F156" s="7"/>
      <c r="G156" s="10"/>
      <c r="H156" s="7"/>
      <c r="I156" s="89">
        <v>21229</v>
      </c>
      <c r="J156" s="89"/>
      <c r="K156" s="89"/>
      <c r="L156" s="89">
        <f>K156+J156</f>
        <v>0</v>
      </c>
      <c r="M156" s="89">
        <f>L156+I156</f>
        <v>21229</v>
      </c>
      <c r="N156" s="7"/>
      <c r="O156" s="81"/>
    </row>
    <row r="157" spans="1:15" s="18" customFormat="1" ht="49" customHeight="1" x14ac:dyDescent="0.45">
      <c r="A157" s="15"/>
      <c r="B157" s="7"/>
      <c r="C157" s="17"/>
      <c r="D157" s="9"/>
      <c r="E157" s="21" t="s">
        <v>176</v>
      </c>
      <c r="F157" s="7"/>
      <c r="G157" s="10"/>
      <c r="H157" s="7"/>
      <c r="I157" s="13">
        <f>22000+41403</f>
        <v>63403</v>
      </c>
      <c r="J157" s="13">
        <v>-11076</v>
      </c>
      <c r="K157" s="13"/>
      <c r="L157" s="13">
        <f>K157+J157</f>
        <v>-11076</v>
      </c>
      <c r="M157" s="13">
        <f>I157+L157</f>
        <v>52327</v>
      </c>
      <c r="N157" s="7"/>
      <c r="O157" s="81"/>
    </row>
    <row r="158" spans="1:15" s="18" customFormat="1" ht="46" customHeight="1" x14ac:dyDescent="0.45">
      <c r="A158" s="15"/>
      <c r="B158" s="7"/>
      <c r="C158" s="17"/>
      <c r="D158" s="9"/>
      <c r="E158" s="21" t="s">
        <v>175</v>
      </c>
      <c r="F158" s="7"/>
      <c r="G158" s="10"/>
      <c r="H158" s="7"/>
      <c r="I158" s="13">
        <f>I159</f>
        <v>150000</v>
      </c>
      <c r="J158" s="13">
        <f t="shared" ref="J158:M158" si="27">J159</f>
        <v>-150000</v>
      </c>
      <c r="K158" s="13">
        <f t="shared" si="27"/>
        <v>0</v>
      </c>
      <c r="L158" s="13">
        <f t="shared" si="27"/>
        <v>-150000</v>
      </c>
      <c r="M158" s="13">
        <f t="shared" si="27"/>
        <v>0</v>
      </c>
      <c r="N158" s="7"/>
      <c r="O158" s="81"/>
    </row>
    <row r="159" spans="1:15" s="14" customFormat="1" ht="87" customHeight="1" x14ac:dyDescent="0.45">
      <c r="A159" s="33"/>
      <c r="B159" s="8"/>
      <c r="C159" s="34"/>
      <c r="D159" s="35"/>
      <c r="E159" s="28" t="s">
        <v>239</v>
      </c>
      <c r="F159" s="8">
        <v>2020</v>
      </c>
      <c r="G159" s="8"/>
      <c r="H159" s="8"/>
      <c r="I159" s="31">
        <v>150000</v>
      </c>
      <c r="J159" s="31">
        <v>-150000</v>
      </c>
      <c r="K159" s="37"/>
      <c r="L159" s="31">
        <f t="shared" ref="L159" si="28">K159+J159</f>
        <v>-150000</v>
      </c>
      <c r="M159" s="31">
        <f t="shared" ref="M159" si="29">I159+L159</f>
        <v>0</v>
      </c>
      <c r="N159" s="7"/>
      <c r="O159" s="81"/>
    </row>
    <row r="160" spans="1:15" s="18" customFormat="1" ht="82" customHeight="1" x14ac:dyDescent="0.45">
      <c r="A160" s="15" t="s">
        <v>111</v>
      </c>
      <c r="B160" s="7">
        <v>1090</v>
      </c>
      <c r="C160" s="17" t="s">
        <v>112</v>
      </c>
      <c r="D160" s="9" t="s">
        <v>113</v>
      </c>
      <c r="E160" s="9"/>
      <c r="F160" s="7"/>
      <c r="G160" s="10"/>
      <c r="H160" s="7"/>
      <c r="I160" s="10">
        <f>I162+I161</f>
        <v>300000</v>
      </c>
      <c r="J160" s="10">
        <f t="shared" ref="J160:M160" si="30">J162+J161</f>
        <v>-285000</v>
      </c>
      <c r="K160" s="10">
        <f t="shared" si="30"/>
        <v>0</v>
      </c>
      <c r="L160" s="10">
        <f t="shared" si="30"/>
        <v>-285000</v>
      </c>
      <c r="M160" s="10">
        <f t="shared" si="30"/>
        <v>15000</v>
      </c>
      <c r="N160" s="7"/>
      <c r="O160" s="81"/>
    </row>
    <row r="161" spans="1:15" s="18" customFormat="1" ht="82" customHeight="1" x14ac:dyDescent="0.45">
      <c r="A161" s="15"/>
      <c r="B161" s="7"/>
      <c r="C161" s="17"/>
      <c r="D161" s="9"/>
      <c r="E161" s="21" t="s">
        <v>176</v>
      </c>
      <c r="F161" s="7"/>
      <c r="G161" s="10"/>
      <c r="H161" s="7"/>
      <c r="I161" s="13"/>
      <c r="J161" s="13">
        <v>15000</v>
      </c>
      <c r="K161" s="13"/>
      <c r="L161" s="13">
        <f>K161+J161</f>
        <v>15000</v>
      </c>
      <c r="M161" s="13">
        <f>I161+L161</f>
        <v>15000</v>
      </c>
      <c r="N161" s="7"/>
      <c r="O161" s="81"/>
    </row>
    <row r="162" spans="1:15" s="18" customFormat="1" ht="28.5" customHeight="1" x14ac:dyDescent="0.45">
      <c r="A162" s="15"/>
      <c r="B162" s="7"/>
      <c r="C162" s="17"/>
      <c r="D162" s="9"/>
      <c r="E162" s="21" t="s">
        <v>175</v>
      </c>
      <c r="F162" s="7"/>
      <c r="G162" s="10"/>
      <c r="H162" s="7"/>
      <c r="I162" s="13">
        <f>I163+I164+I165</f>
        <v>300000</v>
      </c>
      <c r="J162" s="13">
        <f t="shared" ref="J162:M162" si="31">J163+J164+J165</f>
        <v>-300000</v>
      </c>
      <c r="K162" s="13">
        <f>K163+K164+K165</f>
        <v>0</v>
      </c>
      <c r="L162" s="13">
        <f>L163+L164+L165</f>
        <v>-300000</v>
      </c>
      <c r="M162" s="13">
        <f t="shared" si="31"/>
        <v>0</v>
      </c>
      <c r="N162" s="7"/>
      <c r="O162" s="81"/>
    </row>
    <row r="163" spans="1:15" s="14" customFormat="1" ht="72" customHeight="1" x14ac:dyDescent="0.45">
      <c r="A163" s="33"/>
      <c r="B163" s="8"/>
      <c r="C163" s="34"/>
      <c r="D163" s="35"/>
      <c r="E163" s="35" t="s">
        <v>325</v>
      </c>
      <c r="F163" s="8">
        <v>2020</v>
      </c>
      <c r="G163" s="8"/>
      <c r="H163" s="8"/>
      <c r="I163" s="31">
        <v>100000</v>
      </c>
      <c r="J163" s="31">
        <v>-100000</v>
      </c>
      <c r="K163" s="37"/>
      <c r="L163" s="31">
        <f t="shared" ref="L163:L165" si="32">K163+J163</f>
        <v>-100000</v>
      </c>
      <c r="M163" s="31">
        <f t="shared" ref="M163:M165" si="33">I163+L163</f>
        <v>0</v>
      </c>
      <c r="N163" s="7"/>
      <c r="O163" s="81"/>
    </row>
    <row r="164" spans="1:15" s="14" customFormat="1" ht="105" customHeight="1" x14ac:dyDescent="0.45">
      <c r="A164" s="33"/>
      <c r="B164" s="8"/>
      <c r="C164" s="34"/>
      <c r="D164" s="35"/>
      <c r="E164" s="35" t="s">
        <v>323</v>
      </c>
      <c r="F164" s="8">
        <v>2020</v>
      </c>
      <c r="G164" s="8"/>
      <c r="H164" s="8"/>
      <c r="I164" s="31">
        <v>100000</v>
      </c>
      <c r="J164" s="31">
        <v>-100000</v>
      </c>
      <c r="K164" s="37"/>
      <c r="L164" s="31">
        <f t="shared" si="32"/>
        <v>-100000</v>
      </c>
      <c r="M164" s="31">
        <f t="shared" si="33"/>
        <v>0</v>
      </c>
      <c r="N164" s="7"/>
      <c r="O164" s="81"/>
    </row>
    <row r="165" spans="1:15" s="14" customFormat="1" ht="67" customHeight="1" x14ac:dyDescent="0.45">
      <c r="A165" s="33"/>
      <c r="B165" s="8"/>
      <c r="C165" s="34"/>
      <c r="D165" s="35"/>
      <c r="E165" s="57" t="s">
        <v>240</v>
      </c>
      <c r="F165" s="8">
        <v>2020</v>
      </c>
      <c r="G165" s="8"/>
      <c r="H165" s="8"/>
      <c r="I165" s="31">
        <v>100000</v>
      </c>
      <c r="J165" s="31">
        <v>-100000</v>
      </c>
      <c r="K165" s="37"/>
      <c r="L165" s="31">
        <f t="shared" si="32"/>
        <v>-100000</v>
      </c>
      <c r="M165" s="31">
        <f t="shared" si="33"/>
        <v>0</v>
      </c>
      <c r="N165" s="7"/>
      <c r="O165" s="81"/>
    </row>
    <row r="166" spans="1:15" s="18" customFormat="1" ht="44.15" customHeight="1" x14ac:dyDescent="0.45">
      <c r="A166" s="15" t="s">
        <v>114</v>
      </c>
      <c r="B166" s="7">
        <v>1161</v>
      </c>
      <c r="C166" s="17" t="s">
        <v>115</v>
      </c>
      <c r="D166" s="9" t="s">
        <v>116</v>
      </c>
      <c r="E166" s="9"/>
      <c r="F166" s="7"/>
      <c r="G166" s="10"/>
      <c r="H166" s="7"/>
      <c r="I166" s="10">
        <f>I168+I167</f>
        <v>432000</v>
      </c>
      <c r="J166" s="10">
        <f t="shared" ref="J166:M166" si="34">J168+J167</f>
        <v>-300000</v>
      </c>
      <c r="K166" s="10">
        <f t="shared" si="34"/>
        <v>0</v>
      </c>
      <c r="L166" s="10">
        <f t="shared" si="34"/>
        <v>-300000</v>
      </c>
      <c r="M166" s="10">
        <f t="shared" si="34"/>
        <v>132000</v>
      </c>
      <c r="N166" s="7"/>
      <c r="O166" s="81"/>
    </row>
    <row r="167" spans="1:15" s="23" customFormat="1" ht="44.15" customHeight="1" x14ac:dyDescent="0.45">
      <c r="A167" s="19"/>
      <c r="B167" s="22"/>
      <c r="C167" s="11"/>
      <c r="D167" s="21"/>
      <c r="E167" s="21" t="s">
        <v>176</v>
      </c>
      <c r="F167" s="22"/>
      <c r="G167" s="13"/>
      <c r="H167" s="22"/>
      <c r="I167" s="13">
        <v>132000</v>
      </c>
      <c r="J167" s="13"/>
      <c r="K167" s="13"/>
      <c r="L167" s="13">
        <f>K167+J167</f>
        <v>0</v>
      </c>
      <c r="M167" s="13">
        <f>I167+L167</f>
        <v>132000</v>
      </c>
      <c r="N167" s="22"/>
      <c r="O167" s="82"/>
    </row>
    <row r="168" spans="1:15" s="18" customFormat="1" ht="26.5" customHeight="1" x14ac:dyDescent="0.45">
      <c r="A168" s="15"/>
      <c r="B168" s="7"/>
      <c r="C168" s="17"/>
      <c r="D168" s="9"/>
      <c r="E168" s="21" t="s">
        <v>175</v>
      </c>
      <c r="F168" s="7"/>
      <c r="G168" s="10"/>
      <c r="H168" s="7"/>
      <c r="I168" s="13">
        <f>I169</f>
        <v>300000</v>
      </c>
      <c r="J168" s="13">
        <f t="shared" ref="J168:M168" si="35">J169</f>
        <v>-300000</v>
      </c>
      <c r="K168" s="13">
        <f>K169</f>
        <v>0</v>
      </c>
      <c r="L168" s="13">
        <f t="shared" si="35"/>
        <v>-300000</v>
      </c>
      <c r="M168" s="13">
        <f t="shared" si="35"/>
        <v>0</v>
      </c>
      <c r="N168" s="7"/>
      <c r="O168" s="81"/>
    </row>
    <row r="169" spans="1:15" s="32" customFormat="1" ht="86.15" customHeight="1" x14ac:dyDescent="0.45">
      <c r="A169" s="24"/>
      <c r="B169" s="38"/>
      <c r="C169" s="26"/>
      <c r="D169" s="27"/>
      <c r="E169" s="35" t="s">
        <v>467</v>
      </c>
      <c r="F169" s="8">
        <v>2020</v>
      </c>
      <c r="G169" s="37"/>
      <c r="H169" s="38"/>
      <c r="I169" s="31">
        <f>100000+200000</f>
        <v>300000</v>
      </c>
      <c r="J169" s="31">
        <v>-300000</v>
      </c>
      <c r="K169" s="31"/>
      <c r="L169" s="31">
        <f>J169+K169</f>
        <v>-300000</v>
      </c>
      <c r="M169" s="31">
        <f>I169+L169</f>
        <v>0</v>
      </c>
      <c r="N169" s="22"/>
      <c r="O169" s="81"/>
    </row>
    <row r="170" spans="1:15" s="18" customFormat="1" ht="84" customHeight="1" x14ac:dyDescent="0.45">
      <c r="A170" s="15" t="s">
        <v>117</v>
      </c>
      <c r="B170" s="7">
        <v>5031</v>
      </c>
      <c r="C170" s="17" t="s">
        <v>90</v>
      </c>
      <c r="D170" s="9" t="s">
        <v>91</v>
      </c>
      <c r="E170" s="21" t="s">
        <v>176</v>
      </c>
      <c r="F170" s="7"/>
      <c r="G170" s="10"/>
      <c r="H170" s="7"/>
      <c r="I170" s="10">
        <f>550000+200000</f>
        <v>750000</v>
      </c>
      <c r="J170" s="10"/>
      <c r="K170" s="10"/>
      <c r="L170" s="10">
        <f>J170+K170</f>
        <v>0</v>
      </c>
      <c r="M170" s="10">
        <f>I170+L170</f>
        <v>750000</v>
      </c>
      <c r="N170" s="7"/>
      <c r="O170" s="81"/>
    </row>
    <row r="171" spans="1:15" s="18" customFormat="1" ht="70.25" customHeight="1" x14ac:dyDescent="0.45">
      <c r="A171" s="15" t="s">
        <v>620</v>
      </c>
      <c r="B171" s="7">
        <v>7321</v>
      </c>
      <c r="C171" s="17" t="s">
        <v>2</v>
      </c>
      <c r="D171" s="9" t="s">
        <v>628</v>
      </c>
      <c r="E171" s="21" t="s">
        <v>175</v>
      </c>
      <c r="F171" s="7"/>
      <c r="G171" s="10"/>
      <c r="H171" s="7"/>
      <c r="I171" s="10">
        <f>I172+I210+I261+I265+I259</f>
        <v>50000</v>
      </c>
      <c r="J171" s="10">
        <f>J172+J210+J261+J265+J259</f>
        <v>23865697</v>
      </c>
      <c r="K171" s="10">
        <f>K172+K210+K261+K265+K259</f>
        <v>79000</v>
      </c>
      <c r="L171" s="10">
        <f>L172+L210+L261+L265+L259</f>
        <v>23944697</v>
      </c>
      <c r="M171" s="10">
        <f>M172+M210+M261+M265+M259</f>
        <v>23994697</v>
      </c>
      <c r="N171" s="7"/>
      <c r="O171" s="81"/>
    </row>
    <row r="172" spans="1:15" s="18" customFormat="1" ht="49.5" customHeight="1" x14ac:dyDescent="0.45">
      <c r="A172" s="22"/>
      <c r="B172" s="7"/>
      <c r="C172" s="17"/>
      <c r="D172" s="21"/>
      <c r="E172" s="21" t="s">
        <v>640</v>
      </c>
      <c r="F172" s="7"/>
      <c r="G172" s="10"/>
      <c r="H172" s="7"/>
      <c r="I172" s="13">
        <f>SUM(I173:I209)</f>
        <v>50000</v>
      </c>
      <c r="J172" s="13">
        <f>SUM(J173:J209)</f>
        <v>5089000</v>
      </c>
      <c r="K172" s="13">
        <f t="shared" ref="K172:M172" si="36">SUM(K173:K209)</f>
        <v>79000</v>
      </c>
      <c r="L172" s="13">
        <f t="shared" si="36"/>
        <v>5168000</v>
      </c>
      <c r="M172" s="13">
        <f t="shared" si="36"/>
        <v>5218000</v>
      </c>
      <c r="N172" s="7"/>
      <c r="O172" s="81"/>
    </row>
    <row r="173" spans="1:15" s="14" customFormat="1" ht="81.650000000000006" customHeight="1" x14ac:dyDescent="0.45">
      <c r="A173" s="22"/>
      <c r="B173" s="8"/>
      <c r="C173" s="34"/>
      <c r="D173" s="27"/>
      <c r="E173" s="28" t="s">
        <v>252</v>
      </c>
      <c r="F173" s="29">
        <v>2020</v>
      </c>
      <c r="G173" s="30"/>
      <c r="H173" s="8"/>
      <c r="I173" s="31"/>
      <c r="J173" s="31">
        <v>100000</v>
      </c>
      <c r="K173" s="31"/>
      <c r="L173" s="31">
        <f t="shared" ref="L173:L208" si="37">K173+J173</f>
        <v>100000</v>
      </c>
      <c r="M173" s="31">
        <f t="shared" ref="M173:M208" si="38">I173+L173</f>
        <v>100000</v>
      </c>
      <c r="N173" s="8"/>
      <c r="O173" s="81"/>
    </row>
    <row r="174" spans="1:15" s="14" customFormat="1" ht="110.5" customHeight="1" x14ac:dyDescent="0.45">
      <c r="A174" s="22"/>
      <c r="B174" s="8"/>
      <c r="C174" s="34"/>
      <c r="D174" s="27"/>
      <c r="E174" s="28" t="s">
        <v>491</v>
      </c>
      <c r="F174" s="29" t="s">
        <v>183</v>
      </c>
      <c r="G174" s="30"/>
      <c r="H174" s="8"/>
      <c r="I174" s="31"/>
      <c r="J174" s="31">
        <v>210000</v>
      </c>
      <c r="K174" s="31"/>
      <c r="L174" s="31">
        <f t="shared" si="37"/>
        <v>210000</v>
      </c>
      <c r="M174" s="31">
        <f t="shared" si="38"/>
        <v>210000</v>
      </c>
      <c r="N174" s="8"/>
      <c r="O174" s="81"/>
    </row>
    <row r="175" spans="1:15" s="14" customFormat="1" ht="80.5" customHeight="1" x14ac:dyDescent="0.45">
      <c r="A175" s="22"/>
      <c r="B175" s="8"/>
      <c r="C175" s="34"/>
      <c r="D175" s="27"/>
      <c r="E175" s="28" t="s">
        <v>253</v>
      </c>
      <c r="F175" s="29">
        <v>2020</v>
      </c>
      <c r="G175" s="30"/>
      <c r="H175" s="8"/>
      <c r="I175" s="31"/>
      <c r="J175" s="31">
        <v>100000</v>
      </c>
      <c r="K175" s="31"/>
      <c r="L175" s="31">
        <f t="shared" si="37"/>
        <v>100000</v>
      </c>
      <c r="M175" s="31">
        <f t="shared" si="38"/>
        <v>100000</v>
      </c>
      <c r="N175" s="8"/>
      <c r="O175" s="81"/>
    </row>
    <row r="176" spans="1:15" s="14" customFormat="1" ht="87.65" customHeight="1" x14ac:dyDescent="0.45">
      <c r="A176" s="22"/>
      <c r="B176" s="8"/>
      <c r="C176" s="34"/>
      <c r="D176" s="27"/>
      <c r="E176" s="28" t="s">
        <v>686</v>
      </c>
      <c r="F176" s="29">
        <v>2020</v>
      </c>
      <c r="G176" s="30"/>
      <c r="H176" s="8"/>
      <c r="I176" s="31"/>
      <c r="J176" s="31">
        <v>100000</v>
      </c>
      <c r="K176" s="31"/>
      <c r="L176" s="31">
        <f t="shared" si="37"/>
        <v>100000</v>
      </c>
      <c r="M176" s="31">
        <f t="shared" si="38"/>
        <v>100000</v>
      </c>
      <c r="N176" s="8"/>
      <c r="O176" s="81"/>
    </row>
    <row r="177" spans="1:15" s="14" customFormat="1" ht="84" customHeight="1" x14ac:dyDescent="0.45">
      <c r="A177" s="22"/>
      <c r="B177" s="8"/>
      <c r="C177" s="34"/>
      <c r="D177" s="27"/>
      <c r="E177" s="28" t="s">
        <v>588</v>
      </c>
      <c r="F177" s="29" t="s">
        <v>183</v>
      </c>
      <c r="G177" s="30"/>
      <c r="H177" s="8"/>
      <c r="I177" s="31"/>
      <c r="J177" s="31">
        <v>200000</v>
      </c>
      <c r="K177" s="31"/>
      <c r="L177" s="31">
        <f t="shared" si="37"/>
        <v>200000</v>
      </c>
      <c r="M177" s="31">
        <f t="shared" si="38"/>
        <v>200000</v>
      </c>
      <c r="N177" s="8"/>
      <c r="O177" s="81"/>
    </row>
    <row r="178" spans="1:15" s="14" customFormat="1" ht="96.65" customHeight="1" x14ac:dyDescent="0.45">
      <c r="A178" s="22"/>
      <c r="B178" s="8"/>
      <c r="C178" s="34"/>
      <c r="D178" s="27"/>
      <c r="E178" s="28" t="s">
        <v>254</v>
      </c>
      <c r="F178" s="29">
        <v>2020</v>
      </c>
      <c r="G178" s="30"/>
      <c r="H178" s="8"/>
      <c r="I178" s="31"/>
      <c r="J178" s="31">
        <v>80000</v>
      </c>
      <c r="K178" s="31"/>
      <c r="L178" s="31">
        <f t="shared" si="37"/>
        <v>80000</v>
      </c>
      <c r="M178" s="31">
        <f t="shared" si="38"/>
        <v>80000</v>
      </c>
      <c r="N178" s="8"/>
      <c r="O178" s="81"/>
    </row>
    <row r="179" spans="1:15" s="14" customFormat="1" ht="96.65" customHeight="1" x14ac:dyDescent="0.45">
      <c r="A179" s="22"/>
      <c r="B179" s="8"/>
      <c r="C179" s="34"/>
      <c r="D179" s="27"/>
      <c r="E179" s="28" t="s">
        <v>490</v>
      </c>
      <c r="F179" s="29" t="s">
        <v>183</v>
      </c>
      <c r="G179" s="30"/>
      <c r="H179" s="8"/>
      <c r="I179" s="31"/>
      <c r="J179" s="31">
        <v>250000</v>
      </c>
      <c r="K179" s="31"/>
      <c r="L179" s="31">
        <f t="shared" si="37"/>
        <v>250000</v>
      </c>
      <c r="M179" s="31">
        <f t="shared" si="38"/>
        <v>250000</v>
      </c>
      <c r="N179" s="8"/>
      <c r="O179" s="81"/>
    </row>
    <row r="180" spans="1:15" s="14" customFormat="1" ht="153.65" customHeight="1" x14ac:dyDescent="0.45">
      <c r="A180" s="22"/>
      <c r="B180" s="8"/>
      <c r="C180" s="34"/>
      <c r="D180" s="7"/>
      <c r="E180" s="28" t="s">
        <v>255</v>
      </c>
      <c r="F180" s="29">
        <v>2020</v>
      </c>
      <c r="G180" s="30"/>
      <c r="H180" s="8"/>
      <c r="I180" s="31"/>
      <c r="J180" s="31">
        <v>350000</v>
      </c>
      <c r="K180" s="31"/>
      <c r="L180" s="31">
        <f t="shared" si="37"/>
        <v>350000</v>
      </c>
      <c r="M180" s="31">
        <f t="shared" si="38"/>
        <v>350000</v>
      </c>
      <c r="N180" s="8"/>
      <c r="O180" s="81"/>
    </row>
    <row r="181" spans="1:15" s="14" customFormat="1" ht="98.5" customHeight="1" x14ac:dyDescent="0.45">
      <c r="A181" s="22"/>
      <c r="B181" s="8"/>
      <c r="C181" s="34"/>
      <c r="D181" s="27"/>
      <c r="E181" s="28" t="s">
        <v>376</v>
      </c>
      <c r="F181" s="29">
        <v>2020</v>
      </c>
      <c r="G181" s="30"/>
      <c r="H181" s="8"/>
      <c r="I181" s="31"/>
      <c r="J181" s="31">
        <v>100000</v>
      </c>
      <c r="K181" s="31"/>
      <c r="L181" s="31">
        <f t="shared" si="37"/>
        <v>100000</v>
      </c>
      <c r="M181" s="31">
        <f t="shared" si="38"/>
        <v>100000</v>
      </c>
      <c r="N181" s="8"/>
      <c r="O181" s="81"/>
    </row>
    <row r="182" spans="1:15" s="14" customFormat="1" ht="84" customHeight="1" x14ac:dyDescent="0.45">
      <c r="A182" s="22"/>
      <c r="B182" s="8"/>
      <c r="C182" s="34"/>
      <c r="D182" s="27"/>
      <c r="E182" s="28" t="s">
        <v>256</v>
      </c>
      <c r="F182" s="29">
        <v>2020</v>
      </c>
      <c r="G182" s="30"/>
      <c r="H182" s="8"/>
      <c r="I182" s="31"/>
      <c r="J182" s="31">
        <v>100000</v>
      </c>
      <c r="K182" s="31"/>
      <c r="L182" s="31">
        <f t="shared" si="37"/>
        <v>100000</v>
      </c>
      <c r="M182" s="31">
        <f t="shared" si="38"/>
        <v>100000</v>
      </c>
      <c r="N182" s="8"/>
      <c r="O182" s="81"/>
    </row>
    <row r="183" spans="1:15" s="14" customFormat="1" ht="101.15" customHeight="1" x14ac:dyDescent="0.45">
      <c r="A183" s="22"/>
      <c r="B183" s="8"/>
      <c r="C183" s="34"/>
      <c r="D183" s="27"/>
      <c r="E183" s="28" t="s">
        <v>257</v>
      </c>
      <c r="F183" s="29">
        <v>2020</v>
      </c>
      <c r="G183" s="30"/>
      <c r="H183" s="8"/>
      <c r="I183" s="31"/>
      <c r="J183" s="31">
        <v>90000</v>
      </c>
      <c r="K183" s="31"/>
      <c r="L183" s="31">
        <f t="shared" si="37"/>
        <v>90000</v>
      </c>
      <c r="M183" s="31">
        <f t="shared" si="38"/>
        <v>90000</v>
      </c>
      <c r="N183" s="8"/>
      <c r="O183" s="81"/>
    </row>
    <row r="184" spans="1:15" s="14" customFormat="1" ht="140.15" customHeight="1" x14ac:dyDescent="0.45">
      <c r="A184" s="22"/>
      <c r="B184" s="8"/>
      <c r="C184" s="34"/>
      <c r="D184" s="7"/>
      <c r="E184" s="28" t="s">
        <v>464</v>
      </c>
      <c r="F184" s="29">
        <v>2020</v>
      </c>
      <c r="G184" s="30" t="s">
        <v>218</v>
      </c>
      <c r="H184" s="8"/>
      <c r="I184" s="31"/>
      <c r="J184" s="31">
        <v>350000</v>
      </c>
      <c r="K184" s="31"/>
      <c r="L184" s="31">
        <f t="shared" si="37"/>
        <v>350000</v>
      </c>
      <c r="M184" s="31">
        <f t="shared" si="38"/>
        <v>350000</v>
      </c>
      <c r="N184" s="8"/>
      <c r="O184" s="81"/>
    </row>
    <row r="185" spans="1:15" s="14" customFormat="1" ht="104.5" customHeight="1" x14ac:dyDescent="0.45">
      <c r="A185" s="22"/>
      <c r="B185" s="8"/>
      <c r="C185" s="34"/>
      <c r="D185" s="27"/>
      <c r="E185" s="28" t="s">
        <v>258</v>
      </c>
      <c r="F185" s="29">
        <v>2020</v>
      </c>
      <c r="G185" s="30"/>
      <c r="H185" s="8"/>
      <c r="I185" s="31"/>
      <c r="J185" s="31">
        <v>100000</v>
      </c>
      <c r="K185" s="31"/>
      <c r="L185" s="31">
        <f t="shared" si="37"/>
        <v>100000</v>
      </c>
      <c r="M185" s="31">
        <f t="shared" si="38"/>
        <v>100000</v>
      </c>
      <c r="N185" s="8"/>
      <c r="O185" s="81"/>
    </row>
    <row r="186" spans="1:15" s="14" customFormat="1" ht="90.65" customHeight="1" x14ac:dyDescent="0.45">
      <c r="A186" s="22"/>
      <c r="B186" s="8"/>
      <c r="C186" s="34"/>
      <c r="D186" s="27"/>
      <c r="E186" s="28" t="s">
        <v>310</v>
      </c>
      <c r="F186" s="29">
        <v>2020</v>
      </c>
      <c r="G186" s="30"/>
      <c r="H186" s="8"/>
      <c r="I186" s="31"/>
      <c r="J186" s="31">
        <v>100000</v>
      </c>
      <c r="K186" s="31"/>
      <c r="L186" s="31">
        <f t="shared" si="37"/>
        <v>100000</v>
      </c>
      <c r="M186" s="31">
        <f t="shared" si="38"/>
        <v>100000</v>
      </c>
      <c r="N186" s="8"/>
      <c r="O186" s="81"/>
    </row>
    <row r="187" spans="1:15" s="14" customFormat="1" ht="81" customHeight="1" x14ac:dyDescent="0.45">
      <c r="A187" s="22"/>
      <c r="B187" s="8"/>
      <c r="C187" s="34"/>
      <c r="D187" s="27"/>
      <c r="E187" s="28" t="s">
        <v>259</v>
      </c>
      <c r="F187" s="29">
        <v>2020</v>
      </c>
      <c r="G187" s="30"/>
      <c r="H187" s="8"/>
      <c r="I187" s="31"/>
      <c r="J187" s="31">
        <v>100000</v>
      </c>
      <c r="K187" s="31"/>
      <c r="L187" s="31">
        <f t="shared" si="37"/>
        <v>100000</v>
      </c>
      <c r="M187" s="31">
        <f t="shared" si="38"/>
        <v>100000</v>
      </c>
      <c r="N187" s="8"/>
      <c r="O187" s="81"/>
    </row>
    <row r="188" spans="1:15" s="14" customFormat="1" ht="105" customHeight="1" x14ac:dyDescent="0.45">
      <c r="A188" s="22"/>
      <c r="B188" s="8"/>
      <c r="C188" s="34"/>
      <c r="D188" s="27"/>
      <c r="E188" s="28" t="s">
        <v>260</v>
      </c>
      <c r="F188" s="29">
        <v>2020</v>
      </c>
      <c r="G188" s="30"/>
      <c r="H188" s="8"/>
      <c r="I188" s="31"/>
      <c r="J188" s="31">
        <v>100000</v>
      </c>
      <c r="K188" s="31"/>
      <c r="L188" s="31">
        <f t="shared" si="37"/>
        <v>100000</v>
      </c>
      <c r="M188" s="31">
        <f t="shared" si="38"/>
        <v>100000</v>
      </c>
      <c r="N188" s="8"/>
      <c r="O188" s="81"/>
    </row>
    <row r="189" spans="1:15" s="14" customFormat="1" ht="85.5" customHeight="1" x14ac:dyDescent="0.45">
      <c r="A189" s="22"/>
      <c r="B189" s="8"/>
      <c r="C189" s="34"/>
      <c r="D189" s="27"/>
      <c r="E189" s="28" t="s">
        <v>261</v>
      </c>
      <c r="F189" s="29">
        <v>2020</v>
      </c>
      <c r="G189" s="30"/>
      <c r="H189" s="8"/>
      <c r="I189" s="31"/>
      <c r="J189" s="31">
        <v>65000</v>
      </c>
      <c r="K189" s="31"/>
      <c r="L189" s="31">
        <f t="shared" si="37"/>
        <v>65000</v>
      </c>
      <c r="M189" s="31">
        <f t="shared" si="38"/>
        <v>65000</v>
      </c>
      <c r="N189" s="8"/>
      <c r="O189" s="81"/>
    </row>
    <row r="190" spans="1:15" s="14" customFormat="1" ht="100.5" customHeight="1" x14ac:dyDescent="0.45">
      <c r="A190" s="22"/>
      <c r="B190" s="8"/>
      <c r="C190" s="34"/>
      <c r="D190" s="27"/>
      <c r="E190" s="28" t="s">
        <v>262</v>
      </c>
      <c r="F190" s="29">
        <v>2020</v>
      </c>
      <c r="G190" s="30"/>
      <c r="H190" s="8"/>
      <c r="I190" s="31"/>
      <c r="J190" s="31">
        <v>500000</v>
      </c>
      <c r="K190" s="31"/>
      <c r="L190" s="31">
        <f t="shared" si="37"/>
        <v>500000</v>
      </c>
      <c r="M190" s="31">
        <f t="shared" si="38"/>
        <v>500000</v>
      </c>
      <c r="N190" s="8"/>
      <c r="O190" s="81"/>
    </row>
    <row r="191" spans="1:15" s="14" customFormat="1" ht="83.15" customHeight="1" x14ac:dyDescent="0.45">
      <c r="A191" s="22"/>
      <c r="B191" s="8"/>
      <c r="C191" s="34"/>
      <c r="D191" s="27"/>
      <c r="E191" s="28" t="s">
        <v>267</v>
      </c>
      <c r="F191" s="29">
        <v>2020</v>
      </c>
      <c r="G191" s="30"/>
      <c r="H191" s="8"/>
      <c r="I191" s="31"/>
      <c r="J191" s="31">
        <v>100000</v>
      </c>
      <c r="K191" s="31"/>
      <c r="L191" s="31">
        <f t="shared" si="37"/>
        <v>100000</v>
      </c>
      <c r="M191" s="31">
        <f t="shared" si="38"/>
        <v>100000</v>
      </c>
      <c r="N191" s="8"/>
      <c r="O191" s="81"/>
    </row>
    <row r="192" spans="1:15" s="14" customFormat="1" ht="87.65" customHeight="1" x14ac:dyDescent="0.45">
      <c r="A192" s="22"/>
      <c r="B192" s="8"/>
      <c r="C192" s="34"/>
      <c r="D192" s="27"/>
      <c r="E192" s="28" t="s">
        <v>268</v>
      </c>
      <c r="F192" s="29">
        <v>2020</v>
      </c>
      <c r="G192" s="30"/>
      <c r="H192" s="8"/>
      <c r="I192" s="31"/>
      <c r="J192" s="31">
        <v>100000</v>
      </c>
      <c r="K192" s="31"/>
      <c r="L192" s="31">
        <f t="shared" si="37"/>
        <v>100000</v>
      </c>
      <c r="M192" s="31">
        <f t="shared" si="38"/>
        <v>100000</v>
      </c>
      <c r="N192" s="8"/>
      <c r="O192" s="81"/>
    </row>
    <row r="193" spans="1:15" s="14" customFormat="1" ht="85.5" customHeight="1" x14ac:dyDescent="0.45">
      <c r="A193" s="22"/>
      <c r="B193" s="8"/>
      <c r="C193" s="34"/>
      <c r="D193" s="27"/>
      <c r="E193" s="28" t="s">
        <v>269</v>
      </c>
      <c r="F193" s="29">
        <v>2020</v>
      </c>
      <c r="G193" s="30"/>
      <c r="H193" s="8"/>
      <c r="I193" s="31"/>
      <c r="J193" s="31">
        <v>100000</v>
      </c>
      <c r="K193" s="31"/>
      <c r="L193" s="31">
        <f t="shared" si="37"/>
        <v>100000</v>
      </c>
      <c r="M193" s="31">
        <f t="shared" si="38"/>
        <v>100000</v>
      </c>
      <c r="N193" s="8"/>
      <c r="O193" s="81"/>
    </row>
    <row r="194" spans="1:15" s="14" customFormat="1" ht="104.15" customHeight="1" x14ac:dyDescent="0.45">
      <c r="A194" s="22"/>
      <c r="B194" s="8"/>
      <c r="C194" s="34"/>
      <c r="D194" s="27"/>
      <c r="E194" s="28" t="s">
        <v>270</v>
      </c>
      <c r="F194" s="29">
        <v>2020</v>
      </c>
      <c r="G194" s="30"/>
      <c r="H194" s="8"/>
      <c r="I194" s="31"/>
      <c r="J194" s="31">
        <v>100000</v>
      </c>
      <c r="K194" s="31"/>
      <c r="L194" s="31">
        <f t="shared" si="37"/>
        <v>100000</v>
      </c>
      <c r="M194" s="31">
        <f t="shared" si="38"/>
        <v>100000</v>
      </c>
      <c r="N194" s="8"/>
      <c r="O194" s="81"/>
    </row>
    <row r="195" spans="1:15" s="14" customFormat="1" ht="104.15" customHeight="1" x14ac:dyDescent="0.45">
      <c r="A195" s="22"/>
      <c r="B195" s="8"/>
      <c r="C195" s="34"/>
      <c r="D195" s="27"/>
      <c r="E195" s="28" t="s">
        <v>680</v>
      </c>
      <c r="F195" s="29" t="s">
        <v>183</v>
      </c>
      <c r="G195" s="30"/>
      <c r="H195" s="8"/>
      <c r="I195" s="31"/>
      <c r="J195" s="31"/>
      <c r="K195" s="31">
        <v>79000</v>
      </c>
      <c r="L195" s="31">
        <f t="shared" ref="L195" si="39">K195+J195</f>
        <v>79000</v>
      </c>
      <c r="M195" s="31">
        <f t="shared" ref="M195" si="40">I195+L195</f>
        <v>79000</v>
      </c>
      <c r="N195" s="8"/>
      <c r="O195" s="81"/>
    </row>
    <row r="196" spans="1:15" s="14" customFormat="1" ht="98.15" customHeight="1" x14ac:dyDescent="0.45">
      <c r="A196" s="22"/>
      <c r="B196" s="8"/>
      <c r="C196" s="34"/>
      <c r="D196" s="27"/>
      <c r="E196" s="28" t="s">
        <v>271</v>
      </c>
      <c r="F196" s="29">
        <v>2020</v>
      </c>
      <c r="G196" s="30"/>
      <c r="H196" s="8"/>
      <c r="I196" s="31"/>
      <c r="J196" s="31">
        <v>35000</v>
      </c>
      <c r="K196" s="31"/>
      <c r="L196" s="31">
        <f t="shared" si="37"/>
        <v>35000</v>
      </c>
      <c r="M196" s="31">
        <f t="shared" si="38"/>
        <v>35000</v>
      </c>
      <c r="N196" s="8"/>
      <c r="O196" s="81"/>
    </row>
    <row r="197" spans="1:15" s="14" customFormat="1" ht="103" customHeight="1" x14ac:dyDescent="0.45">
      <c r="A197" s="22"/>
      <c r="B197" s="8"/>
      <c r="C197" s="34"/>
      <c r="D197" s="27"/>
      <c r="E197" s="28" t="s">
        <v>272</v>
      </c>
      <c r="F197" s="29">
        <v>2020</v>
      </c>
      <c r="G197" s="30"/>
      <c r="H197" s="8"/>
      <c r="I197" s="31"/>
      <c r="J197" s="31">
        <v>65000</v>
      </c>
      <c r="K197" s="31"/>
      <c r="L197" s="31">
        <f t="shared" si="37"/>
        <v>65000</v>
      </c>
      <c r="M197" s="31">
        <f t="shared" si="38"/>
        <v>65000</v>
      </c>
      <c r="N197" s="8"/>
      <c r="O197" s="81"/>
    </row>
    <row r="198" spans="1:15" s="14" customFormat="1" ht="86.15" customHeight="1" x14ac:dyDescent="0.45">
      <c r="A198" s="22"/>
      <c r="B198" s="8"/>
      <c r="C198" s="34"/>
      <c r="D198" s="27"/>
      <c r="E198" s="28" t="s">
        <v>273</v>
      </c>
      <c r="F198" s="29">
        <v>2020</v>
      </c>
      <c r="G198" s="30"/>
      <c r="H198" s="8"/>
      <c r="I198" s="31"/>
      <c r="J198" s="31">
        <v>100000</v>
      </c>
      <c r="K198" s="31"/>
      <c r="L198" s="31">
        <f t="shared" si="37"/>
        <v>100000</v>
      </c>
      <c r="M198" s="31">
        <f t="shared" si="38"/>
        <v>100000</v>
      </c>
      <c r="N198" s="8"/>
      <c r="O198" s="81"/>
    </row>
    <row r="199" spans="1:15" s="14" customFormat="1" ht="85.5" customHeight="1" x14ac:dyDescent="0.45">
      <c r="A199" s="22"/>
      <c r="B199" s="8"/>
      <c r="C199" s="34"/>
      <c r="D199" s="27"/>
      <c r="E199" s="28" t="s">
        <v>274</v>
      </c>
      <c r="F199" s="29">
        <v>2020</v>
      </c>
      <c r="G199" s="30"/>
      <c r="H199" s="8"/>
      <c r="I199" s="31"/>
      <c r="J199" s="31">
        <v>100000</v>
      </c>
      <c r="K199" s="31"/>
      <c r="L199" s="31">
        <f t="shared" si="37"/>
        <v>100000</v>
      </c>
      <c r="M199" s="31">
        <f t="shared" si="38"/>
        <v>100000</v>
      </c>
      <c r="N199" s="8"/>
      <c r="O199" s="81"/>
    </row>
    <row r="200" spans="1:15" s="14" customFormat="1" ht="106.5" customHeight="1" x14ac:dyDescent="0.45">
      <c r="A200" s="22"/>
      <c r="B200" s="8"/>
      <c r="C200" s="34"/>
      <c r="D200" s="27"/>
      <c r="E200" s="28" t="s">
        <v>521</v>
      </c>
      <c r="F200" s="29" t="s">
        <v>183</v>
      </c>
      <c r="G200" s="30"/>
      <c r="H200" s="8"/>
      <c r="I200" s="31"/>
      <c r="J200" s="31">
        <v>300000</v>
      </c>
      <c r="K200" s="31"/>
      <c r="L200" s="31">
        <f t="shared" si="37"/>
        <v>300000</v>
      </c>
      <c r="M200" s="31">
        <f t="shared" si="38"/>
        <v>300000</v>
      </c>
      <c r="N200" s="8"/>
      <c r="O200" s="81"/>
    </row>
    <row r="201" spans="1:15" s="14" customFormat="1" ht="81" customHeight="1" x14ac:dyDescent="0.45">
      <c r="A201" s="22"/>
      <c r="B201" s="8"/>
      <c r="C201" s="34"/>
      <c r="D201" s="27"/>
      <c r="E201" s="28" t="s">
        <v>275</v>
      </c>
      <c r="F201" s="29">
        <v>2020</v>
      </c>
      <c r="G201" s="30"/>
      <c r="H201" s="8"/>
      <c r="I201" s="31"/>
      <c r="J201" s="31">
        <v>100000</v>
      </c>
      <c r="K201" s="31"/>
      <c r="L201" s="31">
        <f t="shared" si="37"/>
        <v>100000</v>
      </c>
      <c r="M201" s="31">
        <f t="shared" si="38"/>
        <v>100000</v>
      </c>
      <c r="N201" s="8"/>
      <c r="O201" s="81"/>
    </row>
    <row r="202" spans="1:15" s="14" customFormat="1" ht="80.150000000000006" customHeight="1" x14ac:dyDescent="0.45">
      <c r="A202" s="22"/>
      <c r="B202" s="8"/>
      <c r="C202" s="34"/>
      <c r="D202" s="27"/>
      <c r="E202" s="28" t="s">
        <v>311</v>
      </c>
      <c r="F202" s="29">
        <v>2020</v>
      </c>
      <c r="G202" s="30"/>
      <c r="H202" s="8"/>
      <c r="I202" s="31"/>
      <c r="J202" s="31">
        <v>250000</v>
      </c>
      <c r="K202" s="31"/>
      <c r="L202" s="31">
        <f t="shared" si="37"/>
        <v>250000</v>
      </c>
      <c r="M202" s="31">
        <f t="shared" si="38"/>
        <v>250000</v>
      </c>
      <c r="N202" s="8"/>
      <c r="O202" s="81"/>
    </row>
    <row r="203" spans="1:15" s="14" customFormat="1" ht="88" customHeight="1" x14ac:dyDescent="0.45">
      <c r="A203" s="22"/>
      <c r="B203" s="8"/>
      <c r="C203" s="34"/>
      <c r="D203" s="27"/>
      <c r="E203" s="28" t="s">
        <v>276</v>
      </c>
      <c r="F203" s="29">
        <v>2020</v>
      </c>
      <c r="G203" s="30"/>
      <c r="H203" s="8"/>
      <c r="I203" s="31"/>
      <c r="J203" s="31">
        <v>100000</v>
      </c>
      <c r="K203" s="31"/>
      <c r="L203" s="31">
        <f t="shared" si="37"/>
        <v>100000</v>
      </c>
      <c r="M203" s="31">
        <f t="shared" si="38"/>
        <v>100000</v>
      </c>
      <c r="N203" s="8"/>
      <c r="O203" s="81"/>
    </row>
    <row r="204" spans="1:15" s="14" customFormat="1" ht="98.15" customHeight="1" x14ac:dyDescent="0.45">
      <c r="A204" s="22"/>
      <c r="B204" s="8"/>
      <c r="C204" s="34"/>
      <c r="D204" s="27"/>
      <c r="E204" s="28" t="s">
        <v>450</v>
      </c>
      <c r="F204" s="29" t="s">
        <v>183</v>
      </c>
      <c r="G204" s="30"/>
      <c r="H204" s="8"/>
      <c r="I204" s="31"/>
      <c r="J204" s="31">
        <v>204000</v>
      </c>
      <c r="K204" s="31"/>
      <c r="L204" s="31">
        <f t="shared" si="37"/>
        <v>204000</v>
      </c>
      <c r="M204" s="31">
        <f t="shared" si="38"/>
        <v>204000</v>
      </c>
      <c r="N204" s="8"/>
      <c r="O204" s="81"/>
    </row>
    <row r="205" spans="1:15" s="14" customFormat="1" ht="104.5" customHeight="1" x14ac:dyDescent="0.45">
      <c r="A205" s="22"/>
      <c r="B205" s="8"/>
      <c r="C205" s="34"/>
      <c r="D205" s="27"/>
      <c r="E205" s="28" t="s">
        <v>312</v>
      </c>
      <c r="F205" s="29">
        <v>2020</v>
      </c>
      <c r="G205" s="30"/>
      <c r="H205" s="8"/>
      <c r="I205" s="31"/>
      <c r="J205" s="31">
        <v>100000</v>
      </c>
      <c r="K205" s="31"/>
      <c r="L205" s="31">
        <f t="shared" si="37"/>
        <v>100000</v>
      </c>
      <c r="M205" s="31">
        <f t="shared" si="38"/>
        <v>100000</v>
      </c>
      <c r="N205" s="8"/>
      <c r="O205" s="81"/>
    </row>
    <row r="206" spans="1:15" s="14" customFormat="1" ht="106.5" customHeight="1" x14ac:dyDescent="0.45">
      <c r="A206" s="22"/>
      <c r="B206" s="8"/>
      <c r="C206" s="34"/>
      <c r="D206" s="27"/>
      <c r="E206" s="28" t="s">
        <v>277</v>
      </c>
      <c r="F206" s="29">
        <v>2020</v>
      </c>
      <c r="G206" s="30"/>
      <c r="H206" s="8"/>
      <c r="I206" s="31"/>
      <c r="J206" s="31">
        <v>100000</v>
      </c>
      <c r="K206" s="31"/>
      <c r="L206" s="31">
        <f t="shared" si="37"/>
        <v>100000</v>
      </c>
      <c r="M206" s="31">
        <f t="shared" si="38"/>
        <v>100000</v>
      </c>
      <c r="N206" s="8"/>
      <c r="O206" s="81"/>
    </row>
    <row r="207" spans="1:15" s="14" customFormat="1" ht="82" customHeight="1" x14ac:dyDescent="0.45">
      <c r="A207" s="22"/>
      <c r="B207" s="8"/>
      <c r="C207" s="34"/>
      <c r="D207" s="27"/>
      <c r="E207" s="28" t="s">
        <v>587</v>
      </c>
      <c r="F207" s="29">
        <v>2020</v>
      </c>
      <c r="G207" s="30"/>
      <c r="H207" s="8"/>
      <c r="I207" s="31"/>
      <c r="J207" s="31">
        <v>140000</v>
      </c>
      <c r="K207" s="31"/>
      <c r="L207" s="31">
        <f t="shared" si="37"/>
        <v>140000</v>
      </c>
      <c r="M207" s="31">
        <f t="shared" si="38"/>
        <v>140000</v>
      </c>
      <c r="N207" s="8"/>
      <c r="O207" s="81"/>
    </row>
    <row r="208" spans="1:15" s="14" customFormat="1" ht="95.15" customHeight="1" x14ac:dyDescent="0.45">
      <c r="A208" s="22"/>
      <c r="B208" s="8"/>
      <c r="C208" s="34"/>
      <c r="D208" s="27"/>
      <c r="E208" s="28" t="s">
        <v>278</v>
      </c>
      <c r="F208" s="29">
        <v>2020</v>
      </c>
      <c r="G208" s="30"/>
      <c r="H208" s="8"/>
      <c r="I208" s="31"/>
      <c r="J208" s="31">
        <v>100000</v>
      </c>
      <c r="K208" s="31"/>
      <c r="L208" s="31">
        <f t="shared" si="37"/>
        <v>100000</v>
      </c>
      <c r="M208" s="31">
        <f t="shared" si="38"/>
        <v>100000</v>
      </c>
      <c r="N208" s="8"/>
      <c r="O208" s="81"/>
    </row>
    <row r="209" spans="1:15" s="18" customFormat="1" ht="84" customHeight="1" x14ac:dyDescent="0.45">
      <c r="A209" s="15"/>
      <c r="B209" s="7"/>
      <c r="C209" s="17"/>
      <c r="D209" s="9"/>
      <c r="E209" s="35" t="s">
        <v>621</v>
      </c>
      <c r="F209" s="8">
        <v>2020</v>
      </c>
      <c r="G209" s="10"/>
      <c r="H209" s="7"/>
      <c r="I209" s="31">
        <v>50000</v>
      </c>
      <c r="J209" s="31"/>
      <c r="K209" s="31"/>
      <c r="L209" s="31">
        <f>J209+K209</f>
        <v>0</v>
      </c>
      <c r="M209" s="31">
        <f>I209+L209</f>
        <v>50000</v>
      </c>
      <c r="N209" s="7"/>
      <c r="O209" s="81"/>
    </row>
    <row r="210" spans="1:15" s="18" customFormat="1" ht="72.5" customHeight="1" x14ac:dyDescent="0.45">
      <c r="A210" s="22"/>
      <c r="B210" s="7"/>
      <c r="C210" s="17"/>
      <c r="D210" s="21"/>
      <c r="E210" s="21" t="s">
        <v>641</v>
      </c>
      <c r="F210" s="7"/>
      <c r="G210" s="10"/>
      <c r="H210" s="7"/>
      <c r="I210" s="13">
        <f>SUM(I211:I258)</f>
        <v>0</v>
      </c>
      <c r="J210" s="13">
        <f>SUM(J211:J258)</f>
        <v>18026697</v>
      </c>
      <c r="K210" s="13">
        <f>SUM(K211:K258)</f>
        <v>0</v>
      </c>
      <c r="L210" s="13">
        <f>SUM(L211:L258)</f>
        <v>18026697</v>
      </c>
      <c r="M210" s="13">
        <f>SUM(M211:M258)</f>
        <v>18026697</v>
      </c>
      <c r="N210" s="7"/>
      <c r="O210" s="81"/>
    </row>
    <row r="211" spans="1:15" s="14" customFormat="1" ht="90" x14ac:dyDescent="0.45">
      <c r="A211" s="22"/>
      <c r="B211" s="8"/>
      <c r="C211" s="34"/>
      <c r="D211" s="27"/>
      <c r="E211" s="28" t="s">
        <v>313</v>
      </c>
      <c r="F211" s="8">
        <v>2020</v>
      </c>
      <c r="G211" s="30"/>
      <c r="H211" s="8"/>
      <c r="I211" s="31"/>
      <c r="J211" s="31">
        <v>200000</v>
      </c>
      <c r="K211" s="31"/>
      <c r="L211" s="31">
        <f t="shared" ref="L211:L242" si="41">K211+J211</f>
        <v>200000</v>
      </c>
      <c r="M211" s="31">
        <f t="shared" ref="M211:M242" si="42">I211+L211</f>
        <v>200000</v>
      </c>
      <c r="N211" s="8"/>
      <c r="O211" s="81"/>
    </row>
    <row r="212" spans="1:15" s="14" customFormat="1" ht="84.65" customHeight="1" x14ac:dyDescent="0.45">
      <c r="A212" s="22"/>
      <c r="B212" s="8"/>
      <c r="C212" s="34"/>
      <c r="D212" s="7"/>
      <c r="E212" s="28" t="s">
        <v>314</v>
      </c>
      <c r="F212" s="8" t="s">
        <v>227</v>
      </c>
      <c r="G212" s="30">
        <v>952286</v>
      </c>
      <c r="H212" s="8">
        <v>5.3</v>
      </c>
      <c r="I212" s="31"/>
      <c r="J212" s="31">
        <v>901482</v>
      </c>
      <c r="K212" s="31"/>
      <c r="L212" s="31">
        <f t="shared" si="41"/>
        <v>901482</v>
      </c>
      <c r="M212" s="31">
        <f t="shared" si="42"/>
        <v>901482</v>
      </c>
      <c r="N212" s="8">
        <v>100</v>
      </c>
      <c r="O212" s="81"/>
    </row>
    <row r="213" spans="1:15" s="14" customFormat="1" ht="99.65" customHeight="1" x14ac:dyDescent="0.45">
      <c r="A213" s="22"/>
      <c r="B213" s="8"/>
      <c r="C213" s="34"/>
      <c r="D213" s="7"/>
      <c r="E213" s="28" t="s">
        <v>315</v>
      </c>
      <c r="F213" s="8">
        <v>2020</v>
      </c>
      <c r="G213" s="30"/>
      <c r="H213" s="8"/>
      <c r="I213" s="31"/>
      <c r="J213" s="31">
        <v>1000000</v>
      </c>
      <c r="K213" s="31"/>
      <c r="L213" s="31">
        <f t="shared" si="41"/>
        <v>1000000</v>
      </c>
      <c r="M213" s="31">
        <f t="shared" si="42"/>
        <v>1000000</v>
      </c>
      <c r="N213" s="8"/>
      <c r="O213" s="81"/>
    </row>
    <row r="214" spans="1:15" s="14" customFormat="1" ht="103.5" customHeight="1" x14ac:dyDescent="0.45">
      <c r="A214" s="22"/>
      <c r="B214" s="8"/>
      <c r="C214" s="34"/>
      <c r="D214" s="7"/>
      <c r="E214" s="28" t="s">
        <v>279</v>
      </c>
      <c r="F214" s="8">
        <v>2020</v>
      </c>
      <c r="G214" s="30"/>
      <c r="H214" s="8"/>
      <c r="I214" s="31"/>
      <c r="J214" s="31">
        <v>150000</v>
      </c>
      <c r="K214" s="31"/>
      <c r="L214" s="31">
        <f t="shared" si="41"/>
        <v>150000</v>
      </c>
      <c r="M214" s="31">
        <f t="shared" si="42"/>
        <v>150000</v>
      </c>
      <c r="N214" s="8"/>
      <c r="O214" s="81"/>
    </row>
    <row r="215" spans="1:15" s="14" customFormat="1" ht="155.15" customHeight="1" x14ac:dyDescent="0.45">
      <c r="A215" s="22"/>
      <c r="B215" s="8"/>
      <c r="C215" s="34"/>
      <c r="D215" s="7"/>
      <c r="E215" s="28" t="s">
        <v>280</v>
      </c>
      <c r="F215" s="8">
        <v>2020</v>
      </c>
      <c r="G215" s="30">
        <v>499786</v>
      </c>
      <c r="H215" s="8"/>
      <c r="I215" s="31"/>
      <c r="J215" s="31">
        <v>499786</v>
      </c>
      <c r="K215" s="31"/>
      <c r="L215" s="31">
        <f t="shared" si="41"/>
        <v>499786</v>
      </c>
      <c r="M215" s="31">
        <f t="shared" si="42"/>
        <v>499786</v>
      </c>
      <c r="N215" s="8">
        <v>100</v>
      </c>
      <c r="O215" s="81"/>
    </row>
    <row r="216" spans="1:15" s="14" customFormat="1" ht="90" customHeight="1" x14ac:dyDescent="0.45">
      <c r="A216" s="22"/>
      <c r="B216" s="8"/>
      <c r="C216" s="34"/>
      <c r="D216" s="27"/>
      <c r="E216" s="28" t="s">
        <v>496</v>
      </c>
      <c r="F216" s="8">
        <v>2020</v>
      </c>
      <c r="G216" s="30"/>
      <c r="H216" s="8"/>
      <c r="I216" s="31"/>
      <c r="J216" s="31">
        <v>200000</v>
      </c>
      <c r="K216" s="31"/>
      <c r="L216" s="31">
        <f t="shared" si="41"/>
        <v>200000</v>
      </c>
      <c r="M216" s="31">
        <f t="shared" si="42"/>
        <v>200000</v>
      </c>
      <c r="N216" s="8"/>
      <c r="O216" s="81"/>
    </row>
    <row r="217" spans="1:15" s="14" customFormat="1" ht="90" customHeight="1" x14ac:dyDescent="0.45">
      <c r="A217" s="22"/>
      <c r="B217" s="8"/>
      <c r="C217" s="34"/>
      <c r="D217" s="27"/>
      <c r="E217" s="28" t="s">
        <v>489</v>
      </c>
      <c r="F217" s="8">
        <v>2020</v>
      </c>
      <c r="G217" s="30"/>
      <c r="H217" s="8"/>
      <c r="I217" s="31"/>
      <c r="J217" s="31">
        <v>600000</v>
      </c>
      <c r="K217" s="31"/>
      <c r="L217" s="31">
        <f t="shared" si="41"/>
        <v>600000</v>
      </c>
      <c r="M217" s="31">
        <f t="shared" si="42"/>
        <v>600000</v>
      </c>
      <c r="N217" s="8"/>
      <c r="O217" s="81"/>
    </row>
    <row r="218" spans="1:15" s="14" customFormat="1" ht="104.15" customHeight="1" x14ac:dyDescent="0.45">
      <c r="A218" s="22"/>
      <c r="B218" s="8"/>
      <c r="C218" s="34"/>
      <c r="D218" s="27"/>
      <c r="E218" s="28" t="s">
        <v>281</v>
      </c>
      <c r="F218" s="8">
        <v>2020</v>
      </c>
      <c r="G218" s="30"/>
      <c r="H218" s="8"/>
      <c r="I218" s="31"/>
      <c r="J218" s="31">
        <v>200000</v>
      </c>
      <c r="K218" s="31"/>
      <c r="L218" s="31">
        <f t="shared" si="41"/>
        <v>200000</v>
      </c>
      <c r="M218" s="31">
        <f t="shared" si="42"/>
        <v>200000</v>
      </c>
      <c r="N218" s="8"/>
      <c r="O218" s="81"/>
    </row>
    <row r="219" spans="1:15" s="14" customFormat="1" ht="94" customHeight="1" x14ac:dyDescent="0.45">
      <c r="A219" s="22"/>
      <c r="B219" s="8"/>
      <c r="C219" s="34"/>
      <c r="D219" s="27"/>
      <c r="E219" s="28" t="s">
        <v>282</v>
      </c>
      <c r="F219" s="8">
        <v>2020</v>
      </c>
      <c r="G219" s="30"/>
      <c r="H219" s="8"/>
      <c r="I219" s="31"/>
      <c r="J219" s="31">
        <v>137000</v>
      </c>
      <c r="K219" s="31"/>
      <c r="L219" s="31">
        <f t="shared" si="41"/>
        <v>137000</v>
      </c>
      <c r="M219" s="31">
        <f t="shared" si="42"/>
        <v>137000</v>
      </c>
      <c r="N219" s="8"/>
      <c r="O219" s="81"/>
    </row>
    <row r="220" spans="1:15" s="14" customFormat="1" ht="99" customHeight="1" x14ac:dyDescent="0.45">
      <c r="A220" s="22"/>
      <c r="B220" s="8"/>
      <c r="C220" s="34"/>
      <c r="D220" s="27"/>
      <c r="E220" s="28" t="s">
        <v>229</v>
      </c>
      <c r="F220" s="8">
        <v>2020</v>
      </c>
      <c r="G220" s="30"/>
      <c r="H220" s="8"/>
      <c r="I220" s="31"/>
      <c r="J220" s="31">
        <v>200000</v>
      </c>
      <c r="K220" s="31"/>
      <c r="L220" s="31">
        <f t="shared" si="41"/>
        <v>200000</v>
      </c>
      <c r="M220" s="31">
        <f t="shared" si="42"/>
        <v>200000</v>
      </c>
      <c r="N220" s="8"/>
      <c r="O220" s="81"/>
    </row>
    <row r="221" spans="1:15" s="14" customFormat="1" ht="107.15" customHeight="1" x14ac:dyDescent="0.45">
      <c r="A221" s="22"/>
      <c r="B221" s="8"/>
      <c r="C221" s="34"/>
      <c r="D221" s="27"/>
      <c r="E221" s="28" t="s">
        <v>283</v>
      </c>
      <c r="F221" s="8">
        <v>2020</v>
      </c>
      <c r="G221" s="30"/>
      <c r="H221" s="8"/>
      <c r="I221" s="31"/>
      <c r="J221" s="31">
        <v>200000</v>
      </c>
      <c r="K221" s="31"/>
      <c r="L221" s="31">
        <f t="shared" si="41"/>
        <v>200000</v>
      </c>
      <c r="M221" s="31">
        <f t="shared" si="42"/>
        <v>200000</v>
      </c>
      <c r="N221" s="8"/>
      <c r="O221" s="81"/>
    </row>
    <row r="222" spans="1:15" s="14" customFormat="1" ht="126" x14ac:dyDescent="0.45">
      <c r="A222" s="22"/>
      <c r="B222" s="8"/>
      <c r="C222" s="34"/>
      <c r="D222" s="27"/>
      <c r="E222" s="28" t="s">
        <v>445</v>
      </c>
      <c r="F222" s="8">
        <v>2020</v>
      </c>
      <c r="G222" s="30"/>
      <c r="H222" s="8"/>
      <c r="I222" s="31"/>
      <c r="J222" s="31">
        <v>167400</v>
      </c>
      <c r="K222" s="31"/>
      <c r="L222" s="31">
        <f t="shared" si="41"/>
        <v>167400</v>
      </c>
      <c r="M222" s="31">
        <f t="shared" si="42"/>
        <v>167400</v>
      </c>
      <c r="N222" s="8"/>
      <c r="O222" s="81"/>
    </row>
    <row r="223" spans="1:15" s="14" customFormat="1" ht="110.15" customHeight="1" x14ac:dyDescent="0.45">
      <c r="A223" s="22"/>
      <c r="B223" s="8"/>
      <c r="C223" s="34"/>
      <c r="D223" s="27"/>
      <c r="E223" s="28" t="s">
        <v>446</v>
      </c>
      <c r="F223" s="8">
        <v>2020</v>
      </c>
      <c r="G223" s="30"/>
      <c r="H223" s="8"/>
      <c r="I223" s="31"/>
      <c r="J223" s="31">
        <v>285000</v>
      </c>
      <c r="K223" s="31"/>
      <c r="L223" s="31">
        <f t="shared" si="41"/>
        <v>285000</v>
      </c>
      <c r="M223" s="31">
        <f t="shared" si="42"/>
        <v>285000</v>
      </c>
      <c r="N223" s="8"/>
      <c r="O223" s="81"/>
    </row>
    <row r="224" spans="1:15" s="14" customFormat="1" ht="110.15" customHeight="1" x14ac:dyDescent="0.45">
      <c r="A224" s="22"/>
      <c r="B224" s="8"/>
      <c r="C224" s="34"/>
      <c r="D224" s="27"/>
      <c r="E224" s="28" t="s">
        <v>664</v>
      </c>
      <c r="F224" s="8">
        <v>2020</v>
      </c>
      <c r="G224" s="30"/>
      <c r="H224" s="8"/>
      <c r="I224" s="31"/>
      <c r="J224" s="31">
        <v>200000</v>
      </c>
      <c r="K224" s="31"/>
      <c r="L224" s="31">
        <f t="shared" si="41"/>
        <v>200000</v>
      </c>
      <c r="M224" s="31">
        <f t="shared" si="42"/>
        <v>200000</v>
      </c>
      <c r="N224" s="8"/>
      <c r="O224" s="81"/>
    </row>
    <row r="225" spans="1:15" s="14" customFormat="1" ht="108" customHeight="1" x14ac:dyDescent="0.45">
      <c r="A225" s="22"/>
      <c r="B225" s="8"/>
      <c r="C225" s="34"/>
      <c r="D225" s="27"/>
      <c r="E225" s="28" t="s">
        <v>230</v>
      </c>
      <c r="F225" s="8">
        <v>2020</v>
      </c>
      <c r="G225" s="30"/>
      <c r="H225" s="8"/>
      <c r="I225" s="31"/>
      <c r="J225" s="31">
        <v>150000</v>
      </c>
      <c r="K225" s="31"/>
      <c r="L225" s="31">
        <f t="shared" si="41"/>
        <v>150000</v>
      </c>
      <c r="M225" s="31">
        <f t="shared" si="42"/>
        <v>150000</v>
      </c>
      <c r="N225" s="8"/>
      <c r="O225" s="81"/>
    </row>
    <row r="226" spans="1:15" s="14" customFormat="1" ht="90.65" customHeight="1" x14ac:dyDescent="0.45">
      <c r="A226" s="22"/>
      <c r="B226" s="8"/>
      <c r="C226" s="34"/>
      <c r="D226" s="27"/>
      <c r="E226" s="28" t="s">
        <v>231</v>
      </c>
      <c r="F226" s="8">
        <v>2020</v>
      </c>
      <c r="G226" s="30"/>
      <c r="H226" s="8"/>
      <c r="I226" s="31"/>
      <c r="J226" s="31">
        <v>70000</v>
      </c>
      <c r="K226" s="31"/>
      <c r="L226" s="31">
        <f t="shared" si="41"/>
        <v>70000</v>
      </c>
      <c r="M226" s="31">
        <f t="shared" si="42"/>
        <v>70000</v>
      </c>
      <c r="N226" s="8"/>
      <c r="O226" s="81"/>
    </row>
    <row r="227" spans="1:15" s="14" customFormat="1" ht="111" customHeight="1" x14ac:dyDescent="0.45">
      <c r="A227" s="22"/>
      <c r="B227" s="8"/>
      <c r="C227" s="34"/>
      <c r="D227" s="35"/>
      <c r="E227" s="28" t="s">
        <v>232</v>
      </c>
      <c r="F227" s="8">
        <v>2020</v>
      </c>
      <c r="G227" s="30"/>
      <c r="H227" s="8"/>
      <c r="I227" s="31"/>
      <c r="J227" s="31">
        <v>130000</v>
      </c>
      <c r="K227" s="31"/>
      <c r="L227" s="31">
        <f t="shared" si="41"/>
        <v>130000</v>
      </c>
      <c r="M227" s="31">
        <f t="shared" si="42"/>
        <v>130000</v>
      </c>
      <c r="N227" s="8"/>
      <c r="O227" s="81"/>
    </row>
    <row r="228" spans="1:15" s="14" customFormat="1" ht="155.5" customHeight="1" x14ac:dyDescent="0.45">
      <c r="A228" s="22"/>
      <c r="B228" s="8"/>
      <c r="C228" s="34"/>
      <c r="D228" s="7"/>
      <c r="E228" s="28" t="s">
        <v>485</v>
      </c>
      <c r="F228" s="8">
        <v>2020</v>
      </c>
      <c r="G228" s="30">
        <v>1197030</v>
      </c>
      <c r="H228" s="8"/>
      <c r="I228" s="31"/>
      <c r="J228" s="31">
        <v>1087429.1599999999</v>
      </c>
      <c r="K228" s="31"/>
      <c r="L228" s="31">
        <f t="shared" si="41"/>
        <v>1087429.1599999999</v>
      </c>
      <c r="M228" s="31">
        <f t="shared" si="42"/>
        <v>1087429.1599999999</v>
      </c>
      <c r="N228" s="8">
        <v>100</v>
      </c>
      <c r="O228" s="81"/>
    </row>
    <row r="229" spans="1:15" s="14" customFormat="1" ht="127" customHeight="1" x14ac:dyDescent="0.45">
      <c r="A229" s="22"/>
      <c r="B229" s="8"/>
      <c r="C229" s="34"/>
      <c r="D229" s="7"/>
      <c r="E229" s="28" t="s">
        <v>486</v>
      </c>
      <c r="F229" s="8">
        <v>2020</v>
      </c>
      <c r="G229" s="30">
        <v>358968</v>
      </c>
      <c r="H229" s="8"/>
      <c r="I229" s="31"/>
      <c r="J229" s="31">
        <v>342596.04</v>
      </c>
      <c r="K229" s="31"/>
      <c r="L229" s="31">
        <f t="shared" si="41"/>
        <v>342596.04</v>
      </c>
      <c r="M229" s="31">
        <f t="shared" si="42"/>
        <v>342596.04</v>
      </c>
      <c r="N229" s="8">
        <v>100</v>
      </c>
      <c r="O229" s="81"/>
    </row>
    <row r="230" spans="1:15" s="14" customFormat="1" ht="127" customHeight="1" x14ac:dyDescent="0.45">
      <c r="A230" s="22"/>
      <c r="B230" s="8"/>
      <c r="C230" s="34"/>
      <c r="D230" s="7"/>
      <c r="E230" s="28" t="s">
        <v>642</v>
      </c>
      <c r="F230" s="8">
        <v>2020</v>
      </c>
      <c r="G230" s="30"/>
      <c r="H230" s="8"/>
      <c r="I230" s="31"/>
      <c r="J230" s="31">
        <v>169974.8</v>
      </c>
      <c r="K230" s="31"/>
      <c r="L230" s="31">
        <f t="shared" si="41"/>
        <v>169974.8</v>
      </c>
      <c r="M230" s="31">
        <f t="shared" si="42"/>
        <v>169974.8</v>
      </c>
      <c r="N230" s="8"/>
      <c r="O230" s="81"/>
    </row>
    <row r="231" spans="1:15" s="14" customFormat="1" ht="90" customHeight="1" x14ac:dyDescent="0.45">
      <c r="A231" s="22"/>
      <c r="B231" s="8"/>
      <c r="C231" s="34"/>
      <c r="D231" s="27"/>
      <c r="E231" s="28" t="s">
        <v>233</v>
      </c>
      <c r="F231" s="8">
        <v>2020</v>
      </c>
      <c r="G231" s="30"/>
      <c r="H231" s="8"/>
      <c r="I231" s="31"/>
      <c r="J231" s="31">
        <v>200000</v>
      </c>
      <c r="K231" s="31"/>
      <c r="L231" s="31">
        <f t="shared" si="41"/>
        <v>200000</v>
      </c>
      <c r="M231" s="31">
        <f t="shared" si="42"/>
        <v>200000</v>
      </c>
      <c r="N231" s="8"/>
      <c r="O231" s="81"/>
    </row>
    <row r="232" spans="1:15" s="14" customFormat="1" ht="137.5" customHeight="1" x14ac:dyDescent="0.45">
      <c r="A232" s="22"/>
      <c r="B232" s="8"/>
      <c r="C232" s="34"/>
      <c r="D232" s="7"/>
      <c r="E232" s="28" t="s">
        <v>284</v>
      </c>
      <c r="F232" s="8">
        <v>2020</v>
      </c>
      <c r="G232" s="30"/>
      <c r="H232" s="8"/>
      <c r="I232" s="31"/>
      <c r="J232" s="31">
        <v>915000</v>
      </c>
      <c r="K232" s="31"/>
      <c r="L232" s="31">
        <f t="shared" si="41"/>
        <v>915000</v>
      </c>
      <c r="M232" s="31">
        <f t="shared" si="42"/>
        <v>915000</v>
      </c>
      <c r="N232" s="8"/>
      <c r="O232" s="81"/>
    </row>
    <row r="233" spans="1:15" s="14" customFormat="1" ht="91" customHeight="1" x14ac:dyDescent="0.45">
      <c r="A233" s="22"/>
      <c r="B233" s="8"/>
      <c r="C233" s="34"/>
      <c r="D233" s="27"/>
      <c r="E233" s="28" t="s">
        <v>234</v>
      </c>
      <c r="F233" s="8">
        <v>2020</v>
      </c>
      <c r="G233" s="30"/>
      <c r="H233" s="8"/>
      <c r="I233" s="31"/>
      <c r="J233" s="31">
        <v>200000</v>
      </c>
      <c r="K233" s="31"/>
      <c r="L233" s="31">
        <f t="shared" si="41"/>
        <v>200000</v>
      </c>
      <c r="M233" s="31">
        <f t="shared" si="42"/>
        <v>200000</v>
      </c>
      <c r="N233" s="8"/>
      <c r="O233" s="81"/>
    </row>
    <row r="234" spans="1:15" s="14" customFormat="1" ht="120.65" customHeight="1" x14ac:dyDescent="0.45">
      <c r="A234" s="22"/>
      <c r="B234" s="8"/>
      <c r="C234" s="34"/>
      <c r="D234" s="7"/>
      <c r="E234" s="28" t="s">
        <v>316</v>
      </c>
      <c r="F234" s="8" t="s">
        <v>227</v>
      </c>
      <c r="G234" s="30">
        <v>638165</v>
      </c>
      <c r="H234" s="8">
        <v>7.8</v>
      </c>
      <c r="I234" s="31"/>
      <c r="J234" s="31">
        <v>588165</v>
      </c>
      <c r="K234" s="31"/>
      <c r="L234" s="31">
        <f t="shared" si="41"/>
        <v>588165</v>
      </c>
      <c r="M234" s="31">
        <f t="shared" si="42"/>
        <v>588165</v>
      </c>
      <c r="N234" s="8">
        <v>100</v>
      </c>
      <c r="O234" s="81"/>
    </row>
    <row r="235" spans="1:15" s="14" customFormat="1" ht="98.15" customHeight="1" x14ac:dyDescent="0.45">
      <c r="A235" s="22"/>
      <c r="B235" s="8"/>
      <c r="C235" s="34"/>
      <c r="D235" s="27"/>
      <c r="E235" s="28" t="s">
        <v>285</v>
      </c>
      <c r="F235" s="8">
        <v>2020</v>
      </c>
      <c r="G235" s="30"/>
      <c r="H235" s="8"/>
      <c r="I235" s="31"/>
      <c r="J235" s="31">
        <v>200000</v>
      </c>
      <c r="K235" s="31"/>
      <c r="L235" s="31">
        <f t="shared" si="41"/>
        <v>200000</v>
      </c>
      <c r="M235" s="31">
        <f t="shared" si="42"/>
        <v>200000</v>
      </c>
      <c r="N235" s="8"/>
      <c r="O235" s="81"/>
    </row>
    <row r="236" spans="1:15" s="14" customFormat="1" ht="91" customHeight="1" x14ac:dyDescent="0.45">
      <c r="A236" s="22"/>
      <c r="B236" s="8"/>
      <c r="C236" s="34"/>
      <c r="D236" s="27"/>
      <c r="E236" s="28" t="s">
        <v>286</v>
      </c>
      <c r="F236" s="8">
        <v>2020</v>
      </c>
      <c r="G236" s="30"/>
      <c r="H236" s="8"/>
      <c r="I236" s="31"/>
      <c r="J236" s="31">
        <v>200000</v>
      </c>
      <c r="K236" s="31"/>
      <c r="L236" s="31">
        <f t="shared" si="41"/>
        <v>200000</v>
      </c>
      <c r="M236" s="31">
        <f t="shared" si="42"/>
        <v>200000</v>
      </c>
      <c r="N236" s="8"/>
      <c r="O236" s="81"/>
    </row>
    <row r="237" spans="1:15" s="14" customFormat="1" ht="76" customHeight="1" x14ac:dyDescent="0.45">
      <c r="A237" s="22"/>
      <c r="B237" s="8"/>
      <c r="C237" s="34"/>
      <c r="D237" s="27"/>
      <c r="E237" s="28" t="s">
        <v>576</v>
      </c>
      <c r="F237" s="8">
        <v>2020</v>
      </c>
      <c r="G237" s="30"/>
      <c r="H237" s="8"/>
      <c r="I237" s="31"/>
      <c r="J237" s="31">
        <v>1066000</v>
      </c>
      <c r="K237" s="31"/>
      <c r="L237" s="31">
        <f t="shared" si="41"/>
        <v>1066000</v>
      </c>
      <c r="M237" s="31">
        <f t="shared" si="42"/>
        <v>1066000</v>
      </c>
      <c r="N237" s="8"/>
      <c r="O237" s="81"/>
    </row>
    <row r="238" spans="1:15" s="14" customFormat="1" ht="140.15" customHeight="1" x14ac:dyDescent="0.45">
      <c r="A238" s="22"/>
      <c r="B238" s="8"/>
      <c r="C238" s="34"/>
      <c r="D238" s="7"/>
      <c r="E238" s="28" t="s">
        <v>488</v>
      </c>
      <c r="F238" s="8">
        <v>2020</v>
      </c>
      <c r="G238" s="30"/>
      <c r="H238" s="8"/>
      <c r="I238" s="31"/>
      <c r="J238" s="31">
        <v>100214</v>
      </c>
      <c r="K238" s="31"/>
      <c r="L238" s="31">
        <f t="shared" si="41"/>
        <v>100214</v>
      </c>
      <c r="M238" s="31">
        <f t="shared" si="42"/>
        <v>100214</v>
      </c>
      <c r="N238" s="8"/>
      <c r="O238" s="81"/>
    </row>
    <row r="239" spans="1:15" s="14" customFormat="1" ht="87" customHeight="1" x14ac:dyDescent="0.45">
      <c r="A239" s="22"/>
      <c r="B239" s="8"/>
      <c r="C239" s="34"/>
      <c r="D239" s="7"/>
      <c r="E239" s="28" t="s">
        <v>317</v>
      </c>
      <c r="F239" s="8" t="s">
        <v>49</v>
      </c>
      <c r="G239" s="30">
        <v>3799984</v>
      </c>
      <c r="H239" s="50">
        <v>50</v>
      </c>
      <c r="I239" s="31"/>
      <c r="J239" s="31">
        <v>1899400</v>
      </c>
      <c r="K239" s="31"/>
      <c r="L239" s="31">
        <f t="shared" si="41"/>
        <v>1899400</v>
      </c>
      <c r="M239" s="31">
        <f t="shared" si="42"/>
        <v>1899400</v>
      </c>
      <c r="N239" s="8">
        <v>100</v>
      </c>
      <c r="O239" s="81"/>
    </row>
    <row r="240" spans="1:15" s="14" customFormat="1" ht="137.15" customHeight="1" x14ac:dyDescent="0.45">
      <c r="A240" s="22"/>
      <c r="B240" s="8"/>
      <c r="C240" s="34"/>
      <c r="D240" s="7"/>
      <c r="E240" s="28" t="s">
        <v>487</v>
      </c>
      <c r="F240" s="8">
        <v>2020</v>
      </c>
      <c r="G240" s="30"/>
      <c r="H240" s="8"/>
      <c r="I240" s="31"/>
      <c r="J240" s="31">
        <v>100000</v>
      </c>
      <c r="K240" s="31"/>
      <c r="L240" s="31">
        <f t="shared" si="41"/>
        <v>100000</v>
      </c>
      <c r="M240" s="31">
        <f t="shared" si="42"/>
        <v>100000</v>
      </c>
      <c r="N240" s="8"/>
      <c r="O240" s="81"/>
    </row>
    <row r="241" spans="1:15" s="14" customFormat="1" ht="89.15" customHeight="1" x14ac:dyDescent="0.45">
      <c r="A241" s="22"/>
      <c r="B241" s="8"/>
      <c r="C241" s="34"/>
      <c r="D241" s="27"/>
      <c r="E241" s="28" t="s">
        <v>235</v>
      </c>
      <c r="F241" s="8">
        <v>2020</v>
      </c>
      <c r="G241" s="30"/>
      <c r="H241" s="8"/>
      <c r="I241" s="31"/>
      <c r="J241" s="31">
        <v>100000</v>
      </c>
      <c r="K241" s="31"/>
      <c r="L241" s="31">
        <f t="shared" si="41"/>
        <v>100000</v>
      </c>
      <c r="M241" s="31">
        <f t="shared" si="42"/>
        <v>100000</v>
      </c>
      <c r="N241" s="8"/>
      <c r="O241" s="81"/>
    </row>
    <row r="242" spans="1:15" s="14" customFormat="1" ht="89.15" customHeight="1" x14ac:dyDescent="0.45">
      <c r="A242" s="22"/>
      <c r="B242" s="8"/>
      <c r="C242" s="34"/>
      <c r="D242" s="27"/>
      <c r="E242" s="28" t="s">
        <v>318</v>
      </c>
      <c r="F242" s="8">
        <v>2020</v>
      </c>
      <c r="G242" s="30"/>
      <c r="H242" s="8"/>
      <c r="I242" s="31"/>
      <c r="J242" s="31">
        <v>200000</v>
      </c>
      <c r="K242" s="31"/>
      <c r="L242" s="31">
        <f t="shared" si="41"/>
        <v>200000</v>
      </c>
      <c r="M242" s="31">
        <f t="shared" si="42"/>
        <v>200000</v>
      </c>
      <c r="N242" s="8"/>
      <c r="O242" s="81"/>
    </row>
    <row r="243" spans="1:15" s="14" customFormat="1" ht="100.5" customHeight="1" x14ac:dyDescent="0.45">
      <c r="A243" s="22"/>
      <c r="B243" s="8"/>
      <c r="C243" s="34"/>
      <c r="D243" s="27"/>
      <c r="E243" s="28" t="s">
        <v>447</v>
      </c>
      <c r="F243" s="8">
        <v>2020</v>
      </c>
      <c r="G243" s="30"/>
      <c r="H243" s="8"/>
      <c r="I243" s="31"/>
      <c r="J243" s="31">
        <v>323000</v>
      </c>
      <c r="K243" s="31"/>
      <c r="L243" s="31">
        <f>K243+J243</f>
        <v>323000</v>
      </c>
      <c r="M243" s="31">
        <f>I243+L243</f>
        <v>323000</v>
      </c>
      <c r="N243" s="8"/>
      <c r="O243" s="81"/>
    </row>
    <row r="244" spans="1:15" s="14" customFormat="1" ht="112.5" customHeight="1" x14ac:dyDescent="0.45">
      <c r="A244" s="22"/>
      <c r="B244" s="8"/>
      <c r="C244" s="34"/>
      <c r="D244" s="7"/>
      <c r="E244" s="28" t="s">
        <v>319</v>
      </c>
      <c r="F244" s="8" t="s">
        <v>236</v>
      </c>
      <c r="G244" s="30">
        <v>749640</v>
      </c>
      <c r="H244" s="8">
        <v>5.3</v>
      </c>
      <c r="I244" s="31"/>
      <c r="J244" s="31">
        <v>710250</v>
      </c>
      <c r="K244" s="31"/>
      <c r="L244" s="31">
        <f t="shared" ref="L244:L258" si="43">K244+J244</f>
        <v>710250</v>
      </c>
      <c r="M244" s="31">
        <f t="shared" ref="M244:M258" si="44">I244+L244</f>
        <v>710250</v>
      </c>
      <c r="N244" s="8">
        <v>100</v>
      </c>
      <c r="O244" s="81"/>
    </row>
    <row r="245" spans="1:15" s="14" customFormat="1" ht="86.15" customHeight="1" x14ac:dyDescent="0.45">
      <c r="A245" s="22"/>
      <c r="B245" s="8"/>
      <c r="C245" s="34"/>
      <c r="D245" s="27"/>
      <c r="E245" s="28" t="s">
        <v>589</v>
      </c>
      <c r="F245" s="8">
        <v>2020</v>
      </c>
      <c r="G245" s="30"/>
      <c r="H245" s="8"/>
      <c r="I245" s="31"/>
      <c r="J245" s="31">
        <v>200000</v>
      </c>
      <c r="K245" s="31"/>
      <c r="L245" s="31">
        <f t="shared" si="43"/>
        <v>200000</v>
      </c>
      <c r="M245" s="31">
        <f t="shared" si="44"/>
        <v>200000</v>
      </c>
      <c r="N245" s="8"/>
      <c r="O245" s="81"/>
    </row>
    <row r="246" spans="1:15" s="14" customFormat="1" ht="88" customHeight="1" x14ac:dyDescent="0.45">
      <c r="A246" s="22"/>
      <c r="B246" s="8"/>
      <c r="C246" s="34"/>
      <c r="D246" s="7"/>
      <c r="E246" s="28" t="s">
        <v>237</v>
      </c>
      <c r="F246" s="8">
        <v>2020</v>
      </c>
      <c r="G246" s="30"/>
      <c r="H246" s="8"/>
      <c r="I246" s="31"/>
      <c r="J246" s="31">
        <v>200000</v>
      </c>
      <c r="K246" s="31"/>
      <c r="L246" s="31">
        <f t="shared" si="43"/>
        <v>200000</v>
      </c>
      <c r="M246" s="31">
        <f t="shared" si="44"/>
        <v>200000</v>
      </c>
      <c r="N246" s="8"/>
      <c r="O246" s="81"/>
    </row>
    <row r="247" spans="1:15" s="14" customFormat="1" ht="99" customHeight="1" x14ac:dyDescent="0.45">
      <c r="A247" s="22"/>
      <c r="B247" s="8"/>
      <c r="C247" s="34"/>
      <c r="D247" s="7"/>
      <c r="E247" s="28" t="s">
        <v>510</v>
      </c>
      <c r="F247" s="8">
        <v>2020</v>
      </c>
      <c r="G247" s="30"/>
      <c r="H247" s="8"/>
      <c r="I247" s="31"/>
      <c r="J247" s="31">
        <v>209000</v>
      </c>
      <c r="K247" s="31"/>
      <c r="L247" s="31">
        <f t="shared" si="43"/>
        <v>209000</v>
      </c>
      <c r="M247" s="31">
        <f t="shared" si="44"/>
        <v>209000</v>
      </c>
      <c r="N247" s="8"/>
      <c r="O247" s="81"/>
    </row>
    <row r="248" spans="1:15" s="14" customFormat="1" ht="97" customHeight="1" x14ac:dyDescent="0.45">
      <c r="A248" s="22"/>
      <c r="B248" s="8"/>
      <c r="C248" s="34"/>
      <c r="D248" s="27"/>
      <c r="E248" s="28" t="s">
        <v>347</v>
      </c>
      <c r="F248" s="8">
        <v>2020</v>
      </c>
      <c r="G248" s="30"/>
      <c r="H248" s="8"/>
      <c r="I248" s="31"/>
      <c r="J248" s="31">
        <v>200000</v>
      </c>
      <c r="K248" s="31"/>
      <c r="L248" s="31">
        <f t="shared" si="43"/>
        <v>200000</v>
      </c>
      <c r="M248" s="31">
        <f t="shared" si="44"/>
        <v>200000</v>
      </c>
      <c r="N248" s="8"/>
      <c r="O248" s="81"/>
    </row>
    <row r="249" spans="1:15" s="14" customFormat="1" ht="72" x14ac:dyDescent="0.45">
      <c r="A249" s="22"/>
      <c r="B249" s="8"/>
      <c r="C249" s="34"/>
      <c r="D249" s="27"/>
      <c r="E249" s="28" t="s">
        <v>503</v>
      </c>
      <c r="F249" s="8">
        <v>2020</v>
      </c>
      <c r="G249" s="30"/>
      <c r="H249" s="8"/>
      <c r="I249" s="31"/>
      <c r="J249" s="31">
        <v>950000</v>
      </c>
      <c r="K249" s="31"/>
      <c r="L249" s="31">
        <f t="shared" si="43"/>
        <v>950000</v>
      </c>
      <c r="M249" s="31">
        <f t="shared" si="44"/>
        <v>950000</v>
      </c>
      <c r="N249" s="8"/>
      <c r="O249" s="81"/>
    </row>
    <row r="250" spans="1:15" s="14" customFormat="1" ht="310" customHeight="1" x14ac:dyDescent="0.45">
      <c r="A250" s="22"/>
      <c r="B250" s="8"/>
      <c r="C250" s="34"/>
      <c r="D250" s="7"/>
      <c r="E250" s="28" t="s">
        <v>495</v>
      </c>
      <c r="F250" s="8"/>
      <c r="G250" s="30"/>
      <c r="H250" s="8"/>
      <c r="I250" s="31"/>
      <c r="J250" s="31">
        <v>700000</v>
      </c>
      <c r="K250" s="31"/>
      <c r="L250" s="31">
        <f t="shared" si="43"/>
        <v>700000</v>
      </c>
      <c r="M250" s="31">
        <f t="shared" si="44"/>
        <v>700000</v>
      </c>
      <c r="N250" s="8"/>
      <c r="O250" s="81"/>
    </row>
    <row r="251" spans="1:15" s="14" customFormat="1" ht="213" customHeight="1" x14ac:dyDescent="0.45">
      <c r="A251" s="22"/>
      <c r="B251" s="8"/>
      <c r="C251" s="34"/>
      <c r="D251" s="7"/>
      <c r="E251" s="28" t="s">
        <v>522</v>
      </c>
      <c r="F251" s="8">
        <v>2020</v>
      </c>
      <c r="G251" s="30"/>
      <c r="H251" s="8"/>
      <c r="I251" s="31"/>
      <c r="J251" s="31">
        <v>435000</v>
      </c>
      <c r="K251" s="31"/>
      <c r="L251" s="31">
        <f t="shared" si="43"/>
        <v>435000</v>
      </c>
      <c r="M251" s="31">
        <f t="shared" si="44"/>
        <v>435000</v>
      </c>
      <c r="N251" s="8"/>
      <c r="O251" s="81"/>
    </row>
    <row r="252" spans="1:15" s="14" customFormat="1" ht="96" customHeight="1" x14ac:dyDescent="0.45">
      <c r="A252" s="22"/>
      <c r="B252" s="8"/>
      <c r="C252" s="34"/>
      <c r="D252" s="27"/>
      <c r="E252" s="28" t="s">
        <v>238</v>
      </c>
      <c r="F252" s="8">
        <v>2020</v>
      </c>
      <c r="G252" s="30"/>
      <c r="H252" s="8"/>
      <c r="I252" s="31"/>
      <c r="J252" s="31">
        <v>200000</v>
      </c>
      <c r="K252" s="31"/>
      <c r="L252" s="31">
        <f t="shared" si="43"/>
        <v>200000</v>
      </c>
      <c r="M252" s="31">
        <f t="shared" si="44"/>
        <v>200000</v>
      </c>
      <c r="N252" s="8"/>
      <c r="O252" s="81"/>
    </row>
    <row r="253" spans="1:15" s="14" customFormat="1" ht="116.5" customHeight="1" x14ac:dyDescent="0.45">
      <c r="A253" s="22"/>
      <c r="B253" s="8"/>
      <c r="C253" s="34"/>
      <c r="D253" s="27"/>
      <c r="E253" s="28" t="s">
        <v>586</v>
      </c>
      <c r="F253" s="8">
        <v>2020</v>
      </c>
      <c r="G253" s="30"/>
      <c r="H253" s="8"/>
      <c r="I253" s="31"/>
      <c r="J253" s="31">
        <v>290000</v>
      </c>
      <c r="K253" s="31"/>
      <c r="L253" s="31">
        <f t="shared" si="43"/>
        <v>290000</v>
      </c>
      <c r="M253" s="31">
        <f t="shared" si="44"/>
        <v>290000</v>
      </c>
      <c r="N253" s="8"/>
      <c r="O253" s="81"/>
    </row>
    <row r="254" spans="1:15" s="14" customFormat="1" ht="121.5" customHeight="1" x14ac:dyDescent="0.45">
      <c r="A254" s="22"/>
      <c r="B254" s="8"/>
      <c r="C254" s="34"/>
      <c r="D254" s="27"/>
      <c r="E254" s="28" t="s">
        <v>320</v>
      </c>
      <c r="F254" s="8">
        <v>2020</v>
      </c>
      <c r="G254" s="30"/>
      <c r="H254" s="8"/>
      <c r="I254" s="31"/>
      <c r="J254" s="31">
        <v>200000</v>
      </c>
      <c r="K254" s="31"/>
      <c r="L254" s="31">
        <f t="shared" si="43"/>
        <v>200000</v>
      </c>
      <c r="M254" s="31">
        <f t="shared" si="44"/>
        <v>200000</v>
      </c>
      <c r="N254" s="8"/>
      <c r="O254" s="81"/>
    </row>
    <row r="255" spans="1:15" s="14" customFormat="1" ht="126" x14ac:dyDescent="0.45">
      <c r="A255" s="22"/>
      <c r="B255" s="8"/>
      <c r="C255" s="34"/>
      <c r="D255" s="27"/>
      <c r="E255" s="28" t="s">
        <v>287</v>
      </c>
      <c r="F255" s="8">
        <v>2020</v>
      </c>
      <c r="G255" s="30"/>
      <c r="H255" s="8"/>
      <c r="I255" s="31"/>
      <c r="J255" s="31">
        <v>200000</v>
      </c>
      <c r="K255" s="31"/>
      <c r="L255" s="31">
        <f t="shared" si="43"/>
        <v>200000</v>
      </c>
      <c r="M255" s="31">
        <f t="shared" si="44"/>
        <v>200000</v>
      </c>
      <c r="N255" s="8"/>
      <c r="O255" s="81"/>
    </row>
    <row r="256" spans="1:15" s="14" customFormat="1" ht="137.15" customHeight="1" x14ac:dyDescent="0.45">
      <c r="A256" s="22"/>
      <c r="B256" s="8"/>
      <c r="C256" s="34"/>
      <c r="D256" s="27"/>
      <c r="E256" s="28" t="s">
        <v>643</v>
      </c>
      <c r="F256" s="8">
        <v>2020</v>
      </c>
      <c r="G256" s="30"/>
      <c r="H256" s="8"/>
      <c r="I256" s="31"/>
      <c r="J256" s="31">
        <v>200000</v>
      </c>
      <c r="K256" s="31"/>
      <c r="L256" s="31">
        <f t="shared" si="43"/>
        <v>200000</v>
      </c>
      <c r="M256" s="31">
        <f t="shared" si="44"/>
        <v>200000</v>
      </c>
      <c r="N256" s="8"/>
      <c r="O256" s="81"/>
    </row>
    <row r="257" spans="1:15" s="14" customFormat="1" ht="121.5" customHeight="1" x14ac:dyDescent="0.45">
      <c r="A257" s="22"/>
      <c r="B257" s="8"/>
      <c r="C257" s="34"/>
      <c r="D257" s="27"/>
      <c r="E257" s="28" t="s">
        <v>322</v>
      </c>
      <c r="F257" s="8">
        <v>2020</v>
      </c>
      <c r="G257" s="30"/>
      <c r="H257" s="8"/>
      <c r="I257" s="31"/>
      <c r="J257" s="31">
        <v>150000</v>
      </c>
      <c r="K257" s="31"/>
      <c r="L257" s="31">
        <f t="shared" si="43"/>
        <v>150000</v>
      </c>
      <c r="M257" s="31">
        <f t="shared" si="44"/>
        <v>150000</v>
      </c>
      <c r="N257" s="8"/>
      <c r="O257" s="81"/>
    </row>
    <row r="258" spans="1:15" s="14" customFormat="1" ht="105" customHeight="1" x14ac:dyDescent="0.45">
      <c r="A258" s="22"/>
      <c r="B258" s="8"/>
      <c r="C258" s="34"/>
      <c r="D258" s="27"/>
      <c r="E258" s="28" t="s">
        <v>288</v>
      </c>
      <c r="F258" s="8">
        <v>2020</v>
      </c>
      <c r="G258" s="30"/>
      <c r="H258" s="8"/>
      <c r="I258" s="31"/>
      <c r="J258" s="31">
        <v>200000</v>
      </c>
      <c r="K258" s="31"/>
      <c r="L258" s="31">
        <f t="shared" si="43"/>
        <v>200000</v>
      </c>
      <c r="M258" s="31">
        <f t="shared" si="44"/>
        <v>200000</v>
      </c>
      <c r="N258" s="8"/>
      <c r="O258" s="81"/>
    </row>
    <row r="259" spans="1:15" s="18" customFormat="1" ht="72" customHeight="1" x14ac:dyDescent="0.45">
      <c r="A259" s="15"/>
      <c r="B259" s="7"/>
      <c r="C259" s="17"/>
      <c r="D259" s="9"/>
      <c r="E259" s="21" t="s">
        <v>644</v>
      </c>
      <c r="F259" s="7"/>
      <c r="G259" s="10"/>
      <c r="H259" s="7"/>
      <c r="I259" s="13">
        <f>I260</f>
        <v>0</v>
      </c>
      <c r="J259" s="13">
        <f t="shared" ref="J259:M259" si="45">J260</f>
        <v>150000</v>
      </c>
      <c r="K259" s="13">
        <f t="shared" si="45"/>
        <v>0</v>
      </c>
      <c r="L259" s="13">
        <f t="shared" si="45"/>
        <v>150000</v>
      </c>
      <c r="M259" s="13">
        <f t="shared" si="45"/>
        <v>150000</v>
      </c>
      <c r="N259" s="7"/>
      <c r="O259" s="81"/>
    </row>
    <row r="260" spans="1:15" s="14" customFormat="1" ht="110" customHeight="1" x14ac:dyDescent="0.45">
      <c r="A260" s="33"/>
      <c r="B260" s="8"/>
      <c r="C260" s="34"/>
      <c r="D260" s="35"/>
      <c r="E260" s="28" t="s">
        <v>645</v>
      </c>
      <c r="F260" s="8">
        <v>2020</v>
      </c>
      <c r="G260" s="8"/>
      <c r="H260" s="8"/>
      <c r="I260" s="31"/>
      <c r="J260" s="31">
        <v>150000</v>
      </c>
      <c r="K260" s="37"/>
      <c r="L260" s="31">
        <f t="shared" ref="L260" si="46">K260+J260</f>
        <v>150000</v>
      </c>
      <c r="M260" s="31">
        <f t="shared" ref="M260" si="47">I260+L260</f>
        <v>150000</v>
      </c>
      <c r="N260" s="7"/>
      <c r="O260" s="81"/>
    </row>
    <row r="261" spans="1:15" s="18" customFormat="1" ht="48.5" customHeight="1" x14ac:dyDescent="0.45">
      <c r="A261" s="15"/>
      <c r="B261" s="7"/>
      <c r="C261" s="17"/>
      <c r="D261" s="9"/>
      <c r="E261" s="21" t="s">
        <v>646</v>
      </c>
      <c r="F261" s="7"/>
      <c r="G261" s="10"/>
      <c r="H261" s="7"/>
      <c r="I261" s="13">
        <f>I262+I263+I264</f>
        <v>0</v>
      </c>
      <c r="J261" s="13">
        <f t="shared" ref="J261" si="48">J262+J263+J264</f>
        <v>300000</v>
      </c>
      <c r="K261" s="13">
        <f>K262+K263+K264</f>
        <v>0</v>
      </c>
      <c r="L261" s="13">
        <f t="shared" ref="L261:M261" si="49">L262+L263+L264</f>
        <v>300000</v>
      </c>
      <c r="M261" s="13">
        <f t="shared" si="49"/>
        <v>300000</v>
      </c>
      <c r="N261" s="7"/>
      <c r="O261" s="81"/>
    </row>
    <row r="262" spans="1:15" s="14" customFormat="1" ht="72" customHeight="1" x14ac:dyDescent="0.45">
      <c r="A262" s="33"/>
      <c r="B262" s="8"/>
      <c r="C262" s="34"/>
      <c r="D262" s="35"/>
      <c r="E262" s="35" t="s">
        <v>325</v>
      </c>
      <c r="F262" s="8">
        <v>2020</v>
      </c>
      <c r="G262" s="8"/>
      <c r="H262" s="8"/>
      <c r="I262" s="31"/>
      <c r="J262" s="31">
        <v>100000</v>
      </c>
      <c r="K262" s="37"/>
      <c r="L262" s="31">
        <f t="shared" ref="L262:L264" si="50">K262+J262</f>
        <v>100000</v>
      </c>
      <c r="M262" s="31">
        <f t="shared" ref="M262:M264" si="51">I262+L262</f>
        <v>100000</v>
      </c>
      <c r="N262" s="7"/>
      <c r="O262" s="81"/>
    </row>
    <row r="263" spans="1:15" s="14" customFormat="1" ht="105" customHeight="1" x14ac:dyDescent="0.45">
      <c r="A263" s="33"/>
      <c r="B263" s="8"/>
      <c r="C263" s="34"/>
      <c r="D263" s="35"/>
      <c r="E263" s="35" t="s">
        <v>323</v>
      </c>
      <c r="F263" s="8">
        <v>2020</v>
      </c>
      <c r="G263" s="8"/>
      <c r="H263" s="8"/>
      <c r="I263" s="31"/>
      <c r="J263" s="31">
        <v>100000</v>
      </c>
      <c r="K263" s="37"/>
      <c r="L263" s="31">
        <f t="shared" si="50"/>
        <v>100000</v>
      </c>
      <c r="M263" s="31">
        <f t="shared" si="51"/>
        <v>100000</v>
      </c>
      <c r="N263" s="7"/>
      <c r="O263" s="81"/>
    </row>
    <row r="264" spans="1:15" s="14" customFormat="1" ht="67" customHeight="1" x14ac:dyDescent="0.45">
      <c r="A264" s="33"/>
      <c r="B264" s="8"/>
      <c r="C264" s="34"/>
      <c r="D264" s="35"/>
      <c r="E264" s="57" t="s">
        <v>240</v>
      </c>
      <c r="F264" s="8">
        <v>2020</v>
      </c>
      <c r="G264" s="8"/>
      <c r="H264" s="8"/>
      <c r="I264" s="31"/>
      <c r="J264" s="31">
        <v>100000</v>
      </c>
      <c r="K264" s="37"/>
      <c r="L264" s="31">
        <f t="shared" si="50"/>
        <v>100000</v>
      </c>
      <c r="M264" s="31">
        <f t="shared" si="51"/>
        <v>100000</v>
      </c>
      <c r="N264" s="7"/>
      <c r="O264" s="81"/>
    </row>
    <row r="265" spans="1:15" s="18" customFormat="1" ht="46.5" customHeight="1" x14ac:dyDescent="0.45">
      <c r="A265" s="15"/>
      <c r="B265" s="7"/>
      <c r="C265" s="17"/>
      <c r="D265" s="9"/>
      <c r="E265" s="21" t="s">
        <v>647</v>
      </c>
      <c r="F265" s="7"/>
      <c r="G265" s="10"/>
      <c r="H265" s="7"/>
      <c r="I265" s="13">
        <f>I266</f>
        <v>0</v>
      </c>
      <c r="J265" s="13">
        <f t="shared" ref="J265:M265" si="52">J266</f>
        <v>300000</v>
      </c>
      <c r="K265" s="13">
        <f>K266</f>
        <v>0</v>
      </c>
      <c r="L265" s="13">
        <f t="shared" si="52"/>
        <v>300000</v>
      </c>
      <c r="M265" s="13">
        <f t="shared" si="52"/>
        <v>300000</v>
      </c>
      <c r="N265" s="7"/>
      <c r="O265" s="81"/>
    </row>
    <row r="266" spans="1:15" s="32" customFormat="1" ht="86.15" customHeight="1" x14ac:dyDescent="0.45">
      <c r="A266" s="24"/>
      <c r="B266" s="38"/>
      <c r="C266" s="26"/>
      <c r="D266" s="27"/>
      <c r="E266" s="35" t="s">
        <v>467</v>
      </c>
      <c r="F266" s="8">
        <v>2020</v>
      </c>
      <c r="G266" s="37"/>
      <c r="H266" s="38"/>
      <c r="I266" s="31"/>
      <c r="J266" s="31">
        <v>300000</v>
      </c>
      <c r="K266" s="31"/>
      <c r="L266" s="31">
        <f>J266+K266</f>
        <v>300000</v>
      </c>
      <c r="M266" s="31">
        <f>I266+L266</f>
        <v>300000</v>
      </c>
      <c r="N266" s="22"/>
      <c r="O266" s="81"/>
    </row>
    <row r="267" spans="1:15" s="18" customFormat="1" ht="100" customHeight="1" x14ac:dyDescent="0.45">
      <c r="A267" s="15" t="s">
        <v>480</v>
      </c>
      <c r="B267" s="7">
        <v>7363</v>
      </c>
      <c r="C267" s="17" t="s">
        <v>100</v>
      </c>
      <c r="D267" s="9" t="s">
        <v>689</v>
      </c>
      <c r="E267" s="21" t="s">
        <v>175</v>
      </c>
      <c r="F267" s="7"/>
      <c r="G267" s="10"/>
      <c r="H267" s="7"/>
      <c r="I267" s="10">
        <f>I269</f>
        <v>257580.91</v>
      </c>
      <c r="J267" s="10">
        <f t="shared" ref="J267:M268" si="53">J269</f>
        <v>0</v>
      </c>
      <c r="K267" s="10">
        <f>K269</f>
        <v>0</v>
      </c>
      <c r="L267" s="10">
        <f t="shared" si="53"/>
        <v>0</v>
      </c>
      <c r="M267" s="10">
        <f t="shared" si="53"/>
        <v>257580.91</v>
      </c>
      <c r="N267" s="7"/>
      <c r="O267" s="81"/>
    </row>
    <row r="268" spans="1:15" s="91" customFormat="1" ht="76" customHeight="1" x14ac:dyDescent="0.35">
      <c r="A268" s="97"/>
      <c r="B268" s="86"/>
      <c r="C268" s="87"/>
      <c r="D268" s="85" t="s">
        <v>656</v>
      </c>
      <c r="E268" s="130"/>
      <c r="F268" s="86"/>
      <c r="G268" s="88"/>
      <c r="H268" s="86"/>
      <c r="I268" s="89">
        <f>I270</f>
        <v>250078.55</v>
      </c>
      <c r="J268" s="89">
        <f t="shared" si="53"/>
        <v>0</v>
      </c>
      <c r="K268" s="89">
        <f t="shared" si="53"/>
        <v>0</v>
      </c>
      <c r="L268" s="89">
        <f t="shared" si="53"/>
        <v>0</v>
      </c>
      <c r="M268" s="89">
        <f t="shared" si="53"/>
        <v>250078.55</v>
      </c>
      <c r="N268" s="86"/>
      <c r="O268" s="90"/>
    </row>
    <row r="269" spans="1:15" s="18" customFormat="1" ht="98.15" customHeight="1" x14ac:dyDescent="0.45">
      <c r="A269" s="15"/>
      <c r="B269" s="7"/>
      <c r="C269" s="17"/>
      <c r="D269" s="9"/>
      <c r="E269" s="35" t="s">
        <v>687</v>
      </c>
      <c r="F269" s="8" t="s">
        <v>39</v>
      </c>
      <c r="G269" s="30">
        <v>1462600</v>
      </c>
      <c r="H269" s="50">
        <v>82</v>
      </c>
      <c r="I269" s="31">
        <v>257580.91</v>
      </c>
      <c r="J269" s="31"/>
      <c r="K269" s="31"/>
      <c r="L269" s="31">
        <f>K269+J269</f>
        <v>0</v>
      </c>
      <c r="M269" s="31">
        <f>I269+L269</f>
        <v>257580.91</v>
      </c>
      <c r="N269" s="8">
        <v>100</v>
      </c>
      <c r="O269" s="81"/>
    </row>
    <row r="270" spans="1:15" s="91" customFormat="1" ht="58.5" customHeight="1" x14ac:dyDescent="0.35">
      <c r="A270" s="97"/>
      <c r="B270" s="86"/>
      <c r="C270" s="87"/>
      <c r="D270" s="98"/>
      <c r="E270" s="85" t="s">
        <v>656</v>
      </c>
      <c r="F270" s="86"/>
      <c r="G270" s="88"/>
      <c r="H270" s="86"/>
      <c r="I270" s="89">
        <v>250078.55</v>
      </c>
      <c r="J270" s="88"/>
      <c r="K270" s="89"/>
      <c r="L270" s="89">
        <f>J270+K270</f>
        <v>0</v>
      </c>
      <c r="M270" s="89">
        <f>I270+L270</f>
        <v>250078.55</v>
      </c>
      <c r="N270" s="86"/>
      <c r="O270" s="90"/>
    </row>
    <row r="271" spans="1:15" s="18" customFormat="1" ht="33.65" customHeight="1" x14ac:dyDescent="0.45">
      <c r="A271" s="15" t="s">
        <v>118</v>
      </c>
      <c r="B271" s="7">
        <v>7640</v>
      </c>
      <c r="C271" s="17" t="s">
        <v>119</v>
      </c>
      <c r="D271" s="9" t="s">
        <v>6</v>
      </c>
      <c r="E271" s="9"/>
      <c r="F271" s="7"/>
      <c r="G271" s="10"/>
      <c r="H271" s="7"/>
      <c r="I271" s="10">
        <f>I272+I273</f>
        <v>2993200</v>
      </c>
      <c r="J271" s="10">
        <f t="shared" ref="J271:M271" si="54">J272+J273</f>
        <v>71499.199999999997</v>
      </c>
      <c r="K271" s="10">
        <f t="shared" si="54"/>
        <v>160000</v>
      </c>
      <c r="L271" s="10">
        <f t="shared" si="54"/>
        <v>231499.2</v>
      </c>
      <c r="M271" s="10">
        <f t="shared" si="54"/>
        <v>3224699.2</v>
      </c>
      <c r="N271" s="7"/>
      <c r="O271" s="81"/>
    </row>
    <row r="272" spans="1:15" s="18" customFormat="1" ht="41.15" customHeight="1" x14ac:dyDescent="0.45">
      <c r="A272" s="22"/>
      <c r="B272" s="7"/>
      <c r="C272" s="17"/>
      <c r="D272" s="21"/>
      <c r="E272" s="21" t="s">
        <v>176</v>
      </c>
      <c r="F272" s="7"/>
      <c r="G272" s="10"/>
      <c r="H272" s="7"/>
      <c r="I272" s="13">
        <v>143200</v>
      </c>
      <c r="J272" s="13">
        <v>71499.199999999997</v>
      </c>
      <c r="K272" s="13"/>
      <c r="L272" s="13">
        <f>J272+K272</f>
        <v>71499.199999999997</v>
      </c>
      <c r="M272" s="13">
        <f>I272+L272</f>
        <v>214699.2</v>
      </c>
      <c r="N272" s="7"/>
      <c r="O272" s="81"/>
    </row>
    <row r="273" spans="1:15" s="18" customFormat="1" ht="24.65" customHeight="1" x14ac:dyDescent="0.45">
      <c r="A273" s="15"/>
      <c r="B273" s="7"/>
      <c r="C273" s="17"/>
      <c r="D273" s="9"/>
      <c r="E273" s="21" t="s">
        <v>175</v>
      </c>
      <c r="F273" s="7"/>
      <c r="G273" s="10"/>
      <c r="H273" s="7"/>
      <c r="I273" s="13">
        <f>I274+I276+I277+I275</f>
        <v>2850000</v>
      </c>
      <c r="J273" s="13">
        <f t="shared" ref="J273:M273" si="55">J274+J276+J277+J275</f>
        <v>0</v>
      </c>
      <c r="K273" s="13">
        <f t="shared" si="55"/>
        <v>160000</v>
      </c>
      <c r="L273" s="13">
        <f t="shared" si="55"/>
        <v>160000</v>
      </c>
      <c r="M273" s="13">
        <f t="shared" si="55"/>
        <v>3010000</v>
      </c>
      <c r="N273" s="7"/>
      <c r="O273" s="81"/>
    </row>
    <row r="274" spans="1:15" s="14" customFormat="1" ht="106" customHeight="1" x14ac:dyDescent="0.45">
      <c r="A274" s="33"/>
      <c r="B274" s="8"/>
      <c r="C274" s="34"/>
      <c r="D274" s="35"/>
      <c r="E274" s="57" t="s">
        <v>324</v>
      </c>
      <c r="F274" s="8">
        <v>2020</v>
      </c>
      <c r="G274" s="31"/>
      <c r="H274" s="8"/>
      <c r="I274" s="31">
        <v>1250000</v>
      </c>
      <c r="J274" s="31"/>
      <c r="K274" s="31"/>
      <c r="L274" s="31">
        <f t="shared" ref="L274:L277" si="56">K274+J274</f>
        <v>0</v>
      </c>
      <c r="M274" s="31">
        <f t="shared" ref="M274:M277" si="57">I274+L274</f>
        <v>1250000</v>
      </c>
      <c r="N274" s="7"/>
      <c r="O274" s="81"/>
    </row>
    <row r="275" spans="1:15" s="14" customFormat="1" ht="106" customHeight="1" x14ac:dyDescent="0.45">
      <c r="A275" s="33"/>
      <c r="B275" s="8"/>
      <c r="C275" s="34"/>
      <c r="D275" s="35"/>
      <c r="E275" s="57" t="s">
        <v>704</v>
      </c>
      <c r="F275" s="8">
        <v>2020</v>
      </c>
      <c r="G275" s="31"/>
      <c r="H275" s="8"/>
      <c r="I275" s="31"/>
      <c r="J275" s="31"/>
      <c r="K275" s="31">
        <v>160000</v>
      </c>
      <c r="L275" s="31">
        <f t="shared" ref="L275" si="58">K275+J275</f>
        <v>160000</v>
      </c>
      <c r="M275" s="31">
        <f t="shared" ref="M275" si="59">I275+L275</f>
        <v>160000</v>
      </c>
      <c r="N275" s="7"/>
      <c r="O275" s="81"/>
    </row>
    <row r="276" spans="1:15" s="14" customFormat="1" ht="121.5" customHeight="1" x14ac:dyDescent="0.45">
      <c r="A276" s="33"/>
      <c r="B276" s="8"/>
      <c r="C276" s="34"/>
      <c r="D276" s="35"/>
      <c r="E276" s="35" t="s">
        <v>249</v>
      </c>
      <c r="F276" s="8">
        <v>2020</v>
      </c>
      <c r="G276" s="31"/>
      <c r="H276" s="8"/>
      <c r="I276" s="31">
        <v>800000</v>
      </c>
      <c r="J276" s="31"/>
      <c r="K276" s="31"/>
      <c r="L276" s="31">
        <f t="shared" si="56"/>
        <v>0</v>
      </c>
      <c r="M276" s="31">
        <f t="shared" si="57"/>
        <v>800000</v>
      </c>
      <c r="N276" s="7"/>
      <c r="O276" s="81"/>
    </row>
    <row r="277" spans="1:15" s="14" customFormat="1" ht="127" customHeight="1" x14ac:dyDescent="0.45">
      <c r="A277" s="33"/>
      <c r="B277" s="8"/>
      <c r="C277" s="34"/>
      <c r="D277" s="35"/>
      <c r="E277" s="35" t="s">
        <v>567</v>
      </c>
      <c r="F277" s="8">
        <v>2020</v>
      </c>
      <c r="G277" s="31"/>
      <c r="H277" s="8"/>
      <c r="I277" s="31">
        <v>800000</v>
      </c>
      <c r="J277" s="31"/>
      <c r="K277" s="31"/>
      <c r="L277" s="31">
        <f t="shared" si="56"/>
        <v>0</v>
      </c>
      <c r="M277" s="31">
        <f t="shared" si="57"/>
        <v>800000</v>
      </c>
      <c r="N277" s="7"/>
      <c r="O277" s="81"/>
    </row>
    <row r="278" spans="1:15" s="14" customFormat="1" ht="50.15" customHeight="1" x14ac:dyDescent="0.45">
      <c r="A278" s="39" t="s">
        <v>120</v>
      </c>
      <c r="B278" s="8"/>
      <c r="C278" s="8"/>
      <c r="D278" s="9" t="s">
        <v>122</v>
      </c>
      <c r="E278" s="8"/>
      <c r="F278" s="8"/>
      <c r="G278" s="8"/>
      <c r="H278" s="8"/>
      <c r="I278" s="10">
        <f>I279</f>
        <v>103950074</v>
      </c>
      <c r="J278" s="10">
        <f t="shared" ref="J278:M278" si="60">J279</f>
        <v>0</v>
      </c>
      <c r="K278" s="10">
        <f t="shared" si="60"/>
        <v>4421070</v>
      </c>
      <c r="L278" s="10">
        <f t="shared" si="60"/>
        <v>4421070</v>
      </c>
      <c r="M278" s="10">
        <f t="shared" si="60"/>
        <v>108371144</v>
      </c>
      <c r="N278" s="8"/>
      <c r="O278" s="81"/>
    </row>
    <row r="279" spans="1:15" s="14" customFormat="1" ht="69.5" customHeight="1" x14ac:dyDescent="0.45">
      <c r="A279" s="40" t="s">
        <v>121</v>
      </c>
      <c r="B279" s="8"/>
      <c r="C279" s="34"/>
      <c r="D279" s="21" t="s">
        <v>670</v>
      </c>
      <c r="E279" s="35"/>
      <c r="F279" s="8"/>
      <c r="G279" s="31"/>
      <c r="H279" s="8"/>
      <c r="I279" s="13">
        <f>I281+I282+I283+I287+I286+I284+I285</f>
        <v>103950074</v>
      </c>
      <c r="J279" s="13">
        <f t="shared" ref="J279:M279" si="61">J281+J282+J283+J287+J286+J284+J285</f>
        <v>0</v>
      </c>
      <c r="K279" s="13">
        <f t="shared" si="61"/>
        <v>4421070</v>
      </c>
      <c r="L279" s="13">
        <f t="shared" si="61"/>
        <v>4421070</v>
      </c>
      <c r="M279" s="13">
        <f t="shared" si="61"/>
        <v>108371144</v>
      </c>
      <c r="N279" s="7"/>
      <c r="O279" s="81"/>
    </row>
    <row r="280" spans="1:15" s="18" customFormat="1" ht="28.5" customHeight="1" x14ac:dyDescent="0.45">
      <c r="A280" s="40"/>
      <c r="B280" s="7"/>
      <c r="C280" s="17"/>
      <c r="D280" s="21" t="s">
        <v>669</v>
      </c>
      <c r="E280" s="21"/>
      <c r="F280" s="7"/>
      <c r="G280" s="10"/>
      <c r="H280" s="7"/>
      <c r="I280" s="13">
        <f>I288</f>
        <v>14714700</v>
      </c>
      <c r="J280" s="13">
        <f t="shared" ref="J280:M280" si="62">J288</f>
        <v>0</v>
      </c>
      <c r="K280" s="13">
        <f t="shared" si="62"/>
        <v>0</v>
      </c>
      <c r="L280" s="13">
        <f t="shared" si="62"/>
        <v>0</v>
      </c>
      <c r="M280" s="13">
        <f t="shared" si="62"/>
        <v>14714700</v>
      </c>
      <c r="N280" s="7"/>
      <c r="O280" s="80"/>
    </row>
    <row r="281" spans="1:15" s="14" customFormat="1" ht="64.5" customHeight="1" x14ac:dyDescent="0.45">
      <c r="A281" s="15" t="s">
        <v>123</v>
      </c>
      <c r="B281" s="7">
        <v>2010</v>
      </c>
      <c r="C281" s="17" t="s">
        <v>124</v>
      </c>
      <c r="D281" s="9" t="s">
        <v>125</v>
      </c>
      <c r="E281" s="21" t="s">
        <v>178</v>
      </c>
      <c r="F281" s="8"/>
      <c r="G281" s="31"/>
      <c r="H281" s="8"/>
      <c r="I281" s="10">
        <f>39265500+5930000+1600000</f>
        <v>46795500</v>
      </c>
      <c r="J281" s="10">
        <f>-16080000-2500000</f>
        <v>-18580000</v>
      </c>
      <c r="K281" s="10">
        <f>5618800+30000</f>
        <v>5648800</v>
      </c>
      <c r="L281" s="10">
        <f>J281+K281</f>
        <v>-12931200</v>
      </c>
      <c r="M281" s="10">
        <f>I281+L281</f>
        <v>33864300</v>
      </c>
      <c r="N281" s="7"/>
      <c r="O281" s="81"/>
    </row>
    <row r="282" spans="1:15" s="14" customFormat="1" ht="68.5" customHeight="1" x14ac:dyDescent="0.45">
      <c r="A282" s="15" t="s">
        <v>126</v>
      </c>
      <c r="B282" s="7">
        <v>2030</v>
      </c>
      <c r="C282" s="17" t="s">
        <v>127</v>
      </c>
      <c r="D282" s="9" t="s">
        <v>128</v>
      </c>
      <c r="E282" s="21" t="s">
        <v>178</v>
      </c>
      <c r="F282" s="8"/>
      <c r="G282" s="31"/>
      <c r="H282" s="8"/>
      <c r="I282" s="10">
        <v>15040600</v>
      </c>
      <c r="J282" s="10">
        <v>-8240600</v>
      </c>
      <c r="K282" s="10"/>
      <c r="L282" s="10">
        <f>J282+K282</f>
        <v>-8240600</v>
      </c>
      <c r="M282" s="10">
        <f t="shared" ref="M282:M284" si="63">I282+L282</f>
        <v>6800000</v>
      </c>
      <c r="N282" s="7"/>
      <c r="O282" s="81"/>
    </row>
    <row r="283" spans="1:15" s="14" customFormat="1" ht="66.650000000000006" customHeight="1" x14ac:dyDescent="0.45">
      <c r="A283" s="15" t="s">
        <v>129</v>
      </c>
      <c r="B283" s="7">
        <v>2100</v>
      </c>
      <c r="C283" s="17" t="s">
        <v>130</v>
      </c>
      <c r="D283" s="9" t="s">
        <v>131</v>
      </c>
      <c r="E283" s="21" t="s">
        <v>178</v>
      </c>
      <c r="F283" s="8"/>
      <c r="G283" s="31"/>
      <c r="H283" s="8"/>
      <c r="I283" s="10">
        <v>1130000</v>
      </c>
      <c r="J283" s="10">
        <v>-560000</v>
      </c>
      <c r="K283" s="10"/>
      <c r="L283" s="10">
        <f t="shared" ref="L283:L284" si="64">J283+K283</f>
        <v>-560000</v>
      </c>
      <c r="M283" s="10">
        <f t="shared" si="63"/>
        <v>570000</v>
      </c>
      <c r="N283" s="7"/>
      <c r="O283" s="81"/>
    </row>
    <row r="284" spans="1:15" s="14" customFormat="1" ht="66.650000000000006" customHeight="1" x14ac:dyDescent="0.45">
      <c r="A284" s="15" t="s">
        <v>604</v>
      </c>
      <c r="B284" s="7">
        <v>2152</v>
      </c>
      <c r="C284" s="17" t="s">
        <v>605</v>
      </c>
      <c r="D284" s="9" t="s">
        <v>603</v>
      </c>
      <c r="E284" s="21" t="s">
        <v>178</v>
      </c>
      <c r="F284" s="8"/>
      <c r="G284" s="31"/>
      <c r="H284" s="8"/>
      <c r="I284" s="10">
        <v>16000000</v>
      </c>
      <c r="J284" s="10">
        <v>2500000</v>
      </c>
      <c r="K284" s="10">
        <v>-3576700</v>
      </c>
      <c r="L284" s="10">
        <f t="shared" si="64"/>
        <v>-1076700</v>
      </c>
      <c r="M284" s="10">
        <f t="shared" si="63"/>
        <v>14923300</v>
      </c>
      <c r="N284" s="7"/>
      <c r="O284" s="81"/>
    </row>
    <row r="285" spans="1:15" s="14" customFormat="1" ht="66.650000000000006" customHeight="1" x14ac:dyDescent="0.45">
      <c r="A285" s="15" t="s">
        <v>639</v>
      </c>
      <c r="B285" s="7">
        <v>7322</v>
      </c>
      <c r="C285" s="17" t="s">
        <v>2</v>
      </c>
      <c r="D285" s="61" t="s">
        <v>4</v>
      </c>
      <c r="E285" s="21" t="s">
        <v>178</v>
      </c>
      <c r="F285" s="8"/>
      <c r="G285" s="31"/>
      <c r="H285" s="8"/>
      <c r="I285" s="10"/>
      <c r="J285" s="10">
        <v>24880600</v>
      </c>
      <c r="K285" s="10">
        <v>2348970</v>
      </c>
      <c r="L285" s="10">
        <f t="shared" ref="L285" si="65">J285+K285</f>
        <v>27229570</v>
      </c>
      <c r="M285" s="10">
        <f t="shared" ref="M285" si="66">I285+L285</f>
        <v>27229570</v>
      </c>
      <c r="N285" s="7"/>
      <c r="O285" s="81"/>
    </row>
    <row r="286" spans="1:15" s="14" customFormat="1" ht="116.15" customHeight="1" x14ac:dyDescent="0.45">
      <c r="A286" s="15" t="s">
        <v>569</v>
      </c>
      <c r="B286" s="7">
        <v>7361</v>
      </c>
      <c r="C286" s="17" t="s">
        <v>100</v>
      </c>
      <c r="D286" s="9" t="s">
        <v>568</v>
      </c>
      <c r="E286" s="35" t="s">
        <v>570</v>
      </c>
      <c r="F286" s="8" t="s">
        <v>49</v>
      </c>
      <c r="G286" s="30">
        <v>9862532</v>
      </c>
      <c r="H286" s="50">
        <v>3.2</v>
      </c>
      <c r="I286" s="10">
        <v>3000000</v>
      </c>
      <c r="J286" s="10"/>
      <c r="K286" s="10"/>
      <c r="L286" s="10">
        <f>J286+K286</f>
        <v>0</v>
      </c>
      <c r="M286" s="10">
        <f>L286+I286</f>
        <v>3000000</v>
      </c>
      <c r="N286" s="50">
        <v>30</v>
      </c>
      <c r="O286" s="81"/>
    </row>
    <row r="287" spans="1:15" s="14" customFormat="1" ht="60.65" customHeight="1" x14ac:dyDescent="0.45">
      <c r="A287" s="15" t="s">
        <v>132</v>
      </c>
      <c r="B287" s="7">
        <v>7640</v>
      </c>
      <c r="C287" s="17" t="s">
        <v>119</v>
      </c>
      <c r="D287" s="9" t="s">
        <v>6</v>
      </c>
      <c r="E287" s="21" t="s">
        <v>668</v>
      </c>
      <c r="F287" s="8"/>
      <c r="G287" s="31"/>
      <c r="H287" s="8"/>
      <c r="I287" s="10">
        <f>25774304+109670-1500000-2400000</f>
        <v>21983974</v>
      </c>
      <c r="J287" s="10"/>
      <c r="K287" s="10"/>
      <c r="L287" s="10">
        <f>J287+K287</f>
        <v>0</v>
      </c>
      <c r="M287" s="10">
        <f>I287+L287</f>
        <v>21983974</v>
      </c>
      <c r="N287" s="7"/>
      <c r="O287" s="81"/>
    </row>
    <row r="288" spans="1:15" s="95" customFormat="1" ht="22.5" customHeight="1" x14ac:dyDescent="0.35">
      <c r="A288" s="97"/>
      <c r="B288" s="86"/>
      <c r="C288" s="87"/>
      <c r="D288" s="98"/>
      <c r="E288" s="130" t="s">
        <v>669</v>
      </c>
      <c r="F288" s="112"/>
      <c r="G288" s="129"/>
      <c r="H288" s="112"/>
      <c r="I288" s="131">
        <v>14714700</v>
      </c>
      <c r="J288" s="131"/>
      <c r="K288" s="131"/>
      <c r="L288" s="131"/>
      <c r="M288" s="131">
        <v>14714700</v>
      </c>
      <c r="N288" s="86"/>
      <c r="O288" s="90"/>
    </row>
    <row r="289" spans="1:15" s="14" customFormat="1" ht="71.5" customHeight="1" x14ac:dyDescent="0.45">
      <c r="A289" s="39" t="s">
        <v>133</v>
      </c>
      <c r="B289" s="8"/>
      <c r="C289" s="34"/>
      <c r="D289" s="41" t="s">
        <v>135</v>
      </c>
      <c r="E289" s="35"/>
      <c r="F289" s="8"/>
      <c r="G289" s="31"/>
      <c r="H289" s="8"/>
      <c r="I289" s="10">
        <f>I290</f>
        <v>1159540</v>
      </c>
      <c r="J289" s="10">
        <f t="shared" ref="J289:M289" si="67">J290</f>
        <v>0</v>
      </c>
      <c r="K289" s="10">
        <f t="shared" si="67"/>
        <v>0</v>
      </c>
      <c r="L289" s="10">
        <f t="shared" si="67"/>
        <v>0</v>
      </c>
      <c r="M289" s="10">
        <f t="shared" si="67"/>
        <v>1159540</v>
      </c>
      <c r="N289" s="7"/>
      <c r="O289" s="81"/>
    </row>
    <row r="290" spans="1:15" s="14" customFormat="1" ht="69.650000000000006" customHeight="1" x14ac:dyDescent="0.45">
      <c r="A290" s="40" t="s">
        <v>134</v>
      </c>
      <c r="B290" s="8"/>
      <c r="C290" s="34"/>
      <c r="D290" s="42" t="s">
        <v>135</v>
      </c>
      <c r="E290" s="35"/>
      <c r="F290" s="8"/>
      <c r="G290" s="31"/>
      <c r="H290" s="8"/>
      <c r="I290" s="13">
        <f>I292+I296+I291+I297</f>
        <v>1159540</v>
      </c>
      <c r="J290" s="13">
        <f t="shared" ref="J290:M290" si="68">J292+J296+J291+J297</f>
        <v>0</v>
      </c>
      <c r="K290" s="13">
        <f t="shared" si="68"/>
        <v>0</v>
      </c>
      <c r="L290" s="13">
        <f t="shared" si="68"/>
        <v>0</v>
      </c>
      <c r="M290" s="13">
        <f t="shared" si="68"/>
        <v>1159540</v>
      </c>
      <c r="N290" s="7"/>
      <c r="O290" s="81"/>
    </row>
    <row r="291" spans="1:15" s="18" customFormat="1" ht="123" customHeight="1" x14ac:dyDescent="0.45">
      <c r="A291" s="39" t="s">
        <v>512</v>
      </c>
      <c r="B291" s="7">
        <v>3104</v>
      </c>
      <c r="C291" s="17" t="s">
        <v>514</v>
      </c>
      <c r="D291" s="9" t="s">
        <v>513</v>
      </c>
      <c r="E291" s="21" t="s">
        <v>176</v>
      </c>
      <c r="F291" s="7"/>
      <c r="G291" s="10"/>
      <c r="H291" s="7"/>
      <c r="I291" s="10">
        <f>342900+20000</f>
        <v>362900</v>
      </c>
      <c r="J291" s="10"/>
      <c r="K291" s="10"/>
      <c r="L291" s="10">
        <f>K291+J291</f>
        <v>0</v>
      </c>
      <c r="M291" s="10">
        <f>I291+L291</f>
        <v>362900</v>
      </c>
      <c r="N291" s="7"/>
      <c r="O291" s="81"/>
    </row>
    <row r="292" spans="1:15" s="18" customFormat="1" ht="82" customHeight="1" x14ac:dyDescent="0.45">
      <c r="A292" s="39" t="s">
        <v>136</v>
      </c>
      <c r="B292" s="7">
        <v>3241</v>
      </c>
      <c r="C292" s="17" t="s">
        <v>137</v>
      </c>
      <c r="D292" s="9" t="s">
        <v>138</v>
      </c>
      <c r="E292" s="9"/>
      <c r="F292" s="7"/>
      <c r="G292" s="10"/>
      <c r="H292" s="7"/>
      <c r="I292" s="10">
        <f>I293+I294</f>
        <v>761000</v>
      </c>
      <c r="J292" s="10">
        <f t="shared" ref="J292:M292" si="69">J293+J294</f>
        <v>-200000</v>
      </c>
      <c r="K292" s="10">
        <f t="shared" si="69"/>
        <v>0</v>
      </c>
      <c r="L292" s="10">
        <f t="shared" si="69"/>
        <v>-200000</v>
      </c>
      <c r="M292" s="10">
        <f t="shared" si="69"/>
        <v>561000</v>
      </c>
      <c r="N292" s="7"/>
      <c r="O292" s="81"/>
    </row>
    <row r="293" spans="1:15" s="18" customFormat="1" ht="57.65" customHeight="1" x14ac:dyDescent="0.45">
      <c r="A293" s="22"/>
      <c r="B293" s="7"/>
      <c r="C293" s="17"/>
      <c r="D293" s="21"/>
      <c r="E293" s="21" t="s">
        <v>176</v>
      </c>
      <c r="F293" s="7"/>
      <c r="G293" s="10"/>
      <c r="H293" s="7"/>
      <c r="I293" s="13">
        <f>500000+40000+21000</f>
        <v>561000</v>
      </c>
      <c r="J293" s="13"/>
      <c r="K293" s="13"/>
      <c r="L293" s="13">
        <f>J293+K293</f>
        <v>0</v>
      </c>
      <c r="M293" s="13">
        <f>I293+L293</f>
        <v>561000</v>
      </c>
      <c r="N293" s="7"/>
      <c r="O293" s="81"/>
    </row>
    <row r="294" spans="1:15" s="18" customFormat="1" ht="47.15" customHeight="1" x14ac:dyDescent="0.45">
      <c r="A294" s="15"/>
      <c r="B294" s="7"/>
      <c r="C294" s="17"/>
      <c r="D294" s="9"/>
      <c r="E294" s="21" t="s">
        <v>179</v>
      </c>
      <c r="F294" s="7"/>
      <c r="G294" s="10"/>
      <c r="H294" s="7"/>
      <c r="I294" s="13">
        <f>I295</f>
        <v>200000</v>
      </c>
      <c r="J294" s="13">
        <f t="shared" ref="J294:M294" si="70">J295</f>
        <v>-200000</v>
      </c>
      <c r="K294" s="13">
        <f t="shared" si="70"/>
        <v>0</v>
      </c>
      <c r="L294" s="13">
        <f t="shared" si="70"/>
        <v>-200000</v>
      </c>
      <c r="M294" s="13">
        <f t="shared" si="70"/>
        <v>0</v>
      </c>
      <c r="N294" s="7"/>
      <c r="O294" s="81"/>
    </row>
    <row r="295" spans="1:15" s="14" customFormat="1" ht="66.650000000000006" customHeight="1" x14ac:dyDescent="0.45">
      <c r="A295" s="33"/>
      <c r="B295" s="8"/>
      <c r="C295" s="34"/>
      <c r="D295" s="35"/>
      <c r="E295" s="35" t="s">
        <v>246</v>
      </c>
      <c r="F295" s="8">
        <v>2020</v>
      </c>
      <c r="G295" s="30"/>
      <c r="H295" s="8"/>
      <c r="I295" s="31">
        <v>200000</v>
      </c>
      <c r="J295" s="31">
        <v>-200000</v>
      </c>
      <c r="K295" s="31"/>
      <c r="L295" s="31">
        <f>J295+K295</f>
        <v>-200000</v>
      </c>
      <c r="M295" s="31">
        <f>I295+L295</f>
        <v>0</v>
      </c>
      <c r="N295" s="8"/>
      <c r="O295" s="81"/>
    </row>
    <row r="296" spans="1:15" s="18" customFormat="1" ht="69.650000000000006" customHeight="1" x14ac:dyDescent="0.45">
      <c r="A296" s="39" t="s">
        <v>139</v>
      </c>
      <c r="B296" s="7">
        <v>3242</v>
      </c>
      <c r="C296" s="17" t="s">
        <v>137</v>
      </c>
      <c r="D296" s="9" t="s">
        <v>140</v>
      </c>
      <c r="E296" s="21" t="s">
        <v>179</v>
      </c>
      <c r="F296" s="7"/>
      <c r="G296" s="10"/>
      <c r="H296" s="7"/>
      <c r="I296" s="10">
        <v>35640</v>
      </c>
      <c r="J296" s="10"/>
      <c r="K296" s="10"/>
      <c r="L296" s="10">
        <f>J296+K296</f>
        <v>0</v>
      </c>
      <c r="M296" s="10">
        <f>I296+L296</f>
        <v>35640</v>
      </c>
      <c r="N296" s="7"/>
      <c r="O296" s="81"/>
    </row>
    <row r="297" spans="1:15" s="14" customFormat="1" ht="66.650000000000006" customHeight="1" x14ac:dyDescent="0.45">
      <c r="A297" s="15" t="s">
        <v>685</v>
      </c>
      <c r="B297" s="7">
        <v>7323</v>
      </c>
      <c r="C297" s="17" t="s">
        <v>2</v>
      </c>
      <c r="D297" s="9" t="s">
        <v>711</v>
      </c>
      <c r="E297" s="21" t="s">
        <v>179</v>
      </c>
      <c r="F297" s="8"/>
      <c r="G297" s="30"/>
      <c r="H297" s="8"/>
      <c r="I297" s="10">
        <f>I298</f>
        <v>0</v>
      </c>
      <c r="J297" s="10">
        <f t="shared" ref="J297:L297" si="71">J298</f>
        <v>200000</v>
      </c>
      <c r="K297" s="10">
        <f t="shared" si="71"/>
        <v>0</v>
      </c>
      <c r="L297" s="10">
        <f t="shared" si="71"/>
        <v>200000</v>
      </c>
      <c r="M297" s="10">
        <f t="shared" ref="M297:M298" si="72">I297+L297</f>
        <v>200000</v>
      </c>
      <c r="N297" s="8"/>
      <c r="O297" s="81"/>
    </row>
    <row r="298" spans="1:15" s="14" customFormat="1" ht="66.650000000000006" customHeight="1" x14ac:dyDescent="0.45">
      <c r="A298" s="33"/>
      <c r="B298" s="8"/>
      <c r="C298" s="34"/>
      <c r="D298" s="35"/>
      <c r="E298" s="35" t="s">
        <v>246</v>
      </c>
      <c r="F298" s="8">
        <v>2020</v>
      </c>
      <c r="G298" s="30"/>
      <c r="H298" s="8"/>
      <c r="I298" s="31"/>
      <c r="J298" s="31">
        <v>200000</v>
      </c>
      <c r="K298" s="31"/>
      <c r="L298" s="31">
        <f t="shared" ref="L298" si="73">J298+K298</f>
        <v>200000</v>
      </c>
      <c r="M298" s="31">
        <f t="shared" si="72"/>
        <v>200000</v>
      </c>
      <c r="N298" s="8"/>
      <c r="O298" s="81"/>
    </row>
    <row r="299" spans="1:15" s="14" customFormat="1" ht="63.65" customHeight="1" x14ac:dyDescent="0.45">
      <c r="A299" s="16" t="s">
        <v>141</v>
      </c>
      <c r="B299" s="43"/>
      <c r="C299" s="43"/>
      <c r="D299" s="41" t="s">
        <v>142</v>
      </c>
      <c r="E299" s="35"/>
      <c r="F299" s="8"/>
      <c r="G299" s="31"/>
      <c r="H299" s="8"/>
      <c r="I299" s="10">
        <f t="shared" ref="I299:M300" si="74">I300</f>
        <v>20000</v>
      </c>
      <c r="J299" s="10">
        <f t="shared" si="74"/>
        <v>0</v>
      </c>
      <c r="K299" s="10">
        <f t="shared" si="74"/>
        <v>0</v>
      </c>
      <c r="L299" s="10">
        <f t="shared" si="74"/>
        <v>0</v>
      </c>
      <c r="M299" s="10">
        <f t="shared" si="74"/>
        <v>20000</v>
      </c>
      <c r="N299" s="8"/>
      <c r="O299" s="81"/>
    </row>
    <row r="300" spans="1:15" s="14" customFormat="1" ht="49" customHeight="1" x14ac:dyDescent="0.45">
      <c r="A300" s="20" t="s">
        <v>143</v>
      </c>
      <c r="B300" s="44"/>
      <c r="C300" s="44"/>
      <c r="D300" s="42" t="s">
        <v>142</v>
      </c>
      <c r="E300" s="35"/>
      <c r="F300" s="8"/>
      <c r="G300" s="31"/>
      <c r="H300" s="8"/>
      <c r="I300" s="13">
        <f t="shared" si="74"/>
        <v>20000</v>
      </c>
      <c r="J300" s="13">
        <f t="shared" si="74"/>
        <v>0</v>
      </c>
      <c r="K300" s="13">
        <f>K301</f>
        <v>0</v>
      </c>
      <c r="L300" s="13">
        <f t="shared" si="74"/>
        <v>0</v>
      </c>
      <c r="M300" s="13">
        <f t="shared" si="74"/>
        <v>20000</v>
      </c>
      <c r="N300" s="8"/>
      <c r="O300" s="81"/>
    </row>
    <row r="301" spans="1:15" s="18" customFormat="1" ht="152.15" customHeight="1" x14ac:dyDescent="0.45">
      <c r="A301" s="39" t="s">
        <v>144</v>
      </c>
      <c r="B301" s="7">
        <v>3111</v>
      </c>
      <c r="C301" s="17" t="s">
        <v>145</v>
      </c>
      <c r="D301" s="9" t="s">
        <v>146</v>
      </c>
      <c r="E301" s="21" t="s">
        <v>176</v>
      </c>
      <c r="F301" s="7"/>
      <c r="G301" s="10"/>
      <c r="H301" s="7"/>
      <c r="I301" s="10">
        <v>20000</v>
      </c>
      <c r="J301" s="10"/>
      <c r="K301" s="10"/>
      <c r="L301" s="10">
        <f>J301+K301</f>
        <v>0</v>
      </c>
      <c r="M301" s="10">
        <f>I301+L301</f>
        <v>20000</v>
      </c>
      <c r="N301" s="7"/>
      <c r="O301" s="80"/>
    </row>
    <row r="302" spans="1:15" s="14" customFormat="1" ht="52" customHeight="1" x14ac:dyDescent="0.45">
      <c r="A302" s="39" t="s">
        <v>147</v>
      </c>
      <c r="B302" s="45"/>
      <c r="C302" s="45"/>
      <c r="D302" s="41" t="s">
        <v>148</v>
      </c>
      <c r="E302" s="35"/>
      <c r="F302" s="8"/>
      <c r="G302" s="31"/>
      <c r="H302" s="8"/>
      <c r="I302" s="10">
        <f>I303</f>
        <v>1290995</v>
      </c>
      <c r="J302" s="10">
        <f t="shared" ref="J302:M302" si="75">J303</f>
        <v>0</v>
      </c>
      <c r="K302" s="10">
        <f t="shared" si="75"/>
        <v>0</v>
      </c>
      <c r="L302" s="10">
        <f t="shared" si="75"/>
        <v>0</v>
      </c>
      <c r="M302" s="10">
        <f t="shared" si="75"/>
        <v>1290995</v>
      </c>
      <c r="N302" s="8"/>
      <c r="O302" s="80"/>
    </row>
    <row r="303" spans="1:15" s="14" customFormat="1" ht="48" customHeight="1" x14ac:dyDescent="0.45">
      <c r="A303" s="40" t="s">
        <v>149</v>
      </c>
      <c r="B303" s="46"/>
      <c r="C303" s="46"/>
      <c r="D303" s="42" t="s">
        <v>148</v>
      </c>
      <c r="E303" s="35"/>
      <c r="F303" s="8"/>
      <c r="G303" s="31"/>
      <c r="H303" s="8"/>
      <c r="I303" s="13">
        <f>I304+I305+I307+I306</f>
        <v>1290995</v>
      </c>
      <c r="J303" s="13">
        <f t="shared" ref="J303:M303" si="76">J304+J305+J307+J306</f>
        <v>0</v>
      </c>
      <c r="K303" s="13">
        <f>K304+K305+K307+K306</f>
        <v>0</v>
      </c>
      <c r="L303" s="13">
        <f t="shared" si="76"/>
        <v>0</v>
      </c>
      <c r="M303" s="13">
        <f t="shared" si="76"/>
        <v>1290995</v>
      </c>
      <c r="N303" s="8"/>
      <c r="O303" s="80"/>
    </row>
    <row r="304" spans="1:15" s="18" customFormat="1" ht="49" customHeight="1" x14ac:dyDescent="0.45">
      <c r="A304" s="39" t="s">
        <v>150</v>
      </c>
      <c r="B304" s="7">
        <v>1100</v>
      </c>
      <c r="C304" s="17" t="s">
        <v>112</v>
      </c>
      <c r="D304" s="9" t="s">
        <v>151</v>
      </c>
      <c r="E304" s="21" t="s">
        <v>176</v>
      </c>
      <c r="F304" s="7"/>
      <c r="G304" s="10"/>
      <c r="H304" s="7"/>
      <c r="I304" s="10">
        <f>500000+42000+15000</f>
        <v>557000</v>
      </c>
      <c r="J304" s="10"/>
      <c r="K304" s="10"/>
      <c r="L304" s="10">
        <f>J304+K304</f>
        <v>0</v>
      </c>
      <c r="M304" s="10">
        <f>I304+L304</f>
        <v>557000</v>
      </c>
      <c r="N304" s="7"/>
      <c r="O304" s="80"/>
    </row>
    <row r="305" spans="1:15" s="18" customFormat="1" ht="51" customHeight="1" x14ac:dyDescent="0.45">
      <c r="A305" s="39" t="s">
        <v>152</v>
      </c>
      <c r="B305" s="7">
        <v>4030</v>
      </c>
      <c r="C305" s="17" t="s">
        <v>153</v>
      </c>
      <c r="D305" s="9" t="s">
        <v>154</v>
      </c>
      <c r="E305" s="21" t="s">
        <v>176</v>
      </c>
      <c r="F305" s="7"/>
      <c r="G305" s="10"/>
      <c r="H305" s="7"/>
      <c r="I305" s="10">
        <f>100000+216795</f>
        <v>316795</v>
      </c>
      <c r="J305" s="10"/>
      <c r="K305" s="10"/>
      <c r="L305" s="10">
        <f>J305+K305</f>
        <v>0</v>
      </c>
      <c r="M305" s="10">
        <f>I305+L305</f>
        <v>316795</v>
      </c>
      <c r="N305" s="7"/>
      <c r="O305" s="80"/>
    </row>
    <row r="306" spans="1:15" s="18" customFormat="1" ht="83.15" customHeight="1" x14ac:dyDescent="0.45">
      <c r="A306" s="39" t="s">
        <v>515</v>
      </c>
      <c r="B306" s="7">
        <v>4060</v>
      </c>
      <c r="C306" s="17" t="s">
        <v>83</v>
      </c>
      <c r="D306" s="9" t="s">
        <v>516</v>
      </c>
      <c r="E306" s="21" t="s">
        <v>176</v>
      </c>
      <c r="F306" s="7"/>
      <c r="G306" s="10"/>
      <c r="H306" s="7"/>
      <c r="I306" s="10">
        <v>21200</v>
      </c>
      <c r="J306" s="10"/>
      <c r="K306" s="10"/>
      <c r="L306" s="10">
        <f>J306+K306</f>
        <v>0</v>
      </c>
      <c r="M306" s="10">
        <f>I306+L306</f>
        <v>21200</v>
      </c>
      <c r="N306" s="7"/>
      <c r="O306" s="80"/>
    </row>
    <row r="307" spans="1:15" s="18" customFormat="1" ht="49" customHeight="1" x14ac:dyDescent="0.45">
      <c r="A307" s="39" t="s">
        <v>155</v>
      </c>
      <c r="B307" s="7">
        <v>7640</v>
      </c>
      <c r="C307" s="17" t="s">
        <v>119</v>
      </c>
      <c r="D307" s="47" t="s">
        <v>6</v>
      </c>
      <c r="E307" s="21" t="s">
        <v>175</v>
      </c>
      <c r="F307" s="7"/>
      <c r="G307" s="10"/>
      <c r="H307" s="7"/>
      <c r="I307" s="10">
        <f>I308+I309</f>
        <v>396000</v>
      </c>
      <c r="J307" s="10">
        <f t="shared" ref="J307:M307" si="77">J308+J309</f>
        <v>0</v>
      </c>
      <c r="K307" s="10">
        <f t="shared" si="77"/>
        <v>0</v>
      </c>
      <c r="L307" s="10">
        <f t="shared" si="77"/>
        <v>0</v>
      </c>
      <c r="M307" s="10">
        <f t="shared" si="77"/>
        <v>396000</v>
      </c>
      <c r="N307" s="7"/>
      <c r="O307" s="80"/>
    </row>
    <row r="308" spans="1:15" s="14" customFormat="1" ht="72" x14ac:dyDescent="0.45">
      <c r="A308" s="48"/>
      <c r="B308" s="8"/>
      <c r="C308" s="34"/>
      <c r="D308" s="49"/>
      <c r="E308" s="35" t="s">
        <v>611</v>
      </c>
      <c r="F308" s="8">
        <v>2020</v>
      </c>
      <c r="G308" s="30">
        <v>43900</v>
      </c>
      <c r="H308" s="8"/>
      <c r="I308" s="31">
        <v>43900</v>
      </c>
      <c r="J308" s="31"/>
      <c r="K308" s="31"/>
      <c r="L308" s="31">
        <f>J308+K308</f>
        <v>0</v>
      </c>
      <c r="M308" s="31">
        <f>I308+L308</f>
        <v>43900</v>
      </c>
      <c r="N308" s="8">
        <v>100</v>
      </c>
      <c r="O308" s="80"/>
    </row>
    <row r="309" spans="1:15" s="14" customFormat="1" ht="90" x14ac:dyDescent="0.45">
      <c r="A309" s="48"/>
      <c r="B309" s="8"/>
      <c r="C309" s="34"/>
      <c r="D309" s="49"/>
      <c r="E309" s="35" t="s">
        <v>612</v>
      </c>
      <c r="F309" s="8">
        <v>2020</v>
      </c>
      <c r="G309" s="30">
        <v>352100</v>
      </c>
      <c r="H309" s="8"/>
      <c r="I309" s="31">
        <v>352100</v>
      </c>
      <c r="J309" s="31"/>
      <c r="K309" s="31"/>
      <c r="L309" s="31">
        <f>J309+K309</f>
        <v>0</v>
      </c>
      <c r="M309" s="31">
        <f>I309+L309</f>
        <v>352100</v>
      </c>
      <c r="N309" s="8">
        <v>100</v>
      </c>
      <c r="O309" s="80"/>
    </row>
    <row r="310" spans="1:15" s="14" customFormat="1" ht="53.15" customHeight="1" x14ac:dyDescent="0.45">
      <c r="A310" s="7">
        <v>1200000</v>
      </c>
      <c r="B310" s="8"/>
      <c r="C310" s="8"/>
      <c r="D310" s="9" t="s">
        <v>14</v>
      </c>
      <c r="E310" s="8"/>
      <c r="F310" s="8"/>
      <c r="G310" s="8"/>
      <c r="H310" s="8"/>
      <c r="I310" s="10">
        <f>I311</f>
        <v>110602321.91999999</v>
      </c>
      <c r="J310" s="10">
        <f t="shared" ref="J310:M310" si="78">J311</f>
        <v>84000</v>
      </c>
      <c r="K310" s="10">
        <f t="shared" si="78"/>
        <v>26581954</v>
      </c>
      <c r="L310" s="10">
        <f t="shared" si="78"/>
        <v>26665954</v>
      </c>
      <c r="M310" s="10">
        <f t="shared" si="78"/>
        <v>137268275.91999999</v>
      </c>
      <c r="N310" s="8"/>
      <c r="O310" s="80"/>
    </row>
    <row r="311" spans="1:15" s="32" customFormat="1" ht="74" customHeight="1" x14ac:dyDescent="0.45">
      <c r="A311" s="22">
        <v>1210000</v>
      </c>
      <c r="B311" s="38"/>
      <c r="C311" s="38"/>
      <c r="D311" s="21" t="s">
        <v>667</v>
      </c>
      <c r="E311" s="38"/>
      <c r="F311" s="38"/>
      <c r="G311" s="38"/>
      <c r="H311" s="38"/>
      <c r="I311" s="13">
        <f>I520+I541+I555+I313+I374+I379+I422+I517+I559+I583+I584+I564+I557+I421</f>
        <v>110602321.91999999</v>
      </c>
      <c r="J311" s="13">
        <f>J520+J541+J555+J313+J374+J379+J422+J517+J559+J583+J584+J564+J557+J421</f>
        <v>84000</v>
      </c>
      <c r="K311" s="13">
        <f>K520+K541+K555+K313+K374+K379+K422+K517+K559+K583+K584+K564+K557+K421</f>
        <v>26581954</v>
      </c>
      <c r="L311" s="13">
        <f>L520+L541+L555+L313+L374+L379+L422+L517+L559+L583+L584+L564+L557+L421</f>
        <v>26665954</v>
      </c>
      <c r="M311" s="13">
        <f>M520+M541+M555+M313+M374+M379+M422+M517+M559+M583+M584+M564+M557+M421</f>
        <v>137268275.91999999</v>
      </c>
      <c r="N311" s="38"/>
      <c r="O311" s="80"/>
    </row>
    <row r="312" spans="1:15" s="23" customFormat="1" ht="113" customHeight="1" x14ac:dyDescent="0.45">
      <c r="A312" s="22"/>
      <c r="B312" s="22"/>
      <c r="C312" s="22"/>
      <c r="D312" s="21" t="s">
        <v>656</v>
      </c>
      <c r="E312" s="22"/>
      <c r="F312" s="22"/>
      <c r="G312" s="22"/>
      <c r="H312" s="22"/>
      <c r="I312" s="13">
        <f>I565</f>
        <v>937420.38</v>
      </c>
      <c r="J312" s="13">
        <f t="shared" ref="J312:M312" si="79">J565</f>
        <v>0</v>
      </c>
      <c r="K312" s="13">
        <f t="shared" si="79"/>
        <v>0</v>
      </c>
      <c r="L312" s="13">
        <f t="shared" si="79"/>
        <v>0</v>
      </c>
      <c r="M312" s="13">
        <f t="shared" si="79"/>
        <v>937420.38</v>
      </c>
      <c r="N312" s="22"/>
      <c r="O312" s="132"/>
    </row>
    <row r="313" spans="1:15" s="18" customFormat="1" ht="69.650000000000006" customHeight="1" x14ac:dyDescent="0.45">
      <c r="A313" s="7">
        <v>1216011</v>
      </c>
      <c r="B313" s="7">
        <v>6011</v>
      </c>
      <c r="C313" s="17" t="s">
        <v>156</v>
      </c>
      <c r="D313" s="47" t="s">
        <v>157</v>
      </c>
      <c r="E313" s="7"/>
      <c r="F313" s="7"/>
      <c r="G313" s="7"/>
      <c r="H313" s="7"/>
      <c r="I313" s="10">
        <f>I314+I365</f>
        <v>12137333.93</v>
      </c>
      <c r="J313" s="10">
        <f>J314+J365</f>
        <v>84000</v>
      </c>
      <c r="K313" s="10">
        <f>K314+K365</f>
        <v>49000</v>
      </c>
      <c r="L313" s="10">
        <f>L314+L365</f>
        <v>133000</v>
      </c>
      <c r="M313" s="10">
        <f>M314+M365</f>
        <v>12270333.93</v>
      </c>
      <c r="N313" s="7"/>
      <c r="O313" s="80"/>
    </row>
    <row r="314" spans="1:15" s="18" customFormat="1" ht="50.15" customHeight="1" x14ac:dyDescent="0.45">
      <c r="A314" s="7"/>
      <c r="B314" s="7"/>
      <c r="C314" s="17"/>
      <c r="D314" s="47"/>
      <c r="E314" s="21" t="s">
        <v>179</v>
      </c>
      <c r="F314" s="7"/>
      <c r="G314" s="7"/>
      <c r="H314" s="7"/>
      <c r="I314" s="13">
        <f>SUM(I315:I364)</f>
        <v>9825549.6899999995</v>
      </c>
      <c r="J314" s="13">
        <f>SUM(J315:J364)</f>
        <v>84000</v>
      </c>
      <c r="K314" s="13">
        <f>SUM(K315:K364)</f>
        <v>49000</v>
      </c>
      <c r="L314" s="13">
        <f>SUM(L315:L364)</f>
        <v>133000</v>
      </c>
      <c r="M314" s="13">
        <f>SUM(M315:M364)</f>
        <v>9958549.6899999995</v>
      </c>
      <c r="N314" s="7"/>
      <c r="O314" s="80"/>
    </row>
    <row r="315" spans="1:15" s="32" customFormat="1" ht="67.5" customHeight="1" x14ac:dyDescent="0.45">
      <c r="A315" s="38"/>
      <c r="B315" s="38"/>
      <c r="C315" s="26"/>
      <c r="D315" s="47"/>
      <c r="E315" s="35" t="s">
        <v>329</v>
      </c>
      <c r="F315" s="8" t="s">
        <v>49</v>
      </c>
      <c r="G315" s="30">
        <v>40000</v>
      </c>
      <c r="H315" s="50">
        <v>6.8765250000000018</v>
      </c>
      <c r="I315" s="51">
        <v>37249.39</v>
      </c>
      <c r="J315" s="51"/>
      <c r="K315" s="51"/>
      <c r="L315" s="31">
        <f>J315+K315</f>
        <v>0</v>
      </c>
      <c r="M315" s="31">
        <f>I315+L315</f>
        <v>37249.39</v>
      </c>
      <c r="N315" s="30">
        <v>100</v>
      </c>
      <c r="O315" s="80"/>
    </row>
    <row r="316" spans="1:15" s="32" customFormat="1" ht="93.65" customHeight="1" x14ac:dyDescent="0.45">
      <c r="A316" s="38"/>
      <c r="B316" s="38"/>
      <c r="C316" s="26"/>
      <c r="D316" s="47"/>
      <c r="E316" s="35" t="s">
        <v>500</v>
      </c>
      <c r="F316" s="8">
        <v>2020</v>
      </c>
      <c r="G316" s="30"/>
      <c r="H316" s="50"/>
      <c r="I316" s="51">
        <v>25200</v>
      </c>
      <c r="J316" s="51"/>
      <c r="K316" s="51"/>
      <c r="L316" s="31">
        <f>J316+K316</f>
        <v>0</v>
      </c>
      <c r="M316" s="31">
        <f>I316+L316</f>
        <v>25200</v>
      </c>
      <c r="N316" s="30"/>
      <c r="O316" s="80"/>
    </row>
    <row r="317" spans="1:15" s="32" customFormat="1" ht="89.15" customHeight="1" x14ac:dyDescent="0.45">
      <c r="A317" s="38"/>
      <c r="B317" s="38"/>
      <c r="C317" s="26"/>
      <c r="D317" s="47"/>
      <c r="E317" s="35" t="s">
        <v>499</v>
      </c>
      <c r="F317" s="8">
        <v>2020</v>
      </c>
      <c r="G317" s="30"/>
      <c r="H317" s="50"/>
      <c r="I317" s="51">
        <v>34000</v>
      </c>
      <c r="J317" s="51"/>
      <c r="K317" s="51"/>
      <c r="L317" s="31">
        <f>J317+K317</f>
        <v>0</v>
      </c>
      <c r="M317" s="31">
        <f>I317+L317</f>
        <v>34000</v>
      </c>
      <c r="N317" s="30"/>
      <c r="O317" s="80"/>
    </row>
    <row r="318" spans="1:15" s="32" customFormat="1" ht="65.150000000000006" customHeight="1" x14ac:dyDescent="0.45">
      <c r="A318" s="38"/>
      <c r="B318" s="38"/>
      <c r="C318" s="26"/>
      <c r="D318" s="47"/>
      <c r="E318" s="35" t="s">
        <v>326</v>
      </c>
      <c r="F318" s="8" t="s">
        <v>49</v>
      </c>
      <c r="G318" s="30">
        <v>973582</v>
      </c>
      <c r="H318" s="50">
        <v>43.903441107169193</v>
      </c>
      <c r="I318" s="51">
        <v>546146</v>
      </c>
      <c r="J318" s="51"/>
      <c r="K318" s="51"/>
      <c r="L318" s="31">
        <f t="shared" ref="L318:L364" si="80">J318+K318</f>
        <v>0</v>
      </c>
      <c r="M318" s="31">
        <f t="shared" ref="M318:M364" si="81">I318+L318</f>
        <v>546146</v>
      </c>
      <c r="N318" s="30">
        <v>100</v>
      </c>
      <c r="O318" s="80"/>
    </row>
    <row r="319" spans="1:15" s="32" customFormat="1" ht="65.150000000000006" customHeight="1" x14ac:dyDescent="0.45">
      <c r="A319" s="38"/>
      <c r="B319" s="38"/>
      <c r="C319" s="26"/>
      <c r="D319" s="47"/>
      <c r="E319" s="35" t="s">
        <v>502</v>
      </c>
      <c r="F319" s="8">
        <v>2020</v>
      </c>
      <c r="G319" s="30"/>
      <c r="H319" s="50"/>
      <c r="I319" s="51">
        <v>114000</v>
      </c>
      <c r="J319" s="51"/>
      <c r="K319" s="51"/>
      <c r="L319" s="31">
        <f t="shared" si="80"/>
        <v>0</v>
      </c>
      <c r="M319" s="31">
        <f t="shared" si="81"/>
        <v>114000</v>
      </c>
      <c r="N319" s="30"/>
      <c r="O319" s="80"/>
    </row>
    <row r="320" spans="1:15" s="32" customFormat="1" ht="86.15" customHeight="1" x14ac:dyDescent="0.45">
      <c r="A320" s="38"/>
      <c r="B320" s="38"/>
      <c r="C320" s="26"/>
      <c r="D320" s="47"/>
      <c r="E320" s="35" t="s">
        <v>327</v>
      </c>
      <c r="F320" s="8" t="s">
        <v>49</v>
      </c>
      <c r="G320" s="30">
        <v>468732</v>
      </c>
      <c r="H320" s="50">
        <v>36.582667707773311</v>
      </c>
      <c r="I320" s="51">
        <v>297257.33</v>
      </c>
      <c r="J320" s="51"/>
      <c r="K320" s="51"/>
      <c r="L320" s="31">
        <f t="shared" si="80"/>
        <v>0</v>
      </c>
      <c r="M320" s="31">
        <f t="shared" si="81"/>
        <v>297257.33</v>
      </c>
      <c r="N320" s="30">
        <v>100</v>
      </c>
      <c r="O320" s="80"/>
    </row>
    <row r="321" spans="1:15" s="32" customFormat="1" ht="70" customHeight="1" x14ac:dyDescent="0.45">
      <c r="A321" s="38"/>
      <c r="B321" s="38"/>
      <c r="C321" s="26"/>
      <c r="D321" s="47"/>
      <c r="E321" s="35" t="s">
        <v>328</v>
      </c>
      <c r="F321" s="8" t="s">
        <v>49</v>
      </c>
      <c r="G321" s="30">
        <v>59996</v>
      </c>
      <c r="H321" s="50">
        <v>7.1668611240749414</v>
      </c>
      <c r="I321" s="51">
        <f>55696.17-200</f>
        <v>55496.17</v>
      </c>
      <c r="J321" s="51"/>
      <c r="K321" s="51"/>
      <c r="L321" s="31">
        <f t="shared" si="80"/>
        <v>0</v>
      </c>
      <c r="M321" s="31">
        <f t="shared" si="81"/>
        <v>55496.17</v>
      </c>
      <c r="N321" s="30">
        <v>100</v>
      </c>
      <c r="O321" s="80"/>
    </row>
    <row r="322" spans="1:15" s="32" customFormat="1" ht="90" customHeight="1" x14ac:dyDescent="0.45">
      <c r="A322" s="38"/>
      <c r="B322" s="38"/>
      <c r="C322" s="26"/>
      <c r="D322" s="47"/>
      <c r="E322" s="35" t="s">
        <v>523</v>
      </c>
      <c r="F322" s="8">
        <v>2020</v>
      </c>
      <c r="G322" s="30"/>
      <c r="H322" s="50"/>
      <c r="I322" s="51">
        <v>37000</v>
      </c>
      <c r="J322" s="51"/>
      <c r="K322" s="51"/>
      <c r="L322" s="31">
        <f t="shared" si="80"/>
        <v>0</v>
      </c>
      <c r="M322" s="31">
        <f t="shared" si="81"/>
        <v>37000</v>
      </c>
      <c r="N322" s="30"/>
      <c r="O322" s="80"/>
    </row>
    <row r="323" spans="1:15" s="32" customFormat="1" ht="90" customHeight="1" x14ac:dyDescent="0.45">
      <c r="A323" s="38"/>
      <c r="B323" s="38"/>
      <c r="C323" s="26"/>
      <c r="D323" s="47"/>
      <c r="E323" s="35" t="s">
        <v>651</v>
      </c>
      <c r="F323" s="8">
        <v>2020</v>
      </c>
      <c r="G323" s="30"/>
      <c r="H323" s="50"/>
      <c r="I323" s="51"/>
      <c r="J323" s="51">
        <v>7000</v>
      </c>
      <c r="K323" s="51"/>
      <c r="L323" s="31">
        <f t="shared" ref="L323" si="82">J323+K323</f>
        <v>7000</v>
      </c>
      <c r="M323" s="31">
        <f t="shared" ref="M323" si="83">I323+L323</f>
        <v>7000</v>
      </c>
      <c r="N323" s="30"/>
      <c r="O323" s="80"/>
    </row>
    <row r="324" spans="1:15" s="32" customFormat="1" ht="90" customHeight="1" x14ac:dyDescent="0.45">
      <c r="A324" s="38"/>
      <c r="B324" s="38"/>
      <c r="C324" s="26"/>
      <c r="D324" s="47"/>
      <c r="E324" s="35" t="s">
        <v>592</v>
      </c>
      <c r="F324" s="8">
        <v>2020</v>
      </c>
      <c r="G324" s="30"/>
      <c r="H324" s="50"/>
      <c r="I324" s="51">
        <v>45000</v>
      </c>
      <c r="J324" s="51"/>
      <c r="K324" s="51"/>
      <c r="L324" s="31">
        <f t="shared" si="80"/>
        <v>0</v>
      </c>
      <c r="M324" s="31">
        <f t="shared" si="81"/>
        <v>45000</v>
      </c>
      <c r="N324" s="30"/>
      <c r="O324" s="80"/>
    </row>
    <row r="325" spans="1:15" s="32" customFormat="1" ht="90" customHeight="1" x14ac:dyDescent="0.45">
      <c r="A325" s="38"/>
      <c r="B325" s="38"/>
      <c r="C325" s="26"/>
      <c r="D325" s="47"/>
      <c r="E325" s="35" t="s">
        <v>709</v>
      </c>
      <c r="F325" s="8">
        <v>2020</v>
      </c>
      <c r="G325" s="30"/>
      <c r="H325" s="50"/>
      <c r="I325" s="51"/>
      <c r="J325" s="51"/>
      <c r="K325" s="51">
        <v>49000</v>
      </c>
      <c r="L325" s="31">
        <f t="shared" ref="L325" si="84">J325+K325</f>
        <v>49000</v>
      </c>
      <c r="M325" s="31">
        <f t="shared" ref="M325" si="85">I325+L325</f>
        <v>49000</v>
      </c>
      <c r="N325" s="30"/>
      <c r="O325" s="80"/>
    </row>
    <row r="326" spans="1:15" s="32" customFormat="1" ht="90" customHeight="1" x14ac:dyDescent="0.45">
      <c r="A326" s="38"/>
      <c r="B326" s="38"/>
      <c r="C326" s="26"/>
      <c r="D326" s="47"/>
      <c r="E326" s="35" t="s">
        <v>590</v>
      </c>
      <c r="F326" s="8">
        <v>2020</v>
      </c>
      <c r="G326" s="30"/>
      <c r="H326" s="50"/>
      <c r="I326" s="51">
        <v>20000</v>
      </c>
      <c r="J326" s="51"/>
      <c r="K326" s="51"/>
      <c r="L326" s="31">
        <f t="shared" si="80"/>
        <v>0</v>
      </c>
      <c r="M326" s="31">
        <f t="shared" si="81"/>
        <v>20000</v>
      </c>
      <c r="N326" s="30"/>
      <c r="O326" s="80"/>
    </row>
    <row r="327" spans="1:15" s="32" customFormat="1" ht="89.15" customHeight="1" x14ac:dyDescent="0.45">
      <c r="A327" s="38"/>
      <c r="B327" s="38"/>
      <c r="C327" s="26"/>
      <c r="D327" s="47"/>
      <c r="E327" s="35" t="s">
        <v>537</v>
      </c>
      <c r="F327" s="8">
        <v>2020</v>
      </c>
      <c r="G327" s="30"/>
      <c r="H327" s="50"/>
      <c r="I327" s="51">
        <v>10000</v>
      </c>
      <c r="J327" s="51"/>
      <c r="K327" s="51"/>
      <c r="L327" s="31">
        <f t="shared" si="80"/>
        <v>0</v>
      </c>
      <c r="M327" s="31">
        <f t="shared" si="81"/>
        <v>10000</v>
      </c>
      <c r="N327" s="30"/>
      <c r="O327" s="80"/>
    </row>
    <row r="328" spans="1:15" s="32" customFormat="1" ht="78.650000000000006" customHeight="1" x14ac:dyDescent="0.45">
      <c r="A328" s="38"/>
      <c r="B328" s="38"/>
      <c r="C328" s="26"/>
      <c r="D328" s="47"/>
      <c r="E328" s="35" t="s">
        <v>435</v>
      </c>
      <c r="F328" s="8">
        <v>2020</v>
      </c>
      <c r="G328" s="30"/>
      <c r="H328" s="50"/>
      <c r="I328" s="51">
        <v>23945</v>
      </c>
      <c r="J328" s="51"/>
      <c r="K328" s="51"/>
      <c r="L328" s="31">
        <f t="shared" si="80"/>
        <v>0</v>
      </c>
      <c r="M328" s="31">
        <f t="shared" si="81"/>
        <v>23945</v>
      </c>
      <c r="N328" s="30"/>
      <c r="O328" s="82"/>
    </row>
    <row r="329" spans="1:15" s="32" customFormat="1" ht="78.650000000000006" customHeight="1" x14ac:dyDescent="0.45">
      <c r="A329" s="38"/>
      <c r="B329" s="38"/>
      <c r="C329" s="26"/>
      <c r="D329" s="47"/>
      <c r="E329" s="35" t="s">
        <v>574</v>
      </c>
      <c r="F329" s="8">
        <v>2020</v>
      </c>
      <c r="G329" s="30"/>
      <c r="H329" s="50"/>
      <c r="I329" s="51">
        <v>50000</v>
      </c>
      <c r="J329" s="51"/>
      <c r="K329" s="51"/>
      <c r="L329" s="31">
        <f t="shared" si="80"/>
        <v>0</v>
      </c>
      <c r="M329" s="31">
        <f t="shared" si="81"/>
        <v>50000</v>
      </c>
      <c r="N329" s="30"/>
      <c r="O329" s="82"/>
    </row>
    <row r="330" spans="1:15" s="32" customFormat="1" ht="78.650000000000006" customHeight="1" x14ac:dyDescent="0.45">
      <c r="A330" s="38"/>
      <c r="B330" s="38"/>
      <c r="C330" s="26"/>
      <c r="D330" s="47"/>
      <c r="E330" s="35" t="s">
        <v>573</v>
      </c>
      <c r="F330" s="8">
        <v>2020</v>
      </c>
      <c r="G330" s="30"/>
      <c r="H330" s="50"/>
      <c r="I330" s="51">
        <v>94505</v>
      </c>
      <c r="J330" s="51"/>
      <c r="K330" s="51"/>
      <c r="L330" s="31">
        <f t="shared" si="80"/>
        <v>0</v>
      </c>
      <c r="M330" s="31">
        <f t="shared" si="81"/>
        <v>94505</v>
      </c>
      <c r="N330" s="30"/>
      <c r="O330" s="82"/>
    </row>
    <row r="331" spans="1:15" s="32" customFormat="1" ht="68.150000000000006" customHeight="1" x14ac:dyDescent="0.45">
      <c r="A331" s="38"/>
      <c r="B331" s="38"/>
      <c r="C331" s="26"/>
      <c r="D331" s="47"/>
      <c r="E331" s="35" t="s">
        <v>436</v>
      </c>
      <c r="F331" s="8" t="s">
        <v>49</v>
      </c>
      <c r="G331" s="30">
        <v>49933</v>
      </c>
      <c r="H331" s="50">
        <v>20.08491378447119</v>
      </c>
      <c r="I331" s="51">
        <v>39904</v>
      </c>
      <c r="J331" s="51"/>
      <c r="K331" s="51"/>
      <c r="L331" s="31">
        <f t="shared" si="80"/>
        <v>0</v>
      </c>
      <c r="M331" s="31">
        <f t="shared" si="81"/>
        <v>39904</v>
      </c>
      <c r="N331" s="30">
        <v>100</v>
      </c>
      <c r="O331" s="82"/>
    </row>
    <row r="332" spans="1:15" s="32" customFormat="1" ht="93.65" customHeight="1" x14ac:dyDescent="0.45">
      <c r="A332" s="38"/>
      <c r="B332" s="38"/>
      <c r="C332" s="26"/>
      <c r="D332" s="47"/>
      <c r="E332" s="35" t="s">
        <v>334</v>
      </c>
      <c r="F332" s="8" t="s">
        <v>49</v>
      </c>
      <c r="G332" s="30">
        <v>1490932</v>
      </c>
      <c r="H332" s="50">
        <v>73.123795049002908</v>
      </c>
      <c r="I332" s="51">
        <v>400705.94</v>
      </c>
      <c r="J332" s="51"/>
      <c r="K332" s="51"/>
      <c r="L332" s="31">
        <f t="shared" si="80"/>
        <v>0</v>
      </c>
      <c r="M332" s="31">
        <f t="shared" si="81"/>
        <v>400705.94</v>
      </c>
      <c r="N332" s="30">
        <v>100</v>
      </c>
      <c r="O332" s="82"/>
    </row>
    <row r="333" spans="1:15" s="32" customFormat="1" ht="84.65" customHeight="1" x14ac:dyDescent="0.45">
      <c r="A333" s="38"/>
      <c r="B333" s="38"/>
      <c r="C333" s="26"/>
      <c r="D333" s="47"/>
      <c r="E333" s="35" t="s">
        <v>352</v>
      </c>
      <c r="F333" s="8" t="s">
        <v>49</v>
      </c>
      <c r="G333" s="30">
        <v>1427095</v>
      </c>
      <c r="H333" s="50">
        <v>73.383500748023081</v>
      </c>
      <c r="I333" s="51">
        <v>379842.73</v>
      </c>
      <c r="J333" s="51"/>
      <c r="K333" s="51"/>
      <c r="L333" s="31">
        <f t="shared" si="80"/>
        <v>0</v>
      </c>
      <c r="M333" s="31">
        <f t="shared" si="81"/>
        <v>379842.73</v>
      </c>
      <c r="N333" s="30">
        <v>100</v>
      </c>
      <c r="O333" s="82"/>
    </row>
    <row r="334" spans="1:15" s="32" customFormat="1" ht="68.150000000000006" customHeight="1" x14ac:dyDescent="0.45">
      <c r="A334" s="38"/>
      <c r="B334" s="38"/>
      <c r="C334" s="26"/>
      <c r="D334" s="47"/>
      <c r="E334" s="35" t="s">
        <v>578</v>
      </c>
      <c r="F334" s="8" t="s">
        <v>49</v>
      </c>
      <c r="G334" s="30">
        <v>510270</v>
      </c>
      <c r="H334" s="50">
        <v>83.4</v>
      </c>
      <c r="I334" s="51">
        <v>84590.16</v>
      </c>
      <c r="J334" s="51"/>
      <c r="K334" s="51"/>
      <c r="L334" s="31">
        <f t="shared" si="80"/>
        <v>0</v>
      </c>
      <c r="M334" s="31">
        <f t="shared" si="81"/>
        <v>84590.16</v>
      </c>
      <c r="N334" s="30">
        <v>100</v>
      </c>
      <c r="O334" s="82"/>
    </row>
    <row r="335" spans="1:15" s="32" customFormat="1" ht="64" customHeight="1" x14ac:dyDescent="0.45">
      <c r="A335" s="38"/>
      <c r="B335" s="38"/>
      <c r="C335" s="26"/>
      <c r="D335" s="47"/>
      <c r="E335" s="35" t="s">
        <v>336</v>
      </c>
      <c r="F335" s="8" t="s">
        <v>49</v>
      </c>
      <c r="G335" s="30">
        <v>635959</v>
      </c>
      <c r="H335" s="50">
        <v>75.080322788104269</v>
      </c>
      <c r="I335" s="51">
        <v>158478.93</v>
      </c>
      <c r="J335" s="51"/>
      <c r="K335" s="51"/>
      <c r="L335" s="31">
        <f t="shared" si="80"/>
        <v>0</v>
      </c>
      <c r="M335" s="31">
        <f t="shared" si="81"/>
        <v>158478.93</v>
      </c>
      <c r="N335" s="30">
        <v>100</v>
      </c>
      <c r="O335" s="82"/>
    </row>
    <row r="336" spans="1:15" s="32" customFormat="1" ht="105" customHeight="1" x14ac:dyDescent="0.45">
      <c r="A336" s="38"/>
      <c r="B336" s="38"/>
      <c r="C336" s="26"/>
      <c r="D336" s="47"/>
      <c r="E336" s="35" t="s">
        <v>332</v>
      </c>
      <c r="F336" s="8" t="s">
        <v>49</v>
      </c>
      <c r="G336" s="30">
        <v>1486792</v>
      </c>
      <c r="H336" s="50">
        <v>99.636801919838149</v>
      </c>
      <c r="I336" s="51">
        <v>5400</v>
      </c>
      <c r="J336" s="51"/>
      <c r="K336" s="51"/>
      <c r="L336" s="31">
        <f t="shared" si="80"/>
        <v>0</v>
      </c>
      <c r="M336" s="31">
        <f t="shared" si="81"/>
        <v>5400</v>
      </c>
      <c r="N336" s="30">
        <v>100</v>
      </c>
      <c r="O336" s="82"/>
    </row>
    <row r="337" spans="1:15" s="32" customFormat="1" ht="76" customHeight="1" x14ac:dyDescent="0.45">
      <c r="A337" s="38"/>
      <c r="B337" s="38"/>
      <c r="C337" s="26"/>
      <c r="D337" s="47"/>
      <c r="E337" s="35" t="s">
        <v>652</v>
      </c>
      <c r="F337" s="8">
        <v>2020</v>
      </c>
      <c r="G337" s="30"/>
      <c r="H337" s="50"/>
      <c r="I337" s="51"/>
      <c r="J337" s="51">
        <v>47000</v>
      </c>
      <c r="K337" s="51"/>
      <c r="L337" s="31">
        <f t="shared" ref="L337" si="86">J337+K337</f>
        <v>47000</v>
      </c>
      <c r="M337" s="31">
        <f t="shared" ref="M337" si="87">I337+L337</f>
        <v>47000</v>
      </c>
      <c r="N337" s="30"/>
      <c r="O337" s="82"/>
    </row>
    <row r="338" spans="1:15" s="32" customFormat="1" ht="60.65" customHeight="1" x14ac:dyDescent="0.45">
      <c r="A338" s="38"/>
      <c r="B338" s="38"/>
      <c r="C338" s="26"/>
      <c r="D338" s="47"/>
      <c r="E338" s="35" t="s">
        <v>333</v>
      </c>
      <c r="F338" s="8" t="s">
        <v>49</v>
      </c>
      <c r="G338" s="30">
        <v>493558</v>
      </c>
      <c r="H338" s="50">
        <v>7.1030598227563875</v>
      </c>
      <c r="I338" s="51">
        <f>458500.28-500</f>
        <v>458000.28</v>
      </c>
      <c r="J338" s="51"/>
      <c r="K338" s="51"/>
      <c r="L338" s="31">
        <f t="shared" si="80"/>
        <v>0</v>
      </c>
      <c r="M338" s="31">
        <f t="shared" si="81"/>
        <v>458000.28</v>
      </c>
      <c r="N338" s="30">
        <v>100</v>
      </c>
      <c r="O338" s="82"/>
    </row>
    <row r="339" spans="1:15" s="32" customFormat="1" ht="78.650000000000006" customHeight="1" x14ac:dyDescent="0.45">
      <c r="A339" s="38"/>
      <c r="B339" s="38"/>
      <c r="C339" s="26"/>
      <c r="D339" s="47"/>
      <c r="E339" s="35" t="s">
        <v>534</v>
      </c>
      <c r="F339" s="8">
        <v>2020</v>
      </c>
      <c r="G339" s="30"/>
      <c r="H339" s="50"/>
      <c r="I339" s="51">
        <v>130000</v>
      </c>
      <c r="J339" s="51"/>
      <c r="K339" s="51"/>
      <c r="L339" s="31">
        <f t="shared" si="80"/>
        <v>0</v>
      </c>
      <c r="M339" s="31">
        <f t="shared" si="81"/>
        <v>130000</v>
      </c>
      <c r="N339" s="30"/>
      <c r="O339" s="82"/>
    </row>
    <row r="340" spans="1:15" s="32" customFormat="1" ht="78.650000000000006" customHeight="1" x14ac:dyDescent="0.45">
      <c r="A340" s="38"/>
      <c r="B340" s="38"/>
      <c r="C340" s="26"/>
      <c r="D340" s="47"/>
      <c r="E340" s="35" t="s">
        <v>535</v>
      </c>
      <c r="F340" s="8">
        <v>2020</v>
      </c>
      <c r="G340" s="30"/>
      <c r="H340" s="50"/>
      <c r="I340" s="51">
        <v>151000</v>
      </c>
      <c r="J340" s="51"/>
      <c r="K340" s="51"/>
      <c r="L340" s="31">
        <f t="shared" si="80"/>
        <v>0</v>
      </c>
      <c r="M340" s="31">
        <f t="shared" si="81"/>
        <v>151000</v>
      </c>
      <c r="N340" s="30"/>
      <c r="O340" s="82"/>
    </row>
    <row r="341" spans="1:15" s="32" customFormat="1" ht="64" customHeight="1" x14ac:dyDescent="0.45">
      <c r="A341" s="38"/>
      <c r="B341" s="38"/>
      <c r="C341" s="26"/>
      <c r="D341" s="47"/>
      <c r="E341" s="35" t="s">
        <v>338</v>
      </c>
      <c r="F341" s="8" t="s">
        <v>49</v>
      </c>
      <c r="G341" s="30">
        <v>129878</v>
      </c>
      <c r="H341" s="50">
        <v>0.90345555059363358</v>
      </c>
      <c r="I341" s="51">
        <v>128704.61</v>
      </c>
      <c r="J341" s="51"/>
      <c r="K341" s="51"/>
      <c r="L341" s="31">
        <f>J341+K341</f>
        <v>0</v>
      </c>
      <c r="M341" s="31">
        <f>I341+L341</f>
        <v>128704.61</v>
      </c>
      <c r="N341" s="30">
        <v>100</v>
      </c>
      <c r="O341" s="82"/>
    </row>
    <row r="342" spans="1:15" s="32" customFormat="1" ht="66.650000000000006" customHeight="1" x14ac:dyDescent="0.45">
      <c r="A342" s="38"/>
      <c r="B342" s="38"/>
      <c r="C342" s="26"/>
      <c r="D342" s="47"/>
      <c r="E342" s="35" t="s">
        <v>330</v>
      </c>
      <c r="F342" s="8" t="s">
        <v>49</v>
      </c>
      <c r="G342" s="30">
        <v>21484</v>
      </c>
      <c r="H342" s="50">
        <v>4.0531558369018752</v>
      </c>
      <c r="I342" s="51">
        <v>20613.22</v>
      </c>
      <c r="J342" s="51"/>
      <c r="K342" s="51"/>
      <c r="L342" s="31">
        <f>J342+K342</f>
        <v>0</v>
      </c>
      <c r="M342" s="31">
        <f>I342+L342</f>
        <v>20613.22</v>
      </c>
      <c r="N342" s="30">
        <v>100</v>
      </c>
      <c r="O342" s="80"/>
    </row>
    <row r="343" spans="1:15" s="32" customFormat="1" ht="82" customHeight="1" x14ac:dyDescent="0.45">
      <c r="A343" s="38"/>
      <c r="B343" s="38"/>
      <c r="C343" s="26"/>
      <c r="D343" s="47"/>
      <c r="E343" s="35" t="s">
        <v>591</v>
      </c>
      <c r="F343" s="8">
        <v>2020</v>
      </c>
      <c r="G343" s="30"/>
      <c r="H343" s="50"/>
      <c r="I343" s="51">
        <v>10000</v>
      </c>
      <c r="J343" s="51"/>
      <c r="K343" s="51"/>
      <c r="L343" s="31">
        <f>J343+K343</f>
        <v>0</v>
      </c>
      <c r="M343" s="31">
        <f>I343+L343</f>
        <v>10000</v>
      </c>
      <c r="N343" s="30"/>
      <c r="O343" s="80"/>
    </row>
    <row r="344" spans="1:15" s="32" customFormat="1" ht="86.5" customHeight="1" x14ac:dyDescent="0.45">
      <c r="A344" s="38"/>
      <c r="B344" s="38"/>
      <c r="C344" s="26"/>
      <c r="D344" s="47"/>
      <c r="E344" s="35" t="s">
        <v>509</v>
      </c>
      <c r="F344" s="8">
        <v>2020</v>
      </c>
      <c r="G344" s="30"/>
      <c r="H344" s="50"/>
      <c r="I344" s="51">
        <v>10000</v>
      </c>
      <c r="J344" s="51"/>
      <c r="K344" s="51"/>
      <c r="L344" s="31">
        <f>J344+K344</f>
        <v>0</v>
      </c>
      <c r="M344" s="31">
        <f>I344+L344</f>
        <v>10000</v>
      </c>
      <c r="N344" s="30"/>
      <c r="O344" s="80"/>
    </row>
    <row r="345" spans="1:15" s="32" customFormat="1" ht="86.15" customHeight="1" x14ac:dyDescent="0.45">
      <c r="A345" s="38"/>
      <c r="B345" s="38"/>
      <c r="C345" s="26"/>
      <c r="D345" s="47"/>
      <c r="E345" s="35" t="s">
        <v>354</v>
      </c>
      <c r="F345" s="8" t="s">
        <v>49</v>
      </c>
      <c r="G345" s="30">
        <v>985049</v>
      </c>
      <c r="H345" s="50">
        <v>21.351477946782342</v>
      </c>
      <c r="I345" s="51">
        <v>774726.48</v>
      </c>
      <c r="J345" s="51"/>
      <c r="K345" s="51"/>
      <c r="L345" s="31">
        <f>J345+K345</f>
        <v>0</v>
      </c>
      <c r="M345" s="31">
        <f>I345+L345</f>
        <v>774726.48</v>
      </c>
      <c r="N345" s="30">
        <v>100</v>
      </c>
      <c r="O345" s="82"/>
    </row>
    <row r="346" spans="1:15" s="32" customFormat="1" ht="79.5" customHeight="1" x14ac:dyDescent="0.45">
      <c r="A346" s="38"/>
      <c r="B346" s="38"/>
      <c r="C346" s="26"/>
      <c r="D346" s="47"/>
      <c r="E346" s="35" t="s">
        <v>634</v>
      </c>
      <c r="F346" s="8">
        <v>2020</v>
      </c>
      <c r="G346" s="30"/>
      <c r="H346" s="50"/>
      <c r="I346" s="51"/>
      <c r="J346" s="51">
        <v>30000</v>
      </c>
      <c r="K346" s="51"/>
      <c r="L346" s="31">
        <f t="shared" ref="L346" si="88">J346+K346</f>
        <v>30000</v>
      </c>
      <c r="M346" s="31">
        <f t="shared" ref="M346" si="89">I346+L346</f>
        <v>30000</v>
      </c>
      <c r="N346" s="30"/>
      <c r="O346" s="82"/>
    </row>
    <row r="347" spans="1:15" s="32" customFormat="1" ht="98.5" customHeight="1" x14ac:dyDescent="0.45">
      <c r="A347" s="38"/>
      <c r="B347" s="38"/>
      <c r="C347" s="26"/>
      <c r="D347" s="47"/>
      <c r="E347" s="35" t="s">
        <v>609</v>
      </c>
      <c r="F347" s="8">
        <v>2020</v>
      </c>
      <c r="G347" s="30"/>
      <c r="H347" s="50"/>
      <c r="I347" s="51">
        <f>100000-2500</f>
        <v>97500</v>
      </c>
      <c r="J347" s="51"/>
      <c r="K347" s="51"/>
      <c r="L347" s="31">
        <f>J347+K347</f>
        <v>0</v>
      </c>
      <c r="M347" s="31">
        <f>I347+L347</f>
        <v>97500</v>
      </c>
      <c r="N347" s="30"/>
      <c r="O347" s="82"/>
    </row>
    <row r="348" spans="1:15" s="32" customFormat="1" ht="83.15" customHeight="1" x14ac:dyDescent="0.45">
      <c r="A348" s="38"/>
      <c r="B348" s="38"/>
      <c r="C348" s="26"/>
      <c r="D348" s="47"/>
      <c r="E348" s="35" t="s">
        <v>353</v>
      </c>
      <c r="F348" s="8" t="s">
        <v>49</v>
      </c>
      <c r="G348" s="30">
        <v>195169</v>
      </c>
      <c r="H348" s="50">
        <v>1.920489421988129</v>
      </c>
      <c r="I348" s="51">
        <f>191420.8-300</f>
        <v>191120.8</v>
      </c>
      <c r="J348" s="51"/>
      <c r="K348" s="51"/>
      <c r="L348" s="31">
        <f t="shared" si="80"/>
        <v>0</v>
      </c>
      <c r="M348" s="31">
        <f t="shared" si="81"/>
        <v>191120.8</v>
      </c>
      <c r="N348" s="30">
        <v>100</v>
      </c>
      <c r="O348" s="82"/>
    </row>
    <row r="349" spans="1:15" s="32" customFormat="1" ht="79.5" customHeight="1" x14ac:dyDescent="0.45">
      <c r="A349" s="38"/>
      <c r="B349" s="38"/>
      <c r="C349" s="26"/>
      <c r="D349" s="47"/>
      <c r="E349" s="35" t="s">
        <v>629</v>
      </c>
      <c r="F349" s="8">
        <v>2020</v>
      </c>
      <c r="G349" s="30"/>
      <c r="H349" s="50"/>
      <c r="I349" s="51">
        <v>1200000</v>
      </c>
      <c r="J349" s="51"/>
      <c r="K349" s="51"/>
      <c r="L349" s="31">
        <f t="shared" si="80"/>
        <v>0</v>
      </c>
      <c r="M349" s="31">
        <f>I349+L349</f>
        <v>1200000</v>
      </c>
      <c r="N349" s="30"/>
      <c r="O349" s="82"/>
    </row>
    <row r="350" spans="1:15" s="32" customFormat="1" ht="81" customHeight="1" x14ac:dyDescent="0.45">
      <c r="A350" s="38"/>
      <c r="B350" s="38"/>
      <c r="C350" s="26"/>
      <c r="D350" s="47"/>
      <c r="E350" s="35" t="s">
        <v>370</v>
      </c>
      <c r="F350" s="8" t="s">
        <v>49</v>
      </c>
      <c r="G350" s="30">
        <v>406081</v>
      </c>
      <c r="H350" s="50">
        <v>65.5</v>
      </c>
      <c r="I350" s="51">
        <f>98000+12700</f>
        <v>110700</v>
      </c>
      <c r="J350" s="51"/>
      <c r="K350" s="51"/>
      <c r="L350" s="31">
        <f>J350+K350</f>
        <v>0</v>
      </c>
      <c r="M350" s="31">
        <f>I350+L350</f>
        <v>110700</v>
      </c>
      <c r="N350" s="52">
        <v>93.3</v>
      </c>
      <c r="O350" s="82"/>
    </row>
    <row r="351" spans="1:15" s="32" customFormat="1" ht="79.5" customHeight="1" x14ac:dyDescent="0.45">
      <c r="A351" s="38"/>
      <c r="B351" s="38"/>
      <c r="C351" s="26"/>
      <c r="D351" s="47"/>
      <c r="E351" s="35" t="s">
        <v>331</v>
      </c>
      <c r="F351" s="8" t="s">
        <v>49</v>
      </c>
      <c r="G351" s="30">
        <v>155111</v>
      </c>
      <c r="H351" s="50">
        <v>6.749315006672636</v>
      </c>
      <c r="I351" s="51">
        <v>144642.07</v>
      </c>
      <c r="J351" s="51"/>
      <c r="K351" s="51"/>
      <c r="L351" s="31">
        <f>J351+K351</f>
        <v>0</v>
      </c>
      <c r="M351" s="31">
        <f>I351+L351</f>
        <v>144642.07</v>
      </c>
      <c r="N351" s="30">
        <v>100</v>
      </c>
      <c r="O351" s="82"/>
    </row>
    <row r="352" spans="1:15" s="32" customFormat="1" ht="78" customHeight="1" x14ac:dyDescent="0.45">
      <c r="A352" s="38"/>
      <c r="B352" s="38"/>
      <c r="C352" s="26"/>
      <c r="D352" s="47"/>
      <c r="E352" s="35" t="s">
        <v>650</v>
      </c>
      <c r="F352" s="8" t="s">
        <v>49</v>
      </c>
      <c r="G352" s="30">
        <v>210007</v>
      </c>
      <c r="H352" s="50">
        <v>1.8121205483626674</v>
      </c>
      <c r="I352" s="51">
        <v>206201.42</v>
      </c>
      <c r="J352" s="51"/>
      <c r="K352" s="51"/>
      <c r="L352" s="31">
        <f>J352+K352</f>
        <v>0</v>
      </c>
      <c r="M352" s="31">
        <f>I352+L352</f>
        <v>206201.42</v>
      </c>
      <c r="N352" s="30">
        <v>100</v>
      </c>
      <c r="O352" s="80"/>
    </row>
    <row r="353" spans="1:15" s="32" customFormat="1" ht="84" customHeight="1" x14ac:dyDescent="0.45">
      <c r="A353" s="38"/>
      <c r="B353" s="38"/>
      <c r="C353" s="26"/>
      <c r="D353" s="47"/>
      <c r="E353" s="35" t="s">
        <v>501</v>
      </c>
      <c r="F353" s="8">
        <v>2020</v>
      </c>
      <c r="G353" s="30"/>
      <c r="H353" s="50"/>
      <c r="I353" s="51">
        <v>66500</v>
      </c>
      <c r="J353" s="51"/>
      <c r="K353" s="51"/>
      <c r="L353" s="31">
        <f>J353+K353</f>
        <v>0</v>
      </c>
      <c r="M353" s="31">
        <f>I353+L353</f>
        <v>66500</v>
      </c>
      <c r="N353" s="52"/>
      <c r="O353" s="82"/>
    </row>
    <row r="354" spans="1:15" s="32" customFormat="1" ht="85.5" customHeight="1" x14ac:dyDescent="0.45">
      <c r="A354" s="38"/>
      <c r="B354" s="38"/>
      <c r="C354" s="26"/>
      <c r="D354" s="47"/>
      <c r="E354" s="35" t="s">
        <v>335</v>
      </c>
      <c r="F354" s="8" t="s">
        <v>49</v>
      </c>
      <c r="G354" s="30">
        <v>182059</v>
      </c>
      <c r="H354" s="50">
        <v>11.734289433645131</v>
      </c>
      <c r="I354" s="51">
        <f>160695.67-700</f>
        <v>159995.67000000001</v>
      </c>
      <c r="J354" s="51"/>
      <c r="K354" s="51"/>
      <c r="L354" s="31">
        <f t="shared" si="80"/>
        <v>0</v>
      </c>
      <c r="M354" s="31">
        <f t="shared" si="81"/>
        <v>159995.67000000001</v>
      </c>
      <c r="N354" s="30">
        <v>100</v>
      </c>
      <c r="O354" s="82"/>
    </row>
    <row r="355" spans="1:15" s="32" customFormat="1" ht="85.5" customHeight="1" x14ac:dyDescent="0.45">
      <c r="A355" s="38"/>
      <c r="B355" s="38"/>
      <c r="C355" s="26"/>
      <c r="D355" s="47"/>
      <c r="E355" s="35" t="s">
        <v>688</v>
      </c>
      <c r="F355" s="8">
        <v>2020</v>
      </c>
      <c r="G355" s="30"/>
      <c r="H355" s="50"/>
      <c r="I355" s="51">
        <v>49266</v>
      </c>
      <c r="J355" s="51"/>
      <c r="K355" s="51"/>
      <c r="L355" s="31">
        <f t="shared" ref="L355" si="90">J355+K355</f>
        <v>0</v>
      </c>
      <c r="M355" s="31">
        <f t="shared" ref="M355" si="91">I355+L355</f>
        <v>49266</v>
      </c>
      <c r="N355" s="30"/>
      <c r="O355" s="82"/>
    </row>
    <row r="356" spans="1:15" s="32" customFormat="1" ht="86.15" customHeight="1" x14ac:dyDescent="0.45">
      <c r="A356" s="38"/>
      <c r="B356" s="38"/>
      <c r="C356" s="26"/>
      <c r="D356" s="47"/>
      <c r="E356" s="35" t="s">
        <v>448</v>
      </c>
      <c r="F356" s="8">
        <v>2020</v>
      </c>
      <c r="G356" s="30"/>
      <c r="H356" s="50"/>
      <c r="I356" s="51">
        <v>206000</v>
      </c>
      <c r="J356" s="51"/>
      <c r="K356" s="51"/>
      <c r="L356" s="31">
        <f t="shared" si="80"/>
        <v>0</v>
      </c>
      <c r="M356" s="31">
        <f t="shared" si="81"/>
        <v>206000</v>
      </c>
      <c r="N356" s="30"/>
      <c r="O356" s="82"/>
    </row>
    <row r="357" spans="1:15" s="32" customFormat="1" ht="81" customHeight="1" x14ac:dyDescent="0.45">
      <c r="A357" s="38"/>
      <c r="B357" s="38"/>
      <c r="C357" s="26"/>
      <c r="D357" s="47"/>
      <c r="E357" s="35" t="s">
        <v>449</v>
      </c>
      <c r="F357" s="8">
        <v>2020</v>
      </c>
      <c r="G357" s="30"/>
      <c r="H357" s="50"/>
      <c r="I357" s="51">
        <v>270900</v>
      </c>
      <c r="J357" s="51"/>
      <c r="K357" s="51"/>
      <c r="L357" s="31">
        <f t="shared" si="80"/>
        <v>0</v>
      </c>
      <c r="M357" s="31">
        <f t="shared" si="81"/>
        <v>270900</v>
      </c>
      <c r="N357" s="30"/>
      <c r="O357" s="82"/>
    </row>
    <row r="358" spans="1:15" s="32" customFormat="1" ht="80.5" customHeight="1" x14ac:dyDescent="0.45">
      <c r="A358" s="38"/>
      <c r="B358" s="38"/>
      <c r="C358" s="26"/>
      <c r="D358" s="47"/>
      <c r="E358" s="35" t="s">
        <v>337</v>
      </c>
      <c r="F358" s="8" t="s">
        <v>49</v>
      </c>
      <c r="G358" s="30">
        <v>286442</v>
      </c>
      <c r="H358" s="50">
        <v>10.241846516921404</v>
      </c>
      <c r="I358" s="51">
        <v>257105.05</v>
      </c>
      <c r="J358" s="51"/>
      <c r="K358" s="51"/>
      <c r="L358" s="31">
        <f>J358+K358</f>
        <v>0</v>
      </c>
      <c r="M358" s="31">
        <f>I358+L358</f>
        <v>257105.05</v>
      </c>
      <c r="N358" s="30">
        <v>100</v>
      </c>
      <c r="O358" s="82"/>
    </row>
    <row r="359" spans="1:15" s="32" customFormat="1" ht="79.5" customHeight="1" x14ac:dyDescent="0.45">
      <c r="A359" s="38"/>
      <c r="B359" s="38"/>
      <c r="C359" s="26"/>
      <c r="D359" s="47"/>
      <c r="E359" s="35" t="s">
        <v>438</v>
      </c>
      <c r="F359" s="8">
        <v>2020</v>
      </c>
      <c r="G359" s="30"/>
      <c r="H359" s="50"/>
      <c r="I359" s="51">
        <v>40000</v>
      </c>
      <c r="J359" s="51"/>
      <c r="K359" s="51"/>
      <c r="L359" s="31">
        <f t="shared" si="80"/>
        <v>0</v>
      </c>
      <c r="M359" s="31">
        <f t="shared" si="81"/>
        <v>40000</v>
      </c>
      <c r="N359" s="30"/>
      <c r="O359" s="82"/>
    </row>
    <row r="360" spans="1:15" s="32" customFormat="1" ht="108" customHeight="1" x14ac:dyDescent="0.45">
      <c r="A360" s="38"/>
      <c r="B360" s="38"/>
      <c r="C360" s="26"/>
      <c r="D360" s="47"/>
      <c r="E360" s="35" t="s">
        <v>596</v>
      </c>
      <c r="F360" s="8">
        <v>2020</v>
      </c>
      <c r="G360" s="30"/>
      <c r="H360" s="50"/>
      <c r="I360" s="51">
        <v>49000</v>
      </c>
      <c r="J360" s="51"/>
      <c r="K360" s="51"/>
      <c r="L360" s="31">
        <f t="shared" si="80"/>
        <v>0</v>
      </c>
      <c r="M360" s="31">
        <f t="shared" si="81"/>
        <v>49000</v>
      </c>
      <c r="N360" s="30"/>
      <c r="O360" s="82"/>
    </row>
    <row r="361" spans="1:15" s="32" customFormat="1" ht="79.5" customHeight="1" x14ac:dyDescent="0.45">
      <c r="A361" s="38"/>
      <c r="B361" s="38"/>
      <c r="C361" s="26"/>
      <c r="D361" s="47"/>
      <c r="E361" s="35" t="s">
        <v>595</v>
      </c>
      <c r="F361" s="8">
        <v>2020</v>
      </c>
      <c r="G361" s="30"/>
      <c r="H361" s="50"/>
      <c r="I361" s="51">
        <v>190000</v>
      </c>
      <c r="J361" s="51"/>
      <c r="K361" s="51"/>
      <c r="L361" s="31">
        <f t="shared" si="80"/>
        <v>0</v>
      </c>
      <c r="M361" s="31">
        <f t="shared" si="81"/>
        <v>190000</v>
      </c>
      <c r="N361" s="30"/>
      <c r="O361" s="82"/>
    </row>
    <row r="362" spans="1:15" s="32" customFormat="1" ht="79.5" customHeight="1" x14ac:dyDescent="0.45">
      <c r="A362" s="38"/>
      <c r="B362" s="38"/>
      <c r="C362" s="26"/>
      <c r="D362" s="47"/>
      <c r="E362" s="35" t="s">
        <v>608</v>
      </c>
      <c r="F362" s="8" t="s">
        <v>49</v>
      </c>
      <c r="G362" s="30">
        <v>370000</v>
      </c>
      <c r="H362" s="50">
        <v>1.6</v>
      </c>
      <c r="I362" s="51">
        <f>370000-8500</f>
        <v>361500</v>
      </c>
      <c r="J362" s="51"/>
      <c r="K362" s="51"/>
      <c r="L362" s="31">
        <f t="shared" si="80"/>
        <v>0</v>
      </c>
      <c r="M362" s="31">
        <f t="shared" si="81"/>
        <v>361500</v>
      </c>
      <c r="N362" s="30">
        <v>100</v>
      </c>
      <c r="O362" s="82"/>
    </row>
    <row r="363" spans="1:15" s="32" customFormat="1" ht="28.5" customHeight="1" x14ac:dyDescent="0.45">
      <c r="A363" s="38"/>
      <c r="B363" s="38"/>
      <c r="C363" s="26"/>
      <c r="D363" s="53"/>
      <c r="E363" s="35" t="s">
        <v>191</v>
      </c>
      <c r="F363" s="8">
        <v>2020</v>
      </c>
      <c r="G363" s="38"/>
      <c r="H363" s="38"/>
      <c r="I363" s="31">
        <f>2152119.75-98000</f>
        <v>2054119.75</v>
      </c>
      <c r="J363" s="31"/>
      <c r="K363" s="31"/>
      <c r="L363" s="31">
        <f t="shared" si="80"/>
        <v>0</v>
      </c>
      <c r="M363" s="31">
        <f t="shared" si="81"/>
        <v>2054119.75</v>
      </c>
      <c r="N363" s="38"/>
      <c r="O363" s="82"/>
    </row>
    <row r="364" spans="1:15" s="32" customFormat="1" ht="50.5" customHeight="1" x14ac:dyDescent="0.45">
      <c r="A364" s="38"/>
      <c r="B364" s="38"/>
      <c r="C364" s="26"/>
      <c r="D364" s="53"/>
      <c r="E364" s="35" t="s">
        <v>192</v>
      </c>
      <c r="F364" s="8">
        <v>2020</v>
      </c>
      <c r="G364" s="38"/>
      <c r="H364" s="38"/>
      <c r="I364" s="31">
        <f>1000000-500766.31-470000</f>
        <v>29233.690000000002</v>
      </c>
      <c r="J364" s="31"/>
      <c r="K364" s="31"/>
      <c r="L364" s="31">
        <f t="shared" si="80"/>
        <v>0</v>
      </c>
      <c r="M364" s="31">
        <f t="shared" si="81"/>
        <v>29233.690000000002</v>
      </c>
      <c r="N364" s="38"/>
      <c r="O364" s="82"/>
    </row>
    <row r="365" spans="1:15" s="18" customFormat="1" ht="69.650000000000006" customHeight="1" x14ac:dyDescent="0.45">
      <c r="A365" s="7"/>
      <c r="B365" s="7"/>
      <c r="C365" s="17"/>
      <c r="D365" s="47"/>
      <c r="E365" s="21" t="s">
        <v>178</v>
      </c>
      <c r="F365" s="7"/>
      <c r="G365" s="7"/>
      <c r="H365" s="7"/>
      <c r="I365" s="13">
        <f>SUM(I366:I373)</f>
        <v>2311784.2400000002</v>
      </c>
      <c r="J365" s="13">
        <f t="shared" ref="J365:M365" si="92">SUM(J366:J373)</f>
        <v>0</v>
      </c>
      <c r="K365" s="13">
        <f t="shared" si="92"/>
        <v>0</v>
      </c>
      <c r="L365" s="13">
        <f t="shared" si="92"/>
        <v>0</v>
      </c>
      <c r="M365" s="13">
        <f t="shared" si="92"/>
        <v>2311784.2400000002</v>
      </c>
      <c r="N365" s="7"/>
      <c r="O365" s="82"/>
    </row>
    <row r="366" spans="1:15" s="32" customFormat="1" ht="72" customHeight="1" x14ac:dyDescent="0.45">
      <c r="A366" s="38"/>
      <c r="B366" s="38"/>
      <c r="C366" s="26"/>
      <c r="D366" s="47"/>
      <c r="E366" s="35" t="s">
        <v>292</v>
      </c>
      <c r="F366" s="8" t="s">
        <v>48</v>
      </c>
      <c r="G366" s="30">
        <v>286976</v>
      </c>
      <c r="H366" s="50">
        <v>31</v>
      </c>
      <c r="I366" s="31">
        <v>197274</v>
      </c>
      <c r="J366" s="31"/>
      <c r="K366" s="31"/>
      <c r="L366" s="31">
        <f>J366+K366</f>
        <v>0</v>
      </c>
      <c r="M366" s="31">
        <f>I366+L366</f>
        <v>197274</v>
      </c>
      <c r="N366" s="30">
        <v>100</v>
      </c>
      <c r="O366" s="82"/>
    </row>
    <row r="367" spans="1:15" s="32" customFormat="1" ht="81" customHeight="1" x14ac:dyDescent="0.45">
      <c r="A367" s="38"/>
      <c r="B367" s="38"/>
      <c r="C367" s="26"/>
      <c r="D367" s="47"/>
      <c r="E367" s="35" t="s">
        <v>194</v>
      </c>
      <c r="F367" s="8" t="s">
        <v>195</v>
      </c>
      <c r="G367" s="30">
        <v>317195</v>
      </c>
      <c r="H367" s="50">
        <v>30</v>
      </c>
      <c r="I367" s="31">
        <v>221518.7</v>
      </c>
      <c r="J367" s="31"/>
      <c r="K367" s="31"/>
      <c r="L367" s="31">
        <f>J367+K367</f>
        <v>0</v>
      </c>
      <c r="M367" s="31">
        <f>I367+L367</f>
        <v>221518.7</v>
      </c>
      <c r="N367" s="30">
        <v>100</v>
      </c>
      <c r="O367" s="82"/>
    </row>
    <row r="368" spans="1:15" s="32" customFormat="1" ht="74.150000000000006" customHeight="1" x14ac:dyDescent="0.45">
      <c r="A368" s="38"/>
      <c r="B368" s="38"/>
      <c r="C368" s="26"/>
      <c r="D368" s="47"/>
      <c r="E368" s="35" t="s">
        <v>199</v>
      </c>
      <c r="F368" s="8" t="s">
        <v>200</v>
      </c>
      <c r="G368" s="30">
        <v>580757</v>
      </c>
      <c r="H368" s="50">
        <v>59</v>
      </c>
      <c r="I368" s="31">
        <v>239144.92</v>
      </c>
      <c r="J368" s="31"/>
      <c r="K368" s="31"/>
      <c r="L368" s="31">
        <f>J368+K368</f>
        <v>0</v>
      </c>
      <c r="M368" s="31">
        <f>I368+L368</f>
        <v>239144.92</v>
      </c>
      <c r="N368" s="30">
        <v>100</v>
      </c>
      <c r="O368" s="82"/>
    </row>
    <row r="369" spans="1:15" s="32" customFormat="1" ht="67.5" customHeight="1" x14ac:dyDescent="0.45">
      <c r="A369" s="38"/>
      <c r="B369" s="38"/>
      <c r="C369" s="26"/>
      <c r="D369" s="47"/>
      <c r="E369" s="35" t="s">
        <v>193</v>
      </c>
      <c r="F369" s="8" t="s">
        <v>49</v>
      </c>
      <c r="G369" s="30">
        <v>580844</v>
      </c>
      <c r="H369" s="50">
        <v>32</v>
      </c>
      <c r="I369" s="31">
        <v>396522.45</v>
      </c>
      <c r="J369" s="31"/>
      <c r="K369" s="31"/>
      <c r="L369" s="31">
        <f t="shared" ref="L369:L373" si="93">J369+K369</f>
        <v>0</v>
      </c>
      <c r="M369" s="31">
        <f t="shared" ref="M369:M373" si="94">I369+L369</f>
        <v>396522.45</v>
      </c>
      <c r="N369" s="30">
        <v>100</v>
      </c>
      <c r="O369" s="82"/>
    </row>
    <row r="370" spans="1:15" s="32" customFormat="1" ht="85.5" customHeight="1" x14ac:dyDescent="0.45">
      <c r="A370" s="38"/>
      <c r="B370" s="38"/>
      <c r="C370" s="26"/>
      <c r="D370" s="47"/>
      <c r="E370" s="35" t="s">
        <v>289</v>
      </c>
      <c r="F370" s="8" t="s">
        <v>51</v>
      </c>
      <c r="G370" s="30">
        <v>343000</v>
      </c>
      <c r="H370" s="50">
        <v>30</v>
      </c>
      <c r="I370" s="31">
        <v>239551.96</v>
      </c>
      <c r="J370" s="31"/>
      <c r="K370" s="31"/>
      <c r="L370" s="31">
        <f t="shared" si="93"/>
        <v>0</v>
      </c>
      <c r="M370" s="31">
        <f t="shared" si="94"/>
        <v>239551.96</v>
      </c>
      <c r="N370" s="30">
        <v>100</v>
      </c>
      <c r="O370" s="82"/>
    </row>
    <row r="371" spans="1:15" s="32" customFormat="1" ht="85.5" customHeight="1" x14ac:dyDescent="0.45">
      <c r="A371" s="38"/>
      <c r="B371" s="38"/>
      <c r="C371" s="26"/>
      <c r="D371" s="47"/>
      <c r="E371" s="35" t="s">
        <v>290</v>
      </c>
      <c r="F371" s="8" t="s">
        <v>198</v>
      </c>
      <c r="G371" s="30">
        <v>398376</v>
      </c>
      <c r="H371" s="50">
        <v>32</v>
      </c>
      <c r="I371" s="31">
        <v>272802.8</v>
      </c>
      <c r="J371" s="31"/>
      <c r="K371" s="31"/>
      <c r="L371" s="31">
        <f t="shared" si="93"/>
        <v>0</v>
      </c>
      <c r="M371" s="31">
        <f t="shared" si="94"/>
        <v>272802.8</v>
      </c>
      <c r="N371" s="30">
        <v>100</v>
      </c>
      <c r="O371" s="82"/>
    </row>
    <row r="372" spans="1:15" s="32" customFormat="1" ht="72.650000000000006" customHeight="1" x14ac:dyDescent="0.45">
      <c r="A372" s="38"/>
      <c r="B372" s="38"/>
      <c r="C372" s="26"/>
      <c r="D372" s="47"/>
      <c r="E372" s="54" t="s">
        <v>196</v>
      </c>
      <c r="F372" s="8" t="s">
        <v>197</v>
      </c>
      <c r="G372" s="30">
        <v>228840.65</v>
      </c>
      <c r="H372" s="50">
        <v>30</v>
      </c>
      <c r="I372" s="31">
        <v>159798.42000000001</v>
      </c>
      <c r="J372" s="31"/>
      <c r="K372" s="31"/>
      <c r="L372" s="31">
        <f>J372+K372</f>
        <v>0</v>
      </c>
      <c r="M372" s="31">
        <f>I372+L372</f>
        <v>159798.42000000001</v>
      </c>
      <c r="N372" s="30">
        <v>100</v>
      </c>
      <c r="O372" s="82"/>
    </row>
    <row r="373" spans="1:15" s="32" customFormat="1" ht="65.150000000000006" customHeight="1" x14ac:dyDescent="0.45">
      <c r="A373" s="38"/>
      <c r="B373" s="38"/>
      <c r="C373" s="26"/>
      <c r="D373" s="47"/>
      <c r="E373" s="35" t="s">
        <v>201</v>
      </c>
      <c r="F373" s="8">
        <v>2020</v>
      </c>
      <c r="G373" s="38"/>
      <c r="H373" s="38"/>
      <c r="I373" s="31">
        <f>1273386.75-688215.76</f>
        <v>585170.99</v>
      </c>
      <c r="J373" s="31"/>
      <c r="K373" s="31"/>
      <c r="L373" s="31">
        <f t="shared" si="93"/>
        <v>0</v>
      </c>
      <c r="M373" s="31">
        <f t="shared" si="94"/>
        <v>585170.99</v>
      </c>
      <c r="N373" s="38"/>
      <c r="O373" s="82"/>
    </row>
    <row r="374" spans="1:15" s="18" customFormat="1" ht="71.5" customHeight="1" x14ac:dyDescent="0.45">
      <c r="A374" s="7">
        <v>1216013</v>
      </c>
      <c r="B374" s="7">
        <v>6013</v>
      </c>
      <c r="C374" s="17" t="s">
        <v>158</v>
      </c>
      <c r="D374" s="9" t="s">
        <v>159</v>
      </c>
      <c r="E374" s="7"/>
      <c r="F374" s="7"/>
      <c r="G374" s="7"/>
      <c r="H374" s="7"/>
      <c r="I374" s="10">
        <f>I375+I378</f>
        <v>1721000</v>
      </c>
      <c r="J374" s="10">
        <f t="shared" ref="J374:M374" si="95">J375+J378</f>
        <v>0</v>
      </c>
      <c r="K374" s="10">
        <f t="shared" si="95"/>
        <v>1000000</v>
      </c>
      <c r="L374" s="10">
        <f t="shared" si="95"/>
        <v>1000000</v>
      </c>
      <c r="M374" s="10">
        <f t="shared" si="95"/>
        <v>2721000</v>
      </c>
      <c r="N374" s="7"/>
      <c r="O374" s="82"/>
    </row>
    <row r="375" spans="1:15" s="18" customFormat="1" ht="23.5" customHeight="1" x14ac:dyDescent="0.45">
      <c r="A375" s="7"/>
      <c r="B375" s="7"/>
      <c r="C375" s="17"/>
      <c r="D375" s="47"/>
      <c r="E375" s="21" t="s">
        <v>175</v>
      </c>
      <c r="F375" s="7"/>
      <c r="G375" s="7"/>
      <c r="H375" s="7"/>
      <c r="I375" s="13">
        <f>I376+I377</f>
        <v>21000</v>
      </c>
      <c r="J375" s="13">
        <f t="shared" ref="J375:M375" si="96">J376+J377</f>
        <v>0</v>
      </c>
      <c r="K375" s="13">
        <f t="shared" si="96"/>
        <v>1000000</v>
      </c>
      <c r="L375" s="13">
        <f t="shared" si="96"/>
        <v>1000000</v>
      </c>
      <c r="M375" s="13">
        <f t="shared" si="96"/>
        <v>1021000</v>
      </c>
      <c r="N375" s="7"/>
      <c r="O375" s="82"/>
    </row>
    <row r="376" spans="1:15" s="14" customFormat="1" ht="75" customHeight="1" x14ac:dyDescent="0.45">
      <c r="A376" s="8"/>
      <c r="B376" s="8"/>
      <c r="C376" s="34"/>
      <c r="D376" s="49"/>
      <c r="E376" s="35" t="s">
        <v>291</v>
      </c>
      <c r="F376" s="8" t="s">
        <v>49</v>
      </c>
      <c r="G376" s="30">
        <v>4203383</v>
      </c>
      <c r="H376" s="8">
        <v>3.1</v>
      </c>
      <c r="I376" s="31">
        <f>20000+1000</f>
        <v>21000</v>
      </c>
      <c r="J376" s="31"/>
      <c r="K376" s="31">
        <v>-21000</v>
      </c>
      <c r="L376" s="31">
        <f t="shared" ref="L376" si="97">J376+K376</f>
        <v>-21000</v>
      </c>
      <c r="M376" s="31">
        <f t="shared" ref="M376" si="98">I376+L376</f>
        <v>0</v>
      </c>
      <c r="N376" s="8">
        <v>3.5</v>
      </c>
      <c r="O376" s="82"/>
    </row>
    <row r="377" spans="1:15" s="14" customFormat="1" ht="75" customHeight="1" x14ac:dyDescent="0.45">
      <c r="A377" s="8"/>
      <c r="B377" s="8"/>
      <c r="C377" s="34"/>
      <c r="D377" s="49"/>
      <c r="E377" s="35" t="s">
        <v>692</v>
      </c>
      <c r="F377" s="8" t="s">
        <v>49</v>
      </c>
      <c r="G377" s="30">
        <v>4203383</v>
      </c>
      <c r="H377" s="8">
        <v>3.1</v>
      </c>
      <c r="I377" s="31"/>
      <c r="J377" s="31"/>
      <c r="K377" s="31">
        <v>1021000</v>
      </c>
      <c r="L377" s="31">
        <f t="shared" ref="L377" si="99">J377+K377</f>
        <v>1021000</v>
      </c>
      <c r="M377" s="31">
        <f t="shared" ref="M377" si="100">I377+L377</f>
        <v>1021000</v>
      </c>
      <c r="N377" s="8">
        <v>27.4</v>
      </c>
      <c r="O377" s="82"/>
    </row>
    <row r="378" spans="1:15" s="18" customFormat="1" ht="67.5" customHeight="1" x14ac:dyDescent="0.45">
      <c r="A378" s="7"/>
      <c r="B378" s="7"/>
      <c r="C378" s="17"/>
      <c r="D378" s="47"/>
      <c r="E378" s="21" t="s">
        <v>178</v>
      </c>
      <c r="F378" s="7"/>
      <c r="G378" s="7"/>
      <c r="H378" s="7"/>
      <c r="I378" s="13">
        <v>1700000</v>
      </c>
      <c r="J378" s="13"/>
      <c r="K378" s="13"/>
      <c r="L378" s="13">
        <f>J378+K378</f>
        <v>0</v>
      </c>
      <c r="M378" s="13">
        <f>I378+L378</f>
        <v>1700000</v>
      </c>
      <c r="N378" s="7"/>
      <c r="O378" s="82"/>
    </row>
    <row r="379" spans="1:15" s="18" customFormat="1" ht="64.5" customHeight="1" x14ac:dyDescent="0.45">
      <c r="A379" s="7">
        <v>1216015</v>
      </c>
      <c r="B379" s="7">
        <v>6015</v>
      </c>
      <c r="C379" s="17" t="s">
        <v>158</v>
      </c>
      <c r="D379" s="9" t="s">
        <v>160</v>
      </c>
      <c r="E379" s="7"/>
      <c r="F379" s="7"/>
      <c r="G379" s="7"/>
      <c r="H379" s="7"/>
      <c r="I379" s="10">
        <f>I380+I405</f>
        <v>13358448.83</v>
      </c>
      <c r="J379" s="10">
        <f>J380+J405</f>
        <v>0</v>
      </c>
      <c r="K379" s="10">
        <f>K380+K405</f>
        <v>0</v>
      </c>
      <c r="L379" s="10">
        <f>L380+L405</f>
        <v>0</v>
      </c>
      <c r="M379" s="10">
        <f>M380+M405</f>
        <v>13358448.83</v>
      </c>
      <c r="N379" s="7"/>
      <c r="O379" s="82"/>
    </row>
    <row r="380" spans="1:15" s="18" customFormat="1" ht="46" customHeight="1" x14ac:dyDescent="0.45">
      <c r="A380" s="7"/>
      <c r="B380" s="7"/>
      <c r="C380" s="17"/>
      <c r="D380" s="47"/>
      <c r="E380" s="21" t="s">
        <v>179</v>
      </c>
      <c r="F380" s="7"/>
      <c r="G380" s="7"/>
      <c r="H380" s="7"/>
      <c r="I380" s="13">
        <f>SUM(I381:I404)</f>
        <v>4711349.5299999993</v>
      </c>
      <c r="J380" s="13">
        <f>SUM(J381:J404)</f>
        <v>0</v>
      </c>
      <c r="K380" s="13">
        <f>SUM(K381:K404)</f>
        <v>0</v>
      </c>
      <c r="L380" s="13">
        <f>SUM(L381:L404)</f>
        <v>0</v>
      </c>
      <c r="M380" s="13">
        <f>SUM(M381:M404)</f>
        <v>4711349.5299999993</v>
      </c>
      <c r="N380" s="7"/>
      <c r="O380" s="82"/>
    </row>
    <row r="381" spans="1:15" s="32" customFormat="1" ht="68.150000000000006" customHeight="1" x14ac:dyDescent="0.45">
      <c r="A381" s="38"/>
      <c r="B381" s="38"/>
      <c r="C381" s="26"/>
      <c r="D381" s="47"/>
      <c r="E381" s="35" t="s">
        <v>371</v>
      </c>
      <c r="F381" s="8" t="s">
        <v>49</v>
      </c>
      <c r="G381" s="30">
        <v>380000</v>
      </c>
      <c r="H381" s="100"/>
      <c r="I381" s="51">
        <v>380000</v>
      </c>
      <c r="J381" s="51"/>
      <c r="K381" s="51"/>
      <c r="L381" s="31">
        <f>J381+K381</f>
        <v>0</v>
      </c>
      <c r="M381" s="31">
        <f>I381+L381</f>
        <v>380000</v>
      </c>
      <c r="N381" s="30">
        <v>100</v>
      </c>
      <c r="O381" s="82"/>
    </row>
    <row r="382" spans="1:15" s="32" customFormat="1" ht="81" customHeight="1" x14ac:dyDescent="0.45">
      <c r="A382" s="38"/>
      <c r="B382" s="38"/>
      <c r="C382" s="26"/>
      <c r="D382" s="47"/>
      <c r="E382" s="35" t="s">
        <v>346</v>
      </c>
      <c r="F382" s="8" t="s">
        <v>49</v>
      </c>
      <c r="G382" s="30">
        <v>32698</v>
      </c>
      <c r="H382" s="100">
        <v>13.496849960242219</v>
      </c>
      <c r="I382" s="51">
        <v>28284.799999999999</v>
      </c>
      <c r="J382" s="51"/>
      <c r="K382" s="51"/>
      <c r="L382" s="31">
        <f>J382+K382</f>
        <v>0</v>
      </c>
      <c r="M382" s="31">
        <f>I382+L382</f>
        <v>28284.799999999999</v>
      </c>
      <c r="N382" s="30">
        <v>100</v>
      </c>
      <c r="O382" s="82"/>
    </row>
    <row r="383" spans="1:15" s="32" customFormat="1" ht="65.150000000000006" customHeight="1" x14ac:dyDescent="0.45">
      <c r="A383" s="38"/>
      <c r="B383" s="38"/>
      <c r="C383" s="26"/>
      <c r="D383" s="47"/>
      <c r="E383" s="35" t="s">
        <v>451</v>
      </c>
      <c r="F383" s="8">
        <v>2020</v>
      </c>
      <c r="G383" s="30"/>
      <c r="H383" s="100"/>
      <c r="I383" s="51">
        <v>500000</v>
      </c>
      <c r="J383" s="51"/>
      <c r="K383" s="51"/>
      <c r="L383" s="31">
        <f>J383+K383</f>
        <v>0</v>
      </c>
      <c r="M383" s="31">
        <f>I383+L383</f>
        <v>500000</v>
      </c>
      <c r="N383" s="30"/>
      <c r="O383" s="82"/>
    </row>
    <row r="384" spans="1:15" s="32" customFormat="1" ht="97.5" customHeight="1" x14ac:dyDescent="0.45">
      <c r="A384" s="38"/>
      <c r="B384" s="38"/>
      <c r="C384" s="26"/>
      <c r="D384" s="47"/>
      <c r="E384" s="35" t="s">
        <v>577</v>
      </c>
      <c r="F384" s="8" t="s">
        <v>49</v>
      </c>
      <c r="G384" s="30">
        <v>976698</v>
      </c>
      <c r="H384" s="50"/>
      <c r="I384" s="51">
        <v>976698</v>
      </c>
      <c r="J384" s="51"/>
      <c r="K384" s="51"/>
      <c r="L384" s="31">
        <f t="shared" ref="L384:L404" si="101">J384+K384</f>
        <v>0</v>
      </c>
      <c r="M384" s="31">
        <f t="shared" ref="M384:M404" si="102">I384+L384</f>
        <v>976698</v>
      </c>
      <c r="N384" s="30">
        <v>100</v>
      </c>
      <c r="O384" s="82"/>
    </row>
    <row r="385" spans="1:15" s="32" customFormat="1" ht="97.5" customHeight="1" x14ac:dyDescent="0.45">
      <c r="A385" s="38"/>
      <c r="B385" s="38"/>
      <c r="C385" s="26"/>
      <c r="D385" s="47"/>
      <c r="E385" s="35" t="s">
        <v>492</v>
      </c>
      <c r="F385" s="8">
        <v>2020</v>
      </c>
      <c r="G385" s="30"/>
      <c r="H385" s="50"/>
      <c r="I385" s="51">
        <v>9000</v>
      </c>
      <c r="J385" s="51"/>
      <c r="K385" s="51"/>
      <c r="L385" s="31">
        <f t="shared" si="101"/>
        <v>0</v>
      </c>
      <c r="M385" s="31">
        <f t="shared" si="102"/>
        <v>9000</v>
      </c>
      <c r="N385" s="30"/>
      <c r="O385" s="82"/>
    </row>
    <row r="386" spans="1:15" s="32" customFormat="1" ht="97.5" customHeight="1" x14ac:dyDescent="0.45">
      <c r="A386" s="38"/>
      <c r="B386" s="38"/>
      <c r="C386" s="26"/>
      <c r="D386" s="47"/>
      <c r="E386" s="35" t="s">
        <v>494</v>
      </c>
      <c r="F386" s="8">
        <v>2020</v>
      </c>
      <c r="G386" s="30"/>
      <c r="H386" s="50"/>
      <c r="I386" s="51">
        <v>9000</v>
      </c>
      <c r="J386" s="51"/>
      <c r="K386" s="51"/>
      <c r="L386" s="31">
        <f t="shared" si="101"/>
        <v>0</v>
      </c>
      <c r="M386" s="31">
        <f t="shared" si="102"/>
        <v>9000</v>
      </c>
      <c r="N386" s="30"/>
      <c r="O386" s="82"/>
    </row>
    <row r="387" spans="1:15" s="32" customFormat="1" ht="97.5" customHeight="1" x14ac:dyDescent="0.45">
      <c r="A387" s="38"/>
      <c r="B387" s="38"/>
      <c r="C387" s="26"/>
      <c r="D387" s="47"/>
      <c r="E387" s="35" t="s">
        <v>493</v>
      </c>
      <c r="F387" s="8">
        <v>2020</v>
      </c>
      <c r="G387" s="30"/>
      <c r="H387" s="50"/>
      <c r="I387" s="51">
        <v>9000</v>
      </c>
      <c r="J387" s="51"/>
      <c r="K387" s="51"/>
      <c r="L387" s="31">
        <f t="shared" si="101"/>
        <v>0</v>
      </c>
      <c r="M387" s="31">
        <f t="shared" si="102"/>
        <v>9000</v>
      </c>
      <c r="N387" s="30"/>
      <c r="O387" s="82"/>
    </row>
    <row r="388" spans="1:15" s="32" customFormat="1" ht="83.15" customHeight="1" x14ac:dyDescent="0.45">
      <c r="A388" s="38"/>
      <c r="B388" s="38"/>
      <c r="C388" s="26"/>
      <c r="D388" s="47"/>
      <c r="E388" s="35" t="s">
        <v>340</v>
      </c>
      <c r="F388" s="8" t="s">
        <v>49</v>
      </c>
      <c r="G388" s="30">
        <v>395435</v>
      </c>
      <c r="H388" s="50">
        <v>7.1684170596937529</v>
      </c>
      <c r="I388" s="51">
        <v>367088.57</v>
      </c>
      <c r="J388" s="51"/>
      <c r="K388" s="51"/>
      <c r="L388" s="31">
        <f t="shared" si="101"/>
        <v>0</v>
      </c>
      <c r="M388" s="31">
        <f t="shared" si="102"/>
        <v>367088.57</v>
      </c>
      <c r="N388" s="30">
        <v>100</v>
      </c>
      <c r="O388" s="82"/>
    </row>
    <row r="389" spans="1:15" s="32" customFormat="1" ht="78.650000000000006" customHeight="1" x14ac:dyDescent="0.45">
      <c r="A389" s="38"/>
      <c r="B389" s="38"/>
      <c r="C389" s="26"/>
      <c r="D389" s="47"/>
      <c r="E389" s="35" t="s">
        <v>341</v>
      </c>
      <c r="F389" s="8" t="s">
        <v>49</v>
      </c>
      <c r="G389" s="30">
        <v>61087</v>
      </c>
      <c r="H389" s="100">
        <v>10.30901828539624</v>
      </c>
      <c r="I389" s="51">
        <v>54789.53</v>
      </c>
      <c r="J389" s="51"/>
      <c r="K389" s="51"/>
      <c r="L389" s="31">
        <f t="shared" si="101"/>
        <v>0</v>
      </c>
      <c r="M389" s="31">
        <f t="shared" si="102"/>
        <v>54789.53</v>
      </c>
      <c r="N389" s="30">
        <v>100</v>
      </c>
      <c r="O389" s="82"/>
    </row>
    <row r="390" spans="1:15" s="32" customFormat="1" ht="90" customHeight="1" x14ac:dyDescent="0.45">
      <c r="A390" s="38"/>
      <c r="B390" s="38"/>
      <c r="C390" s="26"/>
      <c r="D390" s="47"/>
      <c r="E390" s="35" t="s">
        <v>342</v>
      </c>
      <c r="F390" s="8" t="s">
        <v>49</v>
      </c>
      <c r="G390" s="30">
        <v>389633</v>
      </c>
      <c r="H390" s="100">
        <v>14.594012827455586</v>
      </c>
      <c r="I390" s="51">
        <v>332769.90999999997</v>
      </c>
      <c r="J390" s="51"/>
      <c r="K390" s="51"/>
      <c r="L390" s="31">
        <f t="shared" si="101"/>
        <v>0</v>
      </c>
      <c r="M390" s="31">
        <f t="shared" si="102"/>
        <v>332769.90999999997</v>
      </c>
      <c r="N390" s="30">
        <v>100</v>
      </c>
      <c r="O390" s="82"/>
    </row>
    <row r="391" spans="1:15" s="32" customFormat="1" ht="93.65" customHeight="1" x14ac:dyDescent="0.45">
      <c r="A391" s="38"/>
      <c r="B391" s="38"/>
      <c r="C391" s="26"/>
      <c r="D391" s="47"/>
      <c r="E391" s="35" t="s">
        <v>530</v>
      </c>
      <c r="F391" s="8">
        <v>2020</v>
      </c>
      <c r="G391" s="30"/>
      <c r="H391" s="100"/>
      <c r="I391" s="51">
        <v>25000</v>
      </c>
      <c r="J391" s="51"/>
      <c r="K391" s="51"/>
      <c r="L391" s="31">
        <f t="shared" si="101"/>
        <v>0</v>
      </c>
      <c r="M391" s="31">
        <f t="shared" si="102"/>
        <v>25000</v>
      </c>
      <c r="N391" s="30"/>
      <c r="O391" s="82"/>
    </row>
    <row r="392" spans="1:15" s="32" customFormat="1" ht="93.65" customHeight="1" x14ac:dyDescent="0.45">
      <c r="A392" s="38"/>
      <c r="B392" s="38"/>
      <c r="C392" s="26"/>
      <c r="D392" s="47"/>
      <c r="E392" s="35" t="s">
        <v>531</v>
      </c>
      <c r="F392" s="8">
        <v>2020</v>
      </c>
      <c r="G392" s="30"/>
      <c r="H392" s="100"/>
      <c r="I392" s="51">
        <v>25000</v>
      </c>
      <c r="J392" s="51"/>
      <c r="K392" s="51"/>
      <c r="L392" s="31">
        <f t="shared" si="101"/>
        <v>0</v>
      </c>
      <c r="M392" s="31">
        <f t="shared" si="102"/>
        <v>25000</v>
      </c>
      <c r="N392" s="30"/>
      <c r="O392" s="82"/>
    </row>
    <row r="393" spans="1:15" s="32" customFormat="1" ht="93.65" customHeight="1" x14ac:dyDescent="0.45">
      <c r="A393" s="38"/>
      <c r="B393" s="38"/>
      <c r="C393" s="26"/>
      <c r="D393" s="47"/>
      <c r="E393" s="35" t="s">
        <v>532</v>
      </c>
      <c r="F393" s="8">
        <v>2020</v>
      </c>
      <c r="G393" s="30"/>
      <c r="H393" s="100"/>
      <c r="I393" s="51">
        <v>25000</v>
      </c>
      <c r="J393" s="51"/>
      <c r="K393" s="51"/>
      <c r="L393" s="31">
        <f t="shared" si="101"/>
        <v>0</v>
      </c>
      <c r="M393" s="31">
        <f t="shared" si="102"/>
        <v>25000</v>
      </c>
      <c r="N393" s="30"/>
      <c r="O393" s="82"/>
    </row>
    <row r="394" spans="1:15" s="32" customFormat="1" ht="93.65" customHeight="1" x14ac:dyDescent="0.45">
      <c r="A394" s="38"/>
      <c r="B394" s="38"/>
      <c r="C394" s="26"/>
      <c r="D394" s="47"/>
      <c r="E394" s="35" t="s">
        <v>533</v>
      </c>
      <c r="F394" s="8">
        <v>2020</v>
      </c>
      <c r="G394" s="30"/>
      <c r="H394" s="100"/>
      <c r="I394" s="51">
        <v>25000</v>
      </c>
      <c r="J394" s="51"/>
      <c r="K394" s="51"/>
      <c r="L394" s="31">
        <f t="shared" si="101"/>
        <v>0</v>
      </c>
      <c r="M394" s="31">
        <f t="shared" si="102"/>
        <v>25000</v>
      </c>
      <c r="N394" s="30"/>
      <c r="O394" s="82"/>
    </row>
    <row r="395" spans="1:15" s="32" customFormat="1" ht="84.65" customHeight="1" x14ac:dyDescent="0.45">
      <c r="A395" s="38"/>
      <c r="B395" s="38"/>
      <c r="C395" s="26"/>
      <c r="D395" s="47"/>
      <c r="E395" s="35" t="s">
        <v>343</v>
      </c>
      <c r="F395" s="8" t="s">
        <v>49</v>
      </c>
      <c r="G395" s="30">
        <v>631355</v>
      </c>
      <c r="H395" s="100">
        <v>14.095611819024159</v>
      </c>
      <c r="I395" s="51">
        <v>542361.65</v>
      </c>
      <c r="J395" s="51"/>
      <c r="K395" s="51"/>
      <c r="L395" s="31">
        <f t="shared" si="101"/>
        <v>0</v>
      </c>
      <c r="M395" s="31">
        <f t="shared" si="102"/>
        <v>542361.65</v>
      </c>
      <c r="N395" s="30">
        <v>100</v>
      </c>
      <c r="O395" s="82"/>
    </row>
    <row r="396" spans="1:15" s="32" customFormat="1" ht="65.5" customHeight="1" x14ac:dyDescent="0.45">
      <c r="A396" s="38"/>
      <c r="B396" s="38"/>
      <c r="C396" s="26"/>
      <c r="D396" s="47"/>
      <c r="E396" s="35" t="s">
        <v>339</v>
      </c>
      <c r="F396" s="8" t="s">
        <v>49</v>
      </c>
      <c r="G396" s="30">
        <v>30217</v>
      </c>
      <c r="H396" s="50">
        <v>11.807922692524075</v>
      </c>
      <c r="I396" s="51">
        <v>26649</v>
      </c>
      <c r="J396" s="51"/>
      <c r="K396" s="51"/>
      <c r="L396" s="31">
        <f>J396+K396</f>
        <v>0</v>
      </c>
      <c r="M396" s="31">
        <f>I396+L396</f>
        <v>26649</v>
      </c>
      <c r="N396" s="30">
        <v>100</v>
      </c>
      <c r="O396" s="82"/>
    </row>
    <row r="397" spans="1:15" s="32" customFormat="1" ht="81.650000000000006" customHeight="1" x14ac:dyDescent="0.45">
      <c r="A397" s="38"/>
      <c r="B397" s="38"/>
      <c r="C397" s="26"/>
      <c r="D397" s="47"/>
      <c r="E397" s="35" t="s">
        <v>437</v>
      </c>
      <c r="F397" s="8">
        <v>2020</v>
      </c>
      <c r="G397" s="30"/>
      <c r="H397" s="100"/>
      <c r="I397" s="51">
        <v>17000</v>
      </c>
      <c r="J397" s="51"/>
      <c r="K397" s="51"/>
      <c r="L397" s="31">
        <f>J397+K397</f>
        <v>0</v>
      </c>
      <c r="M397" s="31">
        <f>I397+L397</f>
        <v>17000</v>
      </c>
      <c r="N397" s="30"/>
      <c r="O397" s="82"/>
    </row>
    <row r="398" spans="1:15" s="32" customFormat="1" ht="78.650000000000006" customHeight="1" x14ac:dyDescent="0.45">
      <c r="A398" s="38"/>
      <c r="B398" s="38"/>
      <c r="C398" s="26"/>
      <c r="D398" s="47"/>
      <c r="E398" s="35" t="s">
        <v>344</v>
      </c>
      <c r="F398" s="8" t="s">
        <v>49</v>
      </c>
      <c r="G398" s="30">
        <v>471311</v>
      </c>
      <c r="H398" s="100">
        <v>4.1099443891612957</v>
      </c>
      <c r="I398" s="51">
        <v>451940.38</v>
      </c>
      <c r="J398" s="51"/>
      <c r="K398" s="51"/>
      <c r="L398" s="31">
        <f t="shared" si="101"/>
        <v>0</v>
      </c>
      <c r="M398" s="31">
        <f t="shared" si="102"/>
        <v>451940.38</v>
      </c>
      <c r="N398" s="30">
        <v>100</v>
      </c>
      <c r="O398" s="82"/>
    </row>
    <row r="399" spans="1:15" s="32" customFormat="1" ht="97.5" customHeight="1" x14ac:dyDescent="0.45">
      <c r="A399" s="38"/>
      <c r="B399" s="38"/>
      <c r="C399" s="26"/>
      <c r="D399" s="47"/>
      <c r="E399" s="35" t="s">
        <v>345</v>
      </c>
      <c r="F399" s="8" t="s">
        <v>49</v>
      </c>
      <c r="G399" s="30">
        <v>1151915</v>
      </c>
      <c r="H399" s="100">
        <v>31.699154017440527</v>
      </c>
      <c r="I399" s="51">
        <v>786767.69</v>
      </c>
      <c r="J399" s="51"/>
      <c r="K399" s="51"/>
      <c r="L399" s="31">
        <f t="shared" si="101"/>
        <v>0</v>
      </c>
      <c r="M399" s="31">
        <f t="shared" si="102"/>
        <v>786767.69</v>
      </c>
      <c r="N399" s="30">
        <v>100</v>
      </c>
      <c r="O399" s="82"/>
    </row>
    <row r="400" spans="1:15" s="32" customFormat="1" ht="65.5" customHeight="1" x14ac:dyDescent="0.45">
      <c r="A400" s="38"/>
      <c r="B400" s="38"/>
      <c r="C400" s="26"/>
      <c r="D400" s="47"/>
      <c r="E400" s="35" t="s">
        <v>615</v>
      </c>
      <c r="F400" s="8">
        <v>2020</v>
      </c>
      <c r="G400" s="30"/>
      <c r="H400" s="100"/>
      <c r="I400" s="51">
        <v>24000</v>
      </c>
      <c r="J400" s="51"/>
      <c r="K400" s="51"/>
      <c r="L400" s="31">
        <f t="shared" si="101"/>
        <v>0</v>
      </c>
      <c r="M400" s="31">
        <f t="shared" si="102"/>
        <v>24000</v>
      </c>
      <c r="N400" s="30"/>
      <c r="O400" s="82"/>
    </row>
    <row r="401" spans="1:15" s="32" customFormat="1" ht="66.5" customHeight="1" x14ac:dyDescent="0.45">
      <c r="A401" s="38"/>
      <c r="B401" s="38"/>
      <c r="C401" s="26"/>
      <c r="D401" s="47"/>
      <c r="E401" s="35" t="s">
        <v>616</v>
      </c>
      <c r="F401" s="8">
        <v>2020</v>
      </c>
      <c r="G401" s="30"/>
      <c r="H401" s="100"/>
      <c r="I401" s="51">
        <v>24000</v>
      </c>
      <c r="J401" s="51"/>
      <c r="K401" s="51"/>
      <c r="L401" s="31">
        <f t="shared" si="101"/>
        <v>0</v>
      </c>
      <c r="M401" s="31">
        <f t="shared" si="102"/>
        <v>24000</v>
      </c>
      <c r="N401" s="30"/>
      <c r="O401" s="82"/>
    </row>
    <row r="402" spans="1:15" s="32" customFormat="1" ht="69" customHeight="1" x14ac:dyDescent="0.45">
      <c r="A402" s="38"/>
      <c r="B402" s="38"/>
      <c r="C402" s="26"/>
      <c r="D402" s="47"/>
      <c r="E402" s="35" t="s">
        <v>617</v>
      </c>
      <c r="F402" s="8">
        <v>2020</v>
      </c>
      <c r="G402" s="30"/>
      <c r="H402" s="100"/>
      <c r="I402" s="51">
        <v>24000</v>
      </c>
      <c r="J402" s="51"/>
      <c r="K402" s="51"/>
      <c r="L402" s="31">
        <f t="shared" si="101"/>
        <v>0</v>
      </c>
      <c r="M402" s="31">
        <f t="shared" si="102"/>
        <v>24000</v>
      </c>
      <c r="N402" s="30"/>
      <c r="O402" s="82"/>
    </row>
    <row r="403" spans="1:15" s="32" customFormat="1" ht="66" customHeight="1" x14ac:dyDescent="0.45">
      <c r="A403" s="38"/>
      <c r="B403" s="38"/>
      <c r="C403" s="26"/>
      <c r="D403" s="47"/>
      <c r="E403" s="35" t="s">
        <v>618</v>
      </c>
      <c r="F403" s="8">
        <v>2020</v>
      </c>
      <c r="G403" s="30"/>
      <c r="H403" s="100"/>
      <c r="I403" s="51">
        <v>24000</v>
      </c>
      <c r="J403" s="51"/>
      <c r="K403" s="51"/>
      <c r="L403" s="31">
        <f t="shared" si="101"/>
        <v>0</v>
      </c>
      <c r="M403" s="31">
        <f t="shared" si="102"/>
        <v>24000</v>
      </c>
      <c r="N403" s="30"/>
      <c r="O403" s="82"/>
    </row>
    <row r="404" spans="1:15" s="32" customFormat="1" ht="68.5" customHeight="1" x14ac:dyDescent="0.45">
      <c r="A404" s="38"/>
      <c r="B404" s="38"/>
      <c r="C404" s="26"/>
      <c r="D404" s="47"/>
      <c r="E404" s="35" t="s">
        <v>619</v>
      </c>
      <c r="F404" s="8">
        <v>2020</v>
      </c>
      <c r="G404" s="30"/>
      <c r="H404" s="100"/>
      <c r="I404" s="51">
        <v>24000</v>
      </c>
      <c r="J404" s="51"/>
      <c r="K404" s="51"/>
      <c r="L404" s="31">
        <f t="shared" si="101"/>
        <v>0</v>
      </c>
      <c r="M404" s="31">
        <f t="shared" si="102"/>
        <v>24000</v>
      </c>
      <c r="N404" s="30"/>
      <c r="O404" s="82"/>
    </row>
    <row r="405" spans="1:15" s="18" customFormat="1" ht="63.65" customHeight="1" x14ac:dyDescent="0.45">
      <c r="A405" s="7"/>
      <c r="B405" s="7"/>
      <c r="C405" s="17"/>
      <c r="D405" s="47"/>
      <c r="E405" s="21" t="s">
        <v>178</v>
      </c>
      <c r="F405" s="7"/>
      <c r="G405" s="7"/>
      <c r="H405" s="7"/>
      <c r="I405" s="13">
        <f>SUM(I406:I420)</f>
        <v>8647099.3000000007</v>
      </c>
      <c r="J405" s="13">
        <f>SUM(J406:J420)</f>
        <v>0</v>
      </c>
      <c r="K405" s="13">
        <f>SUM(K406:K420)</f>
        <v>0</v>
      </c>
      <c r="L405" s="13">
        <f>SUM(L406:L420)</f>
        <v>0</v>
      </c>
      <c r="M405" s="13">
        <f>SUM(M406:M420)</f>
        <v>8647099.3000000007</v>
      </c>
      <c r="N405" s="7"/>
      <c r="O405" s="82"/>
    </row>
    <row r="406" spans="1:15" s="32" customFormat="1" ht="95.15" customHeight="1" x14ac:dyDescent="0.45">
      <c r="A406" s="38"/>
      <c r="B406" s="38"/>
      <c r="C406" s="26"/>
      <c r="D406" s="47"/>
      <c r="E406" s="35" t="s">
        <v>190</v>
      </c>
      <c r="F406" s="8" t="s">
        <v>51</v>
      </c>
      <c r="G406" s="30">
        <v>559396</v>
      </c>
      <c r="H406" s="100">
        <v>56</v>
      </c>
      <c r="I406" s="51">
        <v>246462.33</v>
      </c>
      <c r="J406" s="51"/>
      <c r="K406" s="51"/>
      <c r="L406" s="31">
        <f>J406+K406</f>
        <v>0</v>
      </c>
      <c r="M406" s="31">
        <f>I406+L406</f>
        <v>246462.33</v>
      </c>
      <c r="N406" s="30">
        <v>100</v>
      </c>
      <c r="O406" s="82"/>
    </row>
    <row r="407" spans="1:15" s="32" customFormat="1" ht="87" customHeight="1" x14ac:dyDescent="0.45">
      <c r="A407" s="38"/>
      <c r="B407" s="38"/>
      <c r="C407" s="26"/>
      <c r="D407" s="47"/>
      <c r="E407" s="35" t="s">
        <v>189</v>
      </c>
      <c r="F407" s="8" t="s">
        <v>49</v>
      </c>
      <c r="G407" s="30">
        <v>312005</v>
      </c>
      <c r="H407" s="100">
        <v>54</v>
      </c>
      <c r="I407" s="51">
        <v>142746.97</v>
      </c>
      <c r="J407" s="51"/>
      <c r="K407" s="51"/>
      <c r="L407" s="31">
        <f>J407+K407</f>
        <v>0</v>
      </c>
      <c r="M407" s="31">
        <f>I407+L407</f>
        <v>142746.97</v>
      </c>
      <c r="N407" s="30">
        <v>100</v>
      </c>
      <c r="O407" s="82"/>
    </row>
    <row r="408" spans="1:15" s="32" customFormat="1" ht="83.15" customHeight="1" x14ac:dyDescent="0.45">
      <c r="A408" s="38"/>
      <c r="B408" s="38"/>
      <c r="C408" s="26"/>
      <c r="D408" s="47"/>
      <c r="E408" s="35" t="s">
        <v>187</v>
      </c>
      <c r="F408" s="8" t="s">
        <v>49</v>
      </c>
      <c r="G408" s="30">
        <v>135116</v>
      </c>
      <c r="H408" s="100">
        <v>36</v>
      </c>
      <c r="I408" s="51">
        <f>26181.79+60317.81</f>
        <v>86499.6</v>
      </c>
      <c r="J408" s="51"/>
      <c r="K408" s="51"/>
      <c r="L408" s="31">
        <f t="shared" ref="L408:L420" si="103">J408+K408</f>
        <v>0</v>
      </c>
      <c r="M408" s="31">
        <f t="shared" ref="M408:M420" si="104">I408+L408</f>
        <v>86499.6</v>
      </c>
      <c r="N408" s="30">
        <v>100</v>
      </c>
      <c r="O408" s="82"/>
    </row>
    <row r="409" spans="1:15" s="32" customFormat="1" ht="85" customHeight="1" x14ac:dyDescent="0.45">
      <c r="A409" s="38"/>
      <c r="B409" s="38"/>
      <c r="C409" s="26"/>
      <c r="D409" s="47"/>
      <c r="E409" s="35" t="s">
        <v>460</v>
      </c>
      <c r="F409" s="8">
        <v>2020</v>
      </c>
      <c r="G409" s="30"/>
      <c r="H409" s="100"/>
      <c r="I409" s="51">
        <v>688000</v>
      </c>
      <c r="J409" s="51"/>
      <c r="K409" s="51"/>
      <c r="L409" s="31">
        <f t="shared" si="103"/>
        <v>0</v>
      </c>
      <c r="M409" s="31">
        <f t="shared" si="104"/>
        <v>688000</v>
      </c>
      <c r="N409" s="30"/>
      <c r="O409" s="82"/>
    </row>
    <row r="410" spans="1:15" s="32" customFormat="1" ht="85" customHeight="1" x14ac:dyDescent="0.45">
      <c r="A410" s="38"/>
      <c r="B410" s="38"/>
      <c r="C410" s="26"/>
      <c r="D410" s="47"/>
      <c r="E410" s="35" t="s">
        <v>452</v>
      </c>
      <c r="F410" s="8">
        <v>2020</v>
      </c>
      <c r="G410" s="30"/>
      <c r="H410" s="100"/>
      <c r="I410" s="51">
        <v>680000</v>
      </c>
      <c r="J410" s="51"/>
      <c r="K410" s="51"/>
      <c r="L410" s="31">
        <f t="shared" si="103"/>
        <v>0</v>
      </c>
      <c r="M410" s="31">
        <f t="shared" si="104"/>
        <v>680000</v>
      </c>
      <c r="N410" s="30"/>
      <c r="O410" s="82"/>
    </row>
    <row r="411" spans="1:15" s="32" customFormat="1" ht="70" customHeight="1" x14ac:dyDescent="0.45">
      <c r="A411" s="38"/>
      <c r="B411" s="38"/>
      <c r="C411" s="26"/>
      <c r="D411" s="47"/>
      <c r="E411" s="35" t="s">
        <v>461</v>
      </c>
      <c r="F411" s="8">
        <v>2020</v>
      </c>
      <c r="G411" s="30"/>
      <c r="H411" s="100"/>
      <c r="I411" s="51">
        <v>688818.3</v>
      </c>
      <c r="J411" s="51"/>
      <c r="K411" s="51">
        <f>-215318+215318</f>
        <v>0</v>
      </c>
      <c r="L411" s="31">
        <f t="shared" si="103"/>
        <v>0</v>
      </c>
      <c r="M411" s="31">
        <f t="shared" si="104"/>
        <v>688818.3</v>
      </c>
      <c r="N411" s="30"/>
      <c r="O411" s="82"/>
    </row>
    <row r="412" spans="1:15" s="32" customFormat="1" ht="65.5" customHeight="1" x14ac:dyDescent="0.45">
      <c r="A412" s="38"/>
      <c r="B412" s="38"/>
      <c r="C412" s="26"/>
      <c r="D412" s="47"/>
      <c r="E412" s="35" t="s">
        <v>462</v>
      </c>
      <c r="F412" s="8">
        <v>2020</v>
      </c>
      <c r="G412" s="30"/>
      <c r="H412" s="100"/>
      <c r="I412" s="51">
        <v>720000</v>
      </c>
      <c r="J412" s="51"/>
      <c r="K412" s="51">
        <f>-720000+720000</f>
        <v>0</v>
      </c>
      <c r="L412" s="31">
        <f t="shared" si="103"/>
        <v>0</v>
      </c>
      <c r="M412" s="31">
        <f t="shared" si="104"/>
        <v>720000</v>
      </c>
      <c r="N412" s="30"/>
      <c r="O412" s="82"/>
    </row>
    <row r="413" spans="1:15" s="32" customFormat="1" ht="84.65" customHeight="1" x14ac:dyDescent="0.45">
      <c r="A413" s="38"/>
      <c r="B413" s="38"/>
      <c r="C413" s="26"/>
      <c r="D413" s="47"/>
      <c r="E413" s="35" t="s">
        <v>188</v>
      </c>
      <c r="F413" s="8" t="s">
        <v>49</v>
      </c>
      <c r="G413" s="30">
        <v>519721</v>
      </c>
      <c r="H413" s="100">
        <v>56</v>
      </c>
      <c r="I413" s="51">
        <v>229572.1</v>
      </c>
      <c r="J413" s="51"/>
      <c r="K413" s="51"/>
      <c r="L413" s="31">
        <f t="shared" si="103"/>
        <v>0</v>
      </c>
      <c r="M413" s="31">
        <f t="shared" si="104"/>
        <v>229572.1</v>
      </c>
      <c r="N413" s="30">
        <v>100</v>
      </c>
      <c r="O413" s="82"/>
    </row>
    <row r="414" spans="1:15" s="32" customFormat="1" ht="84" customHeight="1" x14ac:dyDescent="0.45">
      <c r="A414" s="38"/>
      <c r="B414" s="38"/>
      <c r="C414" s="26"/>
      <c r="D414" s="47"/>
      <c r="E414" s="35" t="s">
        <v>458</v>
      </c>
      <c r="F414" s="8">
        <v>2020</v>
      </c>
      <c r="G414" s="30"/>
      <c r="H414" s="100"/>
      <c r="I414" s="51">
        <v>740000</v>
      </c>
      <c r="J414" s="51"/>
      <c r="K414" s="51"/>
      <c r="L414" s="31">
        <f t="shared" si="103"/>
        <v>0</v>
      </c>
      <c r="M414" s="31">
        <f t="shared" si="104"/>
        <v>740000</v>
      </c>
      <c r="N414" s="30"/>
      <c r="O414" s="82"/>
    </row>
    <row r="415" spans="1:15" s="32" customFormat="1" ht="64" customHeight="1" x14ac:dyDescent="0.45">
      <c r="A415" s="38"/>
      <c r="B415" s="38"/>
      <c r="C415" s="26"/>
      <c r="D415" s="47"/>
      <c r="E415" s="35" t="s">
        <v>459</v>
      </c>
      <c r="F415" s="8">
        <v>2020</v>
      </c>
      <c r="G415" s="30"/>
      <c r="H415" s="100"/>
      <c r="I415" s="51">
        <v>740000</v>
      </c>
      <c r="J415" s="51"/>
      <c r="K415" s="51"/>
      <c r="L415" s="31">
        <f t="shared" si="103"/>
        <v>0</v>
      </c>
      <c r="M415" s="31">
        <f t="shared" si="104"/>
        <v>740000</v>
      </c>
      <c r="N415" s="30"/>
      <c r="O415" s="82"/>
    </row>
    <row r="416" spans="1:15" s="32" customFormat="1" ht="65.5" customHeight="1" x14ac:dyDescent="0.45">
      <c r="A416" s="38"/>
      <c r="B416" s="38"/>
      <c r="C416" s="26"/>
      <c r="D416" s="47"/>
      <c r="E416" s="35" t="s">
        <v>456</v>
      </c>
      <c r="F416" s="8">
        <v>2020</v>
      </c>
      <c r="G416" s="30"/>
      <c r="H416" s="100"/>
      <c r="I416" s="51">
        <v>730000</v>
      </c>
      <c r="J416" s="51"/>
      <c r="K416" s="51"/>
      <c r="L416" s="31">
        <f t="shared" si="103"/>
        <v>0</v>
      </c>
      <c r="M416" s="31">
        <f t="shared" si="104"/>
        <v>730000</v>
      </c>
      <c r="N416" s="30"/>
      <c r="O416" s="82"/>
    </row>
    <row r="417" spans="1:15" s="32" customFormat="1" ht="72.650000000000006" customHeight="1" x14ac:dyDescent="0.45">
      <c r="A417" s="38"/>
      <c r="B417" s="38"/>
      <c r="C417" s="26"/>
      <c r="D417" s="47"/>
      <c r="E417" s="35" t="s">
        <v>457</v>
      </c>
      <c r="F417" s="8">
        <v>2020</v>
      </c>
      <c r="G417" s="30"/>
      <c r="H417" s="100"/>
      <c r="I417" s="51">
        <v>735000</v>
      </c>
      <c r="J417" s="51"/>
      <c r="K417" s="51"/>
      <c r="L417" s="31">
        <f t="shared" si="103"/>
        <v>0</v>
      </c>
      <c r="M417" s="31">
        <f t="shared" si="104"/>
        <v>735000</v>
      </c>
      <c r="N417" s="30"/>
      <c r="O417" s="82"/>
    </row>
    <row r="418" spans="1:15" s="32" customFormat="1" ht="65.150000000000006" customHeight="1" x14ac:dyDescent="0.45">
      <c r="A418" s="38"/>
      <c r="B418" s="38"/>
      <c r="C418" s="26"/>
      <c r="D418" s="47"/>
      <c r="E418" s="35" t="s">
        <v>453</v>
      </c>
      <c r="F418" s="8">
        <v>2020</v>
      </c>
      <c r="G418" s="30"/>
      <c r="H418" s="100"/>
      <c r="I418" s="51">
        <v>740000</v>
      </c>
      <c r="J418" s="51"/>
      <c r="K418" s="51"/>
      <c r="L418" s="31">
        <f t="shared" si="103"/>
        <v>0</v>
      </c>
      <c r="M418" s="31">
        <f t="shared" si="104"/>
        <v>740000</v>
      </c>
      <c r="N418" s="30"/>
      <c r="O418" s="82"/>
    </row>
    <row r="419" spans="1:15" s="32" customFormat="1" ht="62.5" customHeight="1" x14ac:dyDescent="0.45">
      <c r="A419" s="38"/>
      <c r="B419" s="38"/>
      <c r="C419" s="26"/>
      <c r="D419" s="47"/>
      <c r="E419" s="35" t="s">
        <v>454</v>
      </c>
      <c r="F419" s="8">
        <v>2020</v>
      </c>
      <c r="G419" s="30"/>
      <c r="H419" s="100"/>
      <c r="I419" s="51">
        <v>740000</v>
      </c>
      <c r="J419" s="51"/>
      <c r="K419" s="51"/>
      <c r="L419" s="31">
        <f t="shared" si="103"/>
        <v>0</v>
      </c>
      <c r="M419" s="31">
        <f t="shared" si="104"/>
        <v>740000</v>
      </c>
      <c r="N419" s="30"/>
      <c r="O419" s="82"/>
    </row>
    <row r="420" spans="1:15" s="32" customFormat="1" ht="84" customHeight="1" x14ac:dyDescent="0.45">
      <c r="A420" s="38"/>
      <c r="B420" s="38"/>
      <c r="C420" s="26"/>
      <c r="D420" s="47"/>
      <c r="E420" s="35" t="s">
        <v>455</v>
      </c>
      <c r="F420" s="8">
        <v>2020</v>
      </c>
      <c r="G420" s="30"/>
      <c r="H420" s="100"/>
      <c r="I420" s="51">
        <v>740000</v>
      </c>
      <c r="J420" s="51"/>
      <c r="K420" s="51"/>
      <c r="L420" s="31">
        <f t="shared" si="103"/>
        <v>0</v>
      </c>
      <c r="M420" s="31">
        <f t="shared" si="104"/>
        <v>740000</v>
      </c>
      <c r="N420" s="30"/>
      <c r="O420" s="82"/>
    </row>
    <row r="421" spans="1:15" s="18" customFormat="1" ht="116.15" customHeight="1" x14ac:dyDescent="0.45">
      <c r="A421" s="7">
        <v>1216020</v>
      </c>
      <c r="B421" s="7">
        <v>6020</v>
      </c>
      <c r="C421" s="17" t="s">
        <v>158</v>
      </c>
      <c r="D421" s="9" t="s">
        <v>613</v>
      </c>
      <c r="E421" s="21" t="s">
        <v>178</v>
      </c>
      <c r="F421" s="56"/>
      <c r="G421" s="56"/>
      <c r="H421" s="56"/>
      <c r="I421" s="10">
        <v>2000000</v>
      </c>
      <c r="J421" s="10"/>
      <c r="K421" s="10"/>
      <c r="L421" s="10">
        <f t="shared" ref="L421" si="105">J421+K421</f>
        <v>0</v>
      </c>
      <c r="M421" s="10">
        <f t="shared" ref="M421" si="106">I421+L421</f>
        <v>2000000</v>
      </c>
      <c r="N421" s="7"/>
      <c r="O421" s="82"/>
    </row>
    <row r="422" spans="1:15" s="18" customFormat="1" ht="56.15" customHeight="1" x14ac:dyDescent="0.45">
      <c r="A422" s="7">
        <v>1216030</v>
      </c>
      <c r="B422" s="7">
        <v>6030</v>
      </c>
      <c r="C422" s="17" t="s">
        <v>158</v>
      </c>
      <c r="D422" s="9" t="s">
        <v>161</v>
      </c>
      <c r="E422" s="56"/>
      <c r="F422" s="56"/>
      <c r="G422" s="56"/>
      <c r="H422" s="56"/>
      <c r="I422" s="10">
        <f>I423+I425</f>
        <v>34361415.149999991</v>
      </c>
      <c r="J422" s="10">
        <f t="shared" ref="J422:M422" si="107">J423+J425</f>
        <v>-748253</v>
      </c>
      <c r="K422" s="10">
        <f t="shared" si="107"/>
        <v>25897954</v>
      </c>
      <c r="L422" s="10">
        <f t="shared" si="107"/>
        <v>25149701</v>
      </c>
      <c r="M422" s="10">
        <f t="shared" si="107"/>
        <v>59511116.149999991</v>
      </c>
      <c r="N422" s="7"/>
      <c r="O422" s="82"/>
    </row>
    <row r="423" spans="1:15" s="18" customFormat="1" ht="47.15" customHeight="1" x14ac:dyDescent="0.45">
      <c r="A423" s="7"/>
      <c r="B423" s="7"/>
      <c r="C423" s="17"/>
      <c r="D423" s="9"/>
      <c r="E423" s="21" t="s">
        <v>176</v>
      </c>
      <c r="F423" s="7"/>
      <c r="G423" s="7"/>
      <c r="H423" s="7"/>
      <c r="I423" s="13">
        <f>I424</f>
        <v>31500</v>
      </c>
      <c r="J423" s="13">
        <f t="shared" ref="J423:M423" si="108">J424</f>
        <v>0</v>
      </c>
      <c r="K423" s="13">
        <f t="shared" si="108"/>
        <v>0</v>
      </c>
      <c r="L423" s="13">
        <f t="shared" si="108"/>
        <v>0</v>
      </c>
      <c r="M423" s="13">
        <f t="shared" si="108"/>
        <v>31500</v>
      </c>
      <c r="N423" s="7"/>
      <c r="O423" s="82"/>
    </row>
    <row r="424" spans="1:15" s="14" customFormat="1" ht="34.5" customHeight="1" x14ac:dyDescent="0.45">
      <c r="A424" s="8"/>
      <c r="B424" s="8"/>
      <c r="C424" s="34"/>
      <c r="D424" s="9"/>
      <c r="E424" s="35" t="s">
        <v>357</v>
      </c>
      <c r="F424" s="8">
        <v>2020</v>
      </c>
      <c r="G424" s="8"/>
      <c r="H424" s="8"/>
      <c r="I424" s="31">
        <v>31500</v>
      </c>
      <c r="J424" s="31"/>
      <c r="K424" s="31"/>
      <c r="L424" s="31">
        <f t="shared" ref="L424" si="109">J424+K424</f>
        <v>0</v>
      </c>
      <c r="M424" s="31">
        <f t="shared" ref="M424" si="110">I424+L424</f>
        <v>31500</v>
      </c>
      <c r="N424" s="8"/>
      <c r="O424" s="82"/>
    </row>
    <row r="425" spans="1:15" s="18" customFormat="1" ht="48" customHeight="1" x14ac:dyDescent="0.45">
      <c r="A425" s="7"/>
      <c r="B425" s="7"/>
      <c r="C425" s="17"/>
      <c r="D425" s="9"/>
      <c r="E425" s="21" t="s">
        <v>175</v>
      </c>
      <c r="F425" s="7"/>
      <c r="G425" s="7"/>
      <c r="H425" s="7"/>
      <c r="I425" s="13">
        <f>SUM(I426:I449)+I468+I499+I505</f>
        <v>34329915.149999991</v>
      </c>
      <c r="J425" s="13">
        <f>SUM(J426:J449)+J468+J499+J505</f>
        <v>-748253</v>
      </c>
      <c r="K425" s="13">
        <f>SUM(K426:K449)+K468+K499+K505</f>
        <v>25897954</v>
      </c>
      <c r="L425" s="13">
        <f>SUM(L426:L449)+L468+L499+L505</f>
        <v>25149701</v>
      </c>
      <c r="M425" s="13">
        <f>SUM(M426:M449)+M468+M499+M505</f>
        <v>59479616.149999991</v>
      </c>
      <c r="N425" s="7"/>
      <c r="O425" s="82"/>
    </row>
    <row r="426" spans="1:15" s="32" customFormat="1" ht="76.5" customHeight="1" x14ac:dyDescent="0.45">
      <c r="A426" s="38"/>
      <c r="B426" s="38"/>
      <c r="C426" s="26"/>
      <c r="D426" s="47"/>
      <c r="E426" s="35" t="s">
        <v>204</v>
      </c>
      <c r="F426" s="8" t="s">
        <v>49</v>
      </c>
      <c r="G426" s="30">
        <v>1019404</v>
      </c>
      <c r="H426" s="100">
        <v>81</v>
      </c>
      <c r="I426" s="51">
        <v>101784.03</v>
      </c>
      <c r="J426" s="51"/>
      <c r="K426" s="51"/>
      <c r="L426" s="31">
        <f t="shared" ref="L426:L447" si="111">J426+K426</f>
        <v>0</v>
      </c>
      <c r="M426" s="31">
        <f t="shared" ref="M426:M447" si="112">I426+L426</f>
        <v>101784.03</v>
      </c>
      <c r="N426" s="30">
        <v>100</v>
      </c>
      <c r="O426" s="82"/>
    </row>
    <row r="427" spans="1:15" s="32" customFormat="1" ht="107.5" customHeight="1" x14ac:dyDescent="0.45">
      <c r="A427" s="38"/>
      <c r="B427" s="38"/>
      <c r="C427" s="26"/>
      <c r="D427" s="47"/>
      <c r="E427" s="35" t="s">
        <v>706</v>
      </c>
      <c r="F427" s="8">
        <v>2020</v>
      </c>
      <c r="G427" s="30"/>
      <c r="H427" s="100"/>
      <c r="I427" s="51"/>
      <c r="J427" s="51"/>
      <c r="K427" s="51">
        <v>500000</v>
      </c>
      <c r="L427" s="31">
        <f t="shared" ref="L427" si="113">J427+K427</f>
        <v>500000</v>
      </c>
      <c r="M427" s="31">
        <f t="shared" ref="M427" si="114">I427+L427</f>
        <v>500000</v>
      </c>
      <c r="N427" s="30"/>
      <c r="O427" s="82"/>
    </row>
    <row r="428" spans="1:15" s="32" customFormat="1" ht="68.150000000000006" customHeight="1" x14ac:dyDescent="0.45">
      <c r="A428" s="38"/>
      <c r="B428" s="38"/>
      <c r="C428" s="26"/>
      <c r="D428" s="47"/>
      <c r="E428" s="35" t="s">
        <v>538</v>
      </c>
      <c r="F428" s="8" t="s">
        <v>49</v>
      </c>
      <c r="G428" s="30">
        <v>3499657</v>
      </c>
      <c r="H428" s="100"/>
      <c r="I428" s="51">
        <v>1277597.6499999999</v>
      </c>
      <c r="J428" s="51"/>
      <c r="K428" s="51"/>
      <c r="L428" s="31">
        <f t="shared" si="111"/>
        <v>0</v>
      </c>
      <c r="M428" s="31">
        <f t="shared" si="112"/>
        <v>1277597.6499999999</v>
      </c>
      <c r="N428" s="52">
        <v>36</v>
      </c>
      <c r="O428" s="82"/>
    </row>
    <row r="429" spans="1:15" s="32" customFormat="1" ht="68.150000000000006" customHeight="1" x14ac:dyDescent="0.45">
      <c r="A429" s="38"/>
      <c r="B429" s="38"/>
      <c r="C429" s="26"/>
      <c r="D429" s="47"/>
      <c r="E429" s="35" t="s">
        <v>539</v>
      </c>
      <c r="F429" s="8">
        <v>2020</v>
      </c>
      <c r="G429" s="30"/>
      <c r="H429" s="100"/>
      <c r="I429" s="51">
        <v>110000</v>
      </c>
      <c r="J429" s="51"/>
      <c r="K429" s="51"/>
      <c r="L429" s="31">
        <f t="shared" si="111"/>
        <v>0</v>
      </c>
      <c r="M429" s="31">
        <f t="shared" si="112"/>
        <v>110000</v>
      </c>
      <c r="N429" s="52"/>
      <c r="O429" s="82"/>
    </row>
    <row r="430" spans="1:15" s="32" customFormat="1" ht="68.150000000000006" customHeight="1" x14ac:dyDescent="0.45">
      <c r="A430" s="38"/>
      <c r="B430" s="38"/>
      <c r="C430" s="26"/>
      <c r="D430" s="47"/>
      <c r="E430" s="35" t="s">
        <v>585</v>
      </c>
      <c r="F430" s="8">
        <v>2020</v>
      </c>
      <c r="G430" s="30"/>
      <c r="H430" s="100"/>
      <c r="I430" s="51">
        <v>163369.04</v>
      </c>
      <c r="J430" s="51"/>
      <c r="K430" s="51"/>
      <c r="L430" s="31">
        <f t="shared" si="111"/>
        <v>0</v>
      </c>
      <c r="M430" s="31">
        <f t="shared" si="112"/>
        <v>163369.04</v>
      </c>
      <c r="N430" s="52"/>
      <c r="O430" s="82"/>
    </row>
    <row r="431" spans="1:15" s="32" customFormat="1" ht="59.15" customHeight="1" x14ac:dyDescent="0.45">
      <c r="A431" s="38"/>
      <c r="B431" s="38"/>
      <c r="C431" s="26"/>
      <c r="D431" s="53"/>
      <c r="E431" s="35" t="s">
        <v>359</v>
      </c>
      <c r="F431" s="8">
        <v>2020</v>
      </c>
      <c r="G431" s="8"/>
      <c r="H431" s="101"/>
      <c r="I431" s="51">
        <v>1500000</v>
      </c>
      <c r="J431" s="51"/>
      <c r="K431" s="31"/>
      <c r="L431" s="31">
        <f t="shared" si="111"/>
        <v>0</v>
      </c>
      <c r="M431" s="31">
        <f t="shared" si="112"/>
        <v>1500000</v>
      </c>
      <c r="N431" s="52"/>
      <c r="O431" s="82"/>
    </row>
    <row r="432" spans="1:15" s="32" customFormat="1" ht="59.15" customHeight="1" x14ac:dyDescent="0.45">
      <c r="A432" s="38"/>
      <c r="B432" s="38"/>
      <c r="C432" s="26"/>
      <c r="D432" s="53"/>
      <c r="E432" s="35" t="s">
        <v>695</v>
      </c>
      <c r="F432" s="8">
        <v>2020</v>
      </c>
      <c r="G432" s="8"/>
      <c r="H432" s="101"/>
      <c r="I432" s="51"/>
      <c r="J432" s="51"/>
      <c r="K432" s="31">
        <f>71954-7000</f>
        <v>64954</v>
      </c>
      <c r="L432" s="31">
        <f t="shared" ref="L432" si="115">J432+K432</f>
        <v>64954</v>
      </c>
      <c r="M432" s="31">
        <f t="shared" ref="M432" si="116">I432+L432</f>
        <v>64954</v>
      </c>
      <c r="N432" s="52"/>
      <c r="O432" s="82"/>
    </row>
    <row r="433" spans="1:15" s="32" customFormat="1" ht="42" customHeight="1" x14ac:dyDescent="0.45">
      <c r="A433" s="38"/>
      <c r="B433" s="38"/>
      <c r="C433" s="26"/>
      <c r="D433" s="47"/>
      <c r="E433" s="35" t="s">
        <v>202</v>
      </c>
      <c r="F433" s="8" t="s">
        <v>49</v>
      </c>
      <c r="G433" s="30">
        <v>1494248</v>
      </c>
      <c r="H433" s="100">
        <v>54</v>
      </c>
      <c r="I433" s="51">
        <v>606263.61</v>
      </c>
      <c r="J433" s="51"/>
      <c r="K433" s="51"/>
      <c r="L433" s="31">
        <f t="shared" si="111"/>
        <v>0</v>
      </c>
      <c r="M433" s="31">
        <f t="shared" si="112"/>
        <v>606263.61</v>
      </c>
      <c r="N433" s="30">
        <v>100</v>
      </c>
      <c r="O433" s="82"/>
    </row>
    <row r="434" spans="1:15" s="32" customFormat="1" ht="43.5" customHeight="1" x14ac:dyDescent="0.45">
      <c r="A434" s="38"/>
      <c r="B434" s="38"/>
      <c r="C434" s="26"/>
      <c r="D434" s="47"/>
      <c r="E434" s="35" t="s">
        <v>360</v>
      </c>
      <c r="F434" s="8" t="s">
        <v>49</v>
      </c>
      <c r="G434" s="30"/>
      <c r="H434" s="100"/>
      <c r="I434" s="51">
        <f>4000000+57444.57-4000000</f>
        <v>57444.569999999832</v>
      </c>
      <c r="J434" s="51"/>
      <c r="K434" s="51"/>
      <c r="L434" s="31">
        <f t="shared" si="111"/>
        <v>0</v>
      </c>
      <c r="M434" s="31">
        <f t="shared" si="112"/>
        <v>57444.569999999832</v>
      </c>
      <c r="N434" s="30"/>
      <c r="O434" s="82"/>
    </row>
    <row r="435" spans="1:15" s="32" customFormat="1" ht="43.5" customHeight="1" x14ac:dyDescent="0.45">
      <c r="A435" s="38"/>
      <c r="B435" s="38"/>
      <c r="C435" s="26"/>
      <c r="D435" s="47"/>
      <c r="E435" s="35" t="s">
        <v>694</v>
      </c>
      <c r="F435" s="8" t="s">
        <v>67</v>
      </c>
      <c r="G435" s="30"/>
      <c r="H435" s="100"/>
      <c r="I435" s="51"/>
      <c r="J435" s="51"/>
      <c r="K435" s="51">
        <v>5000000</v>
      </c>
      <c r="L435" s="31">
        <f t="shared" ref="L435" si="117">J435+K435</f>
        <v>5000000</v>
      </c>
      <c r="M435" s="31">
        <f t="shared" ref="M435" si="118">I435+L435</f>
        <v>5000000</v>
      </c>
      <c r="N435" s="30"/>
      <c r="O435" s="82"/>
    </row>
    <row r="436" spans="1:15" s="32" customFormat="1" ht="72" x14ac:dyDescent="0.45">
      <c r="A436" s="38"/>
      <c r="B436" s="38"/>
      <c r="C436" s="26"/>
      <c r="D436" s="47"/>
      <c r="E436" s="35" t="s">
        <v>351</v>
      </c>
      <c r="F436" s="8" t="s">
        <v>39</v>
      </c>
      <c r="G436" s="30">
        <v>5604313</v>
      </c>
      <c r="H436" s="100">
        <v>33</v>
      </c>
      <c r="I436" s="51">
        <v>879943.74</v>
      </c>
      <c r="J436" s="51"/>
      <c r="K436" s="51"/>
      <c r="L436" s="31">
        <f t="shared" si="111"/>
        <v>0</v>
      </c>
      <c r="M436" s="31">
        <f t="shared" si="112"/>
        <v>879943.74</v>
      </c>
      <c r="N436" s="52">
        <v>49</v>
      </c>
      <c r="O436" s="82"/>
    </row>
    <row r="437" spans="1:15" s="32" customFormat="1" ht="71" customHeight="1" x14ac:dyDescent="0.45">
      <c r="A437" s="38"/>
      <c r="B437" s="38"/>
      <c r="C437" s="26"/>
      <c r="D437" s="47"/>
      <c r="E437" s="35" t="s">
        <v>690</v>
      </c>
      <c r="F437" s="8" t="s">
        <v>470</v>
      </c>
      <c r="G437" s="30">
        <v>7986895</v>
      </c>
      <c r="H437" s="100">
        <v>21</v>
      </c>
      <c r="I437" s="51"/>
      <c r="J437" s="51"/>
      <c r="K437" s="51">
        <v>260000</v>
      </c>
      <c r="L437" s="31">
        <f t="shared" ref="L437" si="119">J437+K437</f>
        <v>260000</v>
      </c>
      <c r="M437" s="31">
        <f t="shared" ref="M437" si="120">I437+L437</f>
        <v>260000</v>
      </c>
      <c r="N437" s="52">
        <v>24</v>
      </c>
      <c r="O437" s="82"/>
    </row>
    <row r="438" spans="1:15" s="32" customFormat="1" ht="54" customHeight="1" x14ac:dyDescent="0.45">
      <c r="A438" s="38"/>
      <c r="B438" s="38"/>
      <c r="C438" s="26"/>
      <c r="D438" s="47"/>
      <c r="E438" s="35" t="s">
        <v>294</v>
      </c>
      <c r="F438" s="8" t="s">
        <v>49</v>
      </c>
      <c r="G438" s="30">
        <v>488984</v>
      </c>
      <c r="H438" s="100">
        <v>3.9</v>
      </c>
      <c r="I438" s="51">
        <v>470008.51</v>
      </c>
      <c r="J438" s="51"/>
      <c r="K438" s="51"/>
      <c r="L438" s="31">
        <f t="shared" si="111"/>
        <v>0</v>
      </c>
      <c r="M438" s="31">
        <f t="shared" si="112"/>
        <v>470008.51</v>
      </c>
      <c r="N438" s="30">
        <v>100</v>
      </c>
      <c r="O438" s="82"/>
    </row>
    <row r="439" spans="1:15" s="32" customFormat="1" ht="49" customHeight="1" x14ac:dyDescent="0.45">
      <c r="A439" s="38"/>
      <c r="B439" s="38"/>
      <c r="C439" s="26"/>
      <c r="D439" s="53"/>
      <c r="E439" s="35" t="s">
        <v>368</v>
      </c>
      <c r="F439" s="8">
        <v>2020</v>
      </c>
      <c r="G439" s="30">
        <v>199307</v>
      </c>
      <c r="H439" s="101"/>
      <c r="I439" s="51">
        <f>200000-15000</f>
        <v>185000</v>
      </c>
      <c r="J439" s="51"/>
      <c r="K439" s="31"/>
      <c r="L439" s="31">
        <f>J439+K439</f>
        <v>0</v>
      </c>
      <c r="M439" s="31">
        <f>I439+L439</f>
        <v>185000</v>
      </c>
      <c r="N439" s="30">
        <v>100</v>
      </c>
      <c r="O439" s="82"/>
    </row>
    <row r="440" spans="1:15" s="32" customFormat="1" ht="46" customHeight="1" x14ac:dyDescent="0.45">
      <c r="A440" s="38"/>
      <c r="B440" s="38"/>
      <c r="C440" s="26"/>
      <c r="D440" s="53"/>
      <c r="E440" s="35" t="s">
        <v>295</v>
      </c>
      <c r="F440" s="8">
        <v>2020</v>
      </c>
      <c r="G440" s="30">
        <v>448838</v>
      </c>
      <c r="H440" s="101"/>
      <c r="I440" s="51">
        <f>450000-35000</f>
        <v>415000</v>
      </c>
      <c r="J440" s="51"/>
      <c r="K440" s="31"/>
      <c r="L440" s="31">
        <f>J440+K440</f>
        <v>0</v>
      </c>
      <c r="M440" s="31">
        <f>I440+L440</f>
        <v>415000</v>
      </c>
      <c r="N440" s="30">
        <v>100</v>
      </c>
      <c r="O440" s="82"/>
    </row>
    <row r="441" spans="1:15" s="32" customFormat="1" ht="89.5" customHeight="1" x14ac:dyDescent="0.45">
      <c r="A441" s="38"/>
      <c r="B441" s="38"/>
      <c r="C441" s="26"/>
      <c r="D441" s="47"/>
      <c r="E441" s="35" t="s">
        <v>358</v>
      </c>
      <c r="F441" s="8" t="s">
        <v>49</v>
      </c>
      <c r="G441" s="30">
        <v>287958</v>
      </c>
      <c r="H441" s="100"/>
      <c r="I441" s="51">
        <f>20295+177000</f>
        <v>197295</v>
      </c>
      <c r="J441" s="51"/>
      <c r="K441" s="51"/>
      <c r="L441" s="31">
        <f t="shared" si="111"/>
        <v>0</v>
      </c>
      <c r="M441" s="31">
        <f t="shared" si="112"/>
        <v>197295</v>
      </c>
      <c r="N441" s="30">
        <v>100</v>
      </c>
      <c r="O441" s="82"/>
    </row>
    <row r="442" spans="1:15" s="32" customFormat="1" ht="62.5" customHeight="1" x14ac:dyDescent="0.45">
      <c r="A442" s="38"/>
      <c r="B442" s="38"/>
      <c r="C442" s="26"/>
      <c r="D442" s="47"/>
      <c r="E442" s="35" t="s">
        <v>210</v>
      </c>
      <c r="F442" s="8" t="s">
        <v>49</v>
      </c>
      <c r="G442" s="30">
        <v>324741</v>
      </c>
      <c r="H442" s="100"/>
      <c r="I442" s="51">
        <v>34404.35</v>
      </c>
      <c r="J442" s="51"/>
      <c r="K442" s="51"/>
      <c r="L442" s="31">
        <f t="shared" si="111"/>
        <v>0</v>
      </c>
      <c r="M442" s="31">
        <f t="shared" si="112"/>
        <v>34404.35</v>
      </c>
      <c r="N442" s="52">
        <v>10.6</v>
      </c>
      <c r="O442" s="82"/>
    </row>
    <row r="443" spans="1:15" s="32" customFormat="1" ht="89.15" customHeight="1" x14ac:dyDescent="0.45">
      <c r="A443" s="38"/>
      <c r="B443" s="38"/>
      <c r="C443" s="26"/>
      <c r="D443" s="47"/>
      <c r="E443" s="35" t="s">
        <v>208</v>
      </c>
      <c r="F443" s="8" t="s">
        <v>49</v>
      </c>
      <c r="G443" s="30">
        <v>1936055</v>
      </c>
      <c r="H443" s="100">
        <v>43</v>
      </c>
      <c r="I443" s="51">
        <v>966426.57</v>
      </c>
      <c r="J443" s="51"/>
      <c r="K443" s="51"/>
      <c r="L443" s="31">
        <f t="shared" si="111"/>
        <v>0</v>
      </c>
      <c r="M443" s="31">
        <f t="shared" si="112"/>
        <v>966426.57</v>
      </c>
      <c r="N443" s="30">
        <v>100</v>
      </c>
      <c r="O443" s="82"/>
    </row>
    <row r="444" spans="1:15" s="32" customFormat="1" ht="71.150000000000006" customHeight="1" x14ac:dyDescent="0.45">
      <c r="A444" s="38"/>
      <c r="B444" s="38"/>
      <c r="C444" s="26"/>
      <c r="D444" s="47"/>
      <c r="E444" s="35" t="s">
        <v>554</v>
      </c>
      <c r="F444" s="8">
        <v>2020</v>
      </c>
      <c r="G444" s="30"/>
      <c r="H444" s="100"/>
      <c r="I444" s="51">
        <v>100000</v>
      </c>
      <c r="J444" s="51"/>
      <c r="K444" s="51"/>
      <c r="L444" s="31">
        <f t="shared" si="111"/>
        <v>0</v>
      </c>
      <c r="M444" s="31">
        <f t="shared" si="112"/>
        <v>100000</v>
      </c>
      <c r="N444" s="30"/>
      <c r="O444" s="82"/>
    </row>
    <row r="445" spans="1:15" s="32" customFormat="1" ht="66" customHeight="1" x14ac:dyDescent="0.45">
      <c r="A445" s="38"/>
      <c r="B445" s="38"/>
      <c r="C445" s="26"/>
      <c r="D445" s="53"/>
      <c r="E445" s="35" t="s">
        <v>266</v>
      </c>
      <c r="F445" s="8">
        <v>2020</v>
      </c>
      <c r="G445" s="8"/>
      <c r="H445" s="101"/>
      <c r="I445" s="51">
        <f>3000000-2700000</f>
        <v>300000</v>
      </c>
      <c r="J445" s="51"/>
      <c r="K445" s="31">
        <v>4000000</v>
      </c>
      <c r="L445" s="31">
        <f t="shared" si="111"/>
        <v>4000000</v>
      </c>
      <c r="M445" s="31">
        <f t="shared" si="112"/>
        <v>4300000</v>
      </c>
      <c r="N445" s="52"/>
      <c r="O445" s="82"/>
    </row>
    <row r="446" spans="1:15" s="32" customFormat="1" ht="66" customHeight="1" x14ac:dyDescent="0.45">
      <c r="A446" s="38"/>
      <c r="B446" s="38"/>
      <c r="C446" s="26"/>
      <c r="D446" s="53"/>
      <c r="E446" s="35" t="s">
        <v>691</v>
      </c>
      <c r="F446" s="8" t="s">
        <v>67</v>
      </c>
      <c r="G446" s="8"/>
      <c r="H446" s="101"/>
      <c r="I446" s="51"/>
      <c r="J446" s="51"/>
      <c r="K446" s="31">
        <v>7000000</v>
      </c>
      <c r="L446" s="31">
        <f t="shared" ref="L446" si="121">J446+K446</f>
        <v>7000000</v>
      </c>
      <c r="M446" s="31">
        <f t="shared" ref="M446" si="122">I446+L446</f>
        <v>7000000</v>
      </c>
      <c r="N446" s="52"/>
      <c r="O446" s="82"/>
    </row>
    <row r="447" spans="1:15" s="32" customFormat="1" ht="68.150000000000006" customHeight="1" x14ac:dyDescent="0.45">
      <c r="A447" s="38"/>
      <c r="B447" s="38"/>
      <c r="C447" s="26"/>
      <c r="D447" s="53"/>
      <c r="E447" s="35" t="s">
        <v>226</v>
      </c>
      <c r="F447" s="8">
        <v>2020</v>
      </c>
      <c r="G447" s="8"/>
      <c r="H447" s="101"/>
      <c r="I447" s="51">
        <f>5550000-5000000</f>
        <v>550000</v>
      </c>
      <c r="J447" s="51"/>
      <c r="K447" s="31"/>
      <c r="L447" s="31">
        <f t="shared" si="111"/>
        <v>0</v>
      </c>
      <c r="M447" s="31">
        <f t="shared" si="112"/>
        <v>550000</v>
      </c>
      <c r="N447" s="52"/>
      <c r="O447" s="82"/>
    </row>
    <row r="448" spans="1:15" s="32" customFormat="1" ht="69" customHeight="1" x14ac:dyDescent="0.45">
      <c r="A448" s="38"/>
      <c r="B448" s="38"/>
      <c r="C448" s="26"/>
      <c r="D448" s="47"/>
      <c r="E448" s="35" t="s">
        <v>504</v>
      </c>
      <c r="F448" s="8">
        <v>2020</v>
      </c>
      <c r="G448" s="30"/>
      <c r="H448" s="100"/>
      <c r="I448" s="51">
        <v>75000</v>
      </c>
      <c r="J448" s="51"/>
      <c r="K448" s="51"/>
      <c r="L448" s="31">
        <f>J448+K448</f>
        <v>0</v>
      </c>
      <c r="M448" s="31">
        <f>I448+L448</f>
        <v>75000</v>
      </c>
      <c r="N448" s="52"/>
      <c r="O448" s="82"/>
    </row>
    <row r="449" spans="1:15" s="32" customFormat="1" ht="83.5" customHeight="1" x14ac:dyDescent="0.45">
      <c r="A449" s="38"/>
      <c r="B449" s="38"/>
      <c r="C449" s="26"/>
      <c r="D449" s="47"/>
      <c r="E449" s="35" t="s">
        <v>367</v>
      </c>
      <c r="F449" s="8">
        <v>2020</v>
      </c>
      <c r="G449" s="8"/>
      <c r="H449" s="101"/>
      <c r="I449" s="31">
        <f>SUM(I450:I467)</f>
        <v>4020320.83</v>
      </c>
      <c r="J449" s="31">
        <f>SUM(J450:J467)</f>
        <v>0</v>
      </c>
      <c r="K449" s="31">
        <f>SUM(K450:K467)</f>
        <v>1398000</v>
      </c>
      <c r="L449" s="31">
        <f>SUM(L450:L467)</f>
        <v>1398000</v>
      </c>
      <c r="M449" s="31">
        <f>SUM(M450:M467)</f>
        <v>5418320.8300000001</v>
      </c>
      <c r="N449" s="52"/>
      <c r="O449" s="82"/>
    </row>
    <row r="450" spans="1:15" s="32" customFormat="1" ht="78" customHeight="1" x14ac:dyDescent="0.45">
      <c r="A450" s="38"/>
      <c r="B450" s="38"/>
      <c r="C450" s="26"/>
      <c r="D450" s="47"/>
      <c r="E450" s="27" t="s">
        <v>214</v>
      </c>
      <c r="F450" s="38" t="s">
        <v>49</v>
      </c>
      <c r="G450" s="55">
        <v>1347514</v>
      </c>
      <c r="H450" s="58">
        <v>2.5</v>
      </c>
      <c r="I450" s="59">
        <v>1312709</v>
      </c>
      <c r="J450" s="59"/>
      <c r="K450" s="59"/>
      <c r="L450" s="59">
        <f>K450+J450</f>
        <v>0</v>
      </c>
      <c r="M450" s="37">
        <f>I450+L450</f>
        <v>1312709</v>
      </c>
      <c r="N450" s="55">
        <v>100</v>
      </c>
      <c r="O450" s="82"/>
    </row>
    <row r="451" spans="1:15" s="32" customFormat="1" ht="89.15" customHeight="1" x14ac:dyDescent="0.45">
      <c r="A451" s="38"/>
      <c r="B451" s="38"/>
      <c r="C451" s="26"/>
      <c r="D451" s="47"/>
      <c r="E451" s="27" t="s">
        <v>215</v>
      </c>
      <c r="F451" s="38" t="s">
        <v>49</v>
      </c>
      <c r="G451" s="55">
        <v>399635</v>
      </c>
      <c r="H451" s="58"/>
      <c r="I451" s="59">
        <v>399635</v>
      </c>
      <c r="J451" s="59"/>
      <c r="K451" s="59"/>
      <c r="L451" s="59">
        <f t="shared" ref="L451:L467" si="123">K451+J451</f>
        <v>0</v>
      </c>
      <c r="M451" s="37">
        <f t="shared" ref="M451:M467" si="124">I451+L451</f>
        <v>399635</v>
      </c>
      <c r="N451" s="55">
        <v>100</v>
      </c>
      <c r="O451" s="82"/>
    </row>
    <row r="452" spans="1:15" s="32" customFormat="1" ht="85" customHeight="1" x14ac:dyDescent="0.45">
      <c r="A452" s="38"/>
      <c r="B452" s="38"/>
      <c r="C452" s="26"/>
      <c r="D452" s="47"/>
      <c r="E452" s="27" t="s">
        <v>216</v>
      </c>
      <c r="F452" s="38" t="s">
        <v>49</v>
      </c>
      <c r="G452" s="55">
        <v>299612</v>
      </c>
      <c r="H452" s="58"/>
      <c r="I452" s="59">
        <v>299612</v>
      </c>
      <c r="J452" s="59"/>
      <c r="K452" s="59"/>
      <c r="L452" s="59">
        <f t="shared" si="123"/>
        <v>0</v>
      </c>
      <c r="M452" s="37">
        <f t="shared" si="124"/>
        <v>299612</v>
      </c>
      <c r="N452" s="55">
        <v>100</v>
      </c>
      <c r="O452" s="82"/>
    </row>
    <row r="453" spans="1:15" s="32" customFormat="1" ht="90.65" customHeight="1" x14ac:dyDescent="0.45">
      <c r="A453" s="38"/>
      <c r="B453" s="38"/>
      <c r="C453" s="26"/>
      <c r="D453" s="47"/>
      <c r="E453" s="27" t="s">
        <v>217</v>
      </c>
      <c r="F453" s="38" t="s">
        <v>49</v>
      </c>
      <c r="G453" s="55">
        <v>927760</v>
      </c>
      <c r="H453" s="58">
        <v>3.07</v>
      </c>
      <c r="I453" s="59">
        <v>898364.83</v>
      </c>
      <c r="J453" s="59"/>
      <c r="K453" s="59"/>
      <c r="L453" s="59">
        <f t="shared" si="123"/>
        <v>0</v>
      </c>
      <c r="M453" s="37">
        <f t="shared" si="124"/>
        <v>898364.83</v>
      </c>
      <c r="N453" s="55">
        <v>100</v>
      </c>
      <c r="O453" s="82"/>
    </row>
    <row r="454" spans="1:15" s="32" customFormat="1" ht="53" customHeight="1" x14ac:dyDescent="0.45">
      <c r="A454" s="38"/>
      <c r="B454" s="38"/>
      <c r="C454" s="26"/>
      <c r="D454" s="47"/>
      <c r="E454" s="27" t="s">
        <v>701</v>
      </c>
      <c r="F454" s="38">
        <v>2020</v>
      </c>
      <c r="G454" s="55"/>
      <c r="H454" s="58"/>
      <c r="I454" s="59"/>
      <c r="J454" s="59"/>
      <c r="K454" s="59">
        <v>350000</v>
      </c>
      <c r="L454" s="59">
        <f t="shared" ref="L454" si="125">K454+J454</f>
        <v>350000</v>
      </c>
      <c r="M454" s="37">
        <f t="shared" ref="M454" si="126">I454+L454</f>
        <v>350000</v>
      </c>
      <c r="N454" s="55"/>
      <c r="O454" s="82"/>
    </row>
    <row r="455" spans="1:15" s="32" customFormat="1" ht="47" customHeight="1" x14ac:dyDescent="0.45">
      <c r="A455" s="38"/>
      <c r="B455" s="38"/>
      <c r="C455" s="26"/>
      <c r="D455" s="47"/>
      <c r="E455" s="27" t="s">
        <v>703</v>
      </c>
      <c r="F455" s="38">
        <v>2020</v>
      </c>
      <c r="G455" s="55"/>
      <c r="H455" s="58"/>
      <c r="I455" s="59"/>
      <c r="J455" s="59"/>
      <c r="K455" s="59">
        <v>350000</v>
      </c>
      <c r="L455" s="59">
        <f t="shared" ref="L455" si="127">K455+J455</f>
        <v>350000</v>
      </c>
      <c r="M455" s="37">
        <f t="shared" ref="M455" si="128">I455+L455</f>
        <v>350000</v>
      </c>
      <c r="N455" s="55"/>
      <c r="O455" s="82"/>
    </row>
    <row r="456" spans="1:15" s="32" customFormat="1" ht="52" customHeight="1" x14ac:dyDescent="0.45">
      <c r="A456" s="38"/>
      <c r="B456" s="38"/>
      <c r="C456" s="26"/>
      <c r="D456" s="47"/>
      <c r="E456" s="27" t="s">
        <v>702</v>
      </c>
      <c r="F456" s="38">
        <v>2020</v>
      </c>
      <c r="G456" s="55"/>
      <c r="H456" s="58"/>
      <c r="I456" s="59"/>
      <c r="J456" s="59"/>
      <c r="K456" s="59">
        <v>350000</v>
      </c>
      <c r="L456" s="59">
        <f t="shared" ref="L456" si="129">K456+J456</f>
        <v>350000</v>
      </c>
      <c r="M456" s="37">
        <f t="shared" ref="M456" si="130">I456+L456</f>
        <v>350000</v>
      </c>
      <c r="N456" s="55"/>
      <c r="O456" s="82"/>
    </row>
    <row r="457" spans="1:15" s="32" customFormat="1" ht="104.5" customHeight="1" x14ac:dyDescent="0.45">
      <c r="A457" s="38"/>
      <c r="B457" s="38"/>
      <c r="C457" s="26"/>
      <c r="D457" s="47"/>
      <c r="E457" s="27" t="s">
        <v>372</v>
      </c>
      <c r="F457" s="38">
        <v>2020</v>
      </c>
      <c r="G457" s="55">
        <v>487308</v>
      </c>
      <c r="H457" s="58"/>
      <c r="I457" s="59">
        <f>250000+110000</f>
        <v>360000</v>
      </c>
      <c r="J457" s="59"/>
      <c r="K457" s="59"/>
      <c r="L457" s="59">
        <f t="shared" si="123"/>
        <v>0</v>
      </c>
      <c r="M457" s="37">
        <f t="shared" si="124"/>
        <v>360000</v>
      </c>
      <c r="N457" s="60">
        <v>73.900000000000006</v>
      </c>
      <c r="O457" s="82"/>
    </row>
    <row r="458" spans="1:15" s="32" customFormat="1" ht="77.150000000000006" customHeight="1" x14ac:dyDescent="0.45">
      <c r="A458" s="38"/>
      <c r="B458" s="38"/>
      <c r="C458" s="26"/>
      <c r="D458" s="47"/>
      <c r="E458" s="27" t="s">
        <v>432</v>
      </c>
      <c r="F458" s="38">
        <v>2020</v>
      </c>
      <c r="G458" s="55"/>
      <c r="H458" s="58"/>
      <c r="I458" s="59">
        <v>250000</v>
      </c>
      <c r="J458" s="59"/>
      <c r="K458" s="59"/>
      <c r="L458" s="59">
        <f t="shared" si="123"/>
        <v>0</v>
      </c>
      <c r="M458" s="37">
        <f t="shared" si="124"/>
        <v>250000</v>
      </c>
      <c r="N458" s="55"/>
      <c r="O458" s="82"/>
    </row>
    <row r="459" spans="1:15" s="32" customFormat="1" ht="92.15" customHeight="1" x14ac:dyDescent="0.45">
      <c r="A459" s="38"/>
      <c r="B459" s="38"/>
      <c r="C459" s="26"/>
      <c r="D459" s="47"/>
      <c r="E459" s="27" t="s">
        <v>557</v>
      </c>
      <c r="F459" s="38">
        <v>2020</v>
      </c>
      <c r="G459" s="55"/>
      <c r="H459" s="58"/>
      <c r="I459" s="59">
        <v>50000</v>
      </c>
      <c r="J459" s="59"/>
      <c r="K459" s="59"/>
      <c r="L459" s="59">
        <f t="shared" si="123"/>
        <v>0</v>
      </c>
      <c r="M459" s="37">
        <f t="shared" si="124"/>
        <v>50000</v>
      </c>
      <c r="N459" s="55"/>
      <c r="O459" s="82"/>
    </row>
    <row r="460" spans="1:15" s="32" customFormat="1" ht="92.15" customHeight="1" x14ac:dyDescent="0.45">
      <c r="A460" s="38"/>
      <c r="B460" s="38"/>
      <c r="C460" s="26"/>
      <c r="D460" s="47"/>
      <c r="E460" s="27" t="s">
        <v>558</v>
      </c>
      <c r="F460" s="38">
        <v>2020</v>
      </c>
      <c r="G460" s="55"/>
      <c r="H460" s="58"/>
      <c r="I460" s="59">
        <v>50000</v>
      </c>
      <c r="J460" s="59"/>
      <c r="K460" s="59"/>
      <c r="L460" s="59">
        <f t="shared" si="123"/>
        <v>0</v>
      </c>
      <c r="M460" s="37">
        <f t="shared" si="124"/>
        <v>50000</v>
      </c>
      <c r="N460" s="55"/>
      <c r="O460" s="82"/>
    </row>
    <row r="461" spans="1:15" s="32" customFormat="1" ht="92.15" customHeight="1" x14ac:dyDescent="0.45">
      <c r="A461" s="38"/>
      <c r="B461" s="38"/>
      <c r="C461" s="26"/>
      <c r="D461" s="47"/>
      <c r="E461" s="27" t="s">
        <v>559</v>
      </c>
      <c r="F461" s="38">
        <v>2020</v>
      </c>
      <c r="G461" s="55"/>
      <c r="H461" s="58"/>
      <c r="I461" s="59">
        <v>50000</v>
      </c>
      <c r="J461" s="59"/>
      <c r="K461" s="59"/>
      <c r="L461" s="59">
        <f t="shared" si="123"/>
        <v>0</v>
      </c>
      <c r="M461" s="37">
        <f t="shared" si="124"/>
        <v>50000</v>
      </c>
      <c r="N461" s="55"/>
      <c r="O461" s="82"/>
    </row>
    <row r="462" spans="1:15" s="32" customFormat="1" ht="92.15" customHeight="1" x14ac:dyDescent="0.45">
      <c r="A462" s="38"/>
      <c r="B462" s="38"/>
      <c r="C462" s="26"/>
      <c r="D462" s="47"/>
      <c r="E462" s="27" t="s">
        <v>560</v>
      </c>
      <c r="F462" s="38">
        <v>2020</v>
      </c>
      <c r="G462" s="55"/>
      <c r="H462" s="58"/>
      <c r="I462" s="59">
        <v>50000</v>
      </c>
      <c r="J462" s="59"/>
      <c r="K462" s="59">
        <f>150000+198000</f>
        <v>348000</v>
      </c>
      <c r="L462" s="59">
        <f t="shared" si="123"/>
        <v>348000</v>
      </c>
      <c r="M462" s="37">
        <f t="shared" si="124"/>
        <v>398000</v>
      </c>
      <c r="N462" s="55"/>
      <c r="O462" s="82"/>
    </row>
    <row r="463" spans="1:15" s="32" customFormat="1" ht="92.15" customHeight="1" x14ac:dyDescent="0.45">
      <c r="A463" s="38"/>
      <c r="B463" s="38"/>
      <c r="C463" s="26"/>
      <c r="D463" s="47"/>
      <c r="E463" s="27" t="s">
        <v>561</v>
      </c>
      <c r="F463" s="38">
        <v>2020</v>
      </c>
      <c r="G463" s="55"/>
      <c r="H463" s="58"/>
      <c r="I463" s="59">
        <v>50000</v>
      </c>
      <c r="J463" s="59"/>
      <c r="K463" s="59"/>
      <c r="L463" s="59">
        <f t="shared" si="123"/>
        <v>0</v>
      </c>
      <c r="M463" s="37">
        <f t="shared" si="124"/>
        <v>50000</v>
      </c>
      <c r="N463" s="55"/>
      <c r="O463" s="82"/>
    </row>
    <row r="464" spans="1:15" s="32" customFormat="1" ht="92.15" customHeight="1" x14ac:dyDescent="0.45">
      <c r="A464" s="38"/>
      <c r="B464" s="38"/>
      <c r="C464" s="26"/>
      <c r="D464" s="47"/>
      <c r="E464" s="27" t="s">
        <v>562</v>
      </c>
      <c r="F464" s="38">
        <v>2020</v>
      </c>
      <c r="G464" s="55"/>
      <c r="H464" s="58"/>
      <c r="I464" s="59">
        <v>50000</v>
      </c>
      <c r="J464" s="59"/>
      <c r="K464" s="59"/>
      <c r="L464" s="59">
        <f t="shared" si="123"/>
        <v>0</v>
      </c>
      <c r="M464" s="37">
        <f t="shared" si="124"/>
        <v>50000</v>
      </c>
      <c r="N464" s="55"/>
      <c r="O464" s="82"/>
    </row>
    <row r="465" spans="1:15" s="32" customFormat="1" ht="92.15" customHeight="1" x14ac:dyDescent="0.45">
      <c r="A465" s="38"/>
      <c r="B465" s="38"/>
      <c r="C465" s="26"/>
      <c r="D465" s="47"/>
      <c r="E465" s="27" t="s">
        <v>563</v>
      </c>
      <c r="F465" s="38">
        <v>2020</v>
      </c>
      <c r="G465" s="55"/>
      <c r="H465" s="58"/>
      <c r="I465" s="59">
        <v>50000</v>
      </c>
      <c r="J465" s="59"/>
      <c r="K465" s="59"/>
      <c r="L465" s="59">
        <f t="shared" si="123"/>
        <v>0</v>
      </c>
      <c r="M465" s="37">
        <f t="shared" si="124"/>
        <v>50000</v>
      </c>
      <c r="N465" s="55"/>
      <c r="O465" s="82"/>
    </row>
    <row r="466" spans="1:15" s="32" customFormat="1" ht="101.5" customHeight="1" x14ac:dyDescent="0.45">
      <c r="A466" s="38"/>
      <c r="B466" s="38"/>
      <c r="C466" s="26"/>
      <c r="D466" s="47"/>
      <c r="E466" s="27" t="s">
        <v>373</v>
      </c>
      <c r="F466" s="38">
        <v>2020</v>
      </c>
      <c r="G466" s="55"/>
      <c r="H466" s="58"/>
      <c r="I466" s="59">
        <f>250000-200000</f>
        <v>50000</v>
      </c>
      <c r="J466" s="59"/>
      <c r="K466" s="59"/>
      <c r="L466" s="59">
        <f t="shared" si="123"/>
        <v>0</v>
      </c>
      <c r="M466" s="37">
        <f t="shared" si="124"/>
        <v>50000</v>
      </c>
      <c r="N466" s="55"/>
      <c r="O466" s="82"/>
    </row>
    <row r="467" spans="1:15" s="32" customFormat="1" ht="89.5" customHeight="1" x14ac:dyDescent="0.45">
      <c r="A467" s="38"/>
      <c r="B467" s="38"/>
      <c r="C467" s="26"/>
      <c r="D467" s="47"/>
      <c r="E467" s="27" t="s">
        <v>374</v>
      </c>
      <c r="F467" s="38">
        <v>2020</v>
      </c>
      <c r="G467" s="55"/>
      <c r="H467" s="58"/>
      <c r="I467" s="59">
        <f>250000-150000</f>
        <v>100000</v>
      </c>
      <c r="J467" s="59"/>
      <c r="K467" s="59"/>
      <c r="L467" s="59">
        <f t="shared" si="123"/>
        <v>0</v>
      </c>
      <c r="M467" s="37">
        <f t="shared" si="124"/>
        <v>100000</v>
      </c>
      <c r="N467" s="55"/>
      <c r="O467" s="82"/>
    </row>
    <row r="468" spans="1:15" s="32" customFormat="1" ht="69" customHeight="1" x14ac:dyDescent="0.45">
      <c r="A468" s="38"/>
      <c r="B468" s="38"/>
      <c r="C468" s="26"/>
      <c r="D468" s="47"/>
      <c r="E468" s="35" t="s">
        <v>364</v>
      </c>
      <c r="F468" s="8"/>
      <c r="G468" s="8"/>
      <c r="H468" s="101"/>
      <c r="I468" s="51">
        <f>SUM(I469:I498)</f>
        <v>10950037.729999999</v>
      </c>
      <c r="J468" s="51">
        <f>SUM(J469:J498)</f>
        <v>0</v>
      </c>
      <c r="K468" s="51">
        <f>SUM(K469:K498)</f>
        <v>7675000</v>
      </c>
      <c r="L468" s="51">
        <f>SUM(L469:L498)</f>
        <v>7675000</v>
      </c>
      <c r="M468" s="51">
        <f>SUM(M469:M498)</f>
        <v>18625037.73</v>
      </c>
      <c r="N468" s="52"/>
      <c r="O468" s="82"/>
    </row>
    <row r="469" spans="1:15" s="32" customFormat="1" ht="77.150000000000006" customHeight="1" x14ac:dyDescent="0.45">
      <c r="A469" s="38"/>
      <c r="B469" s="38"/>
      <c r="C469" s="26"/>
      <c r="D469" s="47"/>
      <c r="E469" s="27" t="s">
        <v>293</v>
      </c>
      <c r="F469" s="38" t="s">
        <v>49</v>
      </c>
      <c r="G469" s="55">
        <v>887309</v>
      </c>
      <c r="H469" s="58">
        <v>3.3</v>
      </c>
      <c r="I469" s="59">
        <v>858417.4</v>
      </c>
      <c r="J469" s="59"/>
      <c r="K469" s="59"/>
      <c r="L469" s="59">
        <f t="shared" ref="L469:L504" si="131">K469+J469</f>
        <v>0</v>
      </c>
      <c r="M469" s="37">
        <f t="shared" ref="M469:M504" si="132">I469+L469</f>
        <v>858417.4</v>
      </c>
      <c r="N469" s="55">
        <v>100</v>
      </c>
      <c r="O469" s="82"/>
    </row>
    <row r="470" spans="1:15" s="32" customFormat="1" ht="77.150000000000006" customHeight="1" x14ac:dyDescent="0.45">
      <c r="A470" s="38"/>
      <c r="B470" s="38"/>
      <c r="C470" s="26"/>
      <c r="D470" s="47"/>
      <c r="E470" s="27" t="s">
        <v>700</v>
      </c>
      <c r="F470" s="38">
        <v>2020</v>
      </c>
      <c r="G470" s="55"/>
      <c r="H470" s="58"/>
      <c r="I470" s="59"/>
      <c r="J470" s="59"/>
      <c r="K470" s="59">
        <v>1500000</v>
      </c>
      <c r="L470" s="59">
        <f t="shared" ref="L470" si="133">K470+J470</f>
        <v>1500000</v>
      </c>
      <c r="M470" s="37">
        <f t="shared" ref="M470" si="134">I470+L470</f>
        <v>1500000</v>
      </c>
      <c r="N470" s="55"/>
      <c r="O470" s="82"/>
    </row>
    <row r="471" spans="1:15" s="32" customFormat="1" ht="83.15" customHeight="1" x14ac:dyDescent="0.45">
      <c r="A471" s="38"/>
      <c r="B471" s="38"/>
      <c r="C471" s="26"/>
      <c r="D471" s="47"/>
      <c r="E471" s="27" t="s">
        <v>209</v>
      </c>
      <c r="F471" s="38" t="s">
        <v>49</v>
      </c>
      <c r="G471" s="55">
        <v>1258475.95</v>
      </c>
      <c r="H471" s="58">
        <v>78.3</v>
      </c>
      <c r="I471" s="59">
        <v>272941.86</v>
      </c>
      <c r="J471" s="59"/>
      <c r="K471" s="59"/>
      <c r="L471" s="59">
        <f t="shared" si="131"/>
        <v>0</v>
      </c>
      <c r="M471" s="37">
        <f t="shared" si="132"/>
        <v>272941.86</v>
      </c>
      <c r="N471" s="55">
        <v>100</v>
      </c>
      <c r="O471" s="82"/>
    </row>
    <row r="472" spans="1:15" s="32" customFormat="1" ht="64" customHeight="1" x14ac:dyDescent="0.45">
      <c r="A472" s="38"/>
      <c r="B472" s="38"/>
      <c r="C472" s="26"/>
      <c r="D472" s="47"/>
      <c r="E472" s="27" t="s">
        <v>547</v>
      </c>
      <c r="F472" s="38">
        <v>2020</v>
      </c>
      <c r="G472" s="55"/>
      <c r="H472" s="58"/>
      <c r="I472" s="59">
        <v>200000</v>
      </c>
      <c r="J472" s="59"/>
      <c r="K472" s="59">
        <v>307481</v>
      </c>
      <c r="L472" s="59">
        <f t="shared" si="131"/>
        <v>307481</v>
      </c>
      <c r="M472" s="37">
        <f t="shared" si="132"/>
        <v>507481</v>
      </c>
      <c r="N472" s="55"/>
      <c r="O472" s="82"/>
    </row>
    <row r="473" spans="1:15" s="32" customFormat="1" ht="47.15" customHeight="1" x14ac:dyDescent="0.45">
      <c r="A473" s="38"/>
      <c r="B473" s="38"/>
      <c r="C473" s="26"/>
      <c r="D473" s="47"/>
      <c r="E473" s="27" t="s">
        <v>205</v>
      </c>
      <c r="F473" s="38" t="s">
        <v>49</v>
      </c>
      <c r="G473" s="55">
        <v>714778</v>
      </c>
      <c r="H473" s="58"/>
      <c r="I473" s="59">
        <v>714777.89</v>
      </c>
      <c r="J473" s="59"/>
      <c r="K473" s="59"/>
      <c r="L473" s="59">
        <f t="shared" si="131"/>
        <v>0</v>
      </c>
      <c r="M473" s="37">
        <f t="shared" si="132"/>
        <v>714777.89</v>
      </c>
      <c r="N473" s="55">
        <v>100</v>
      </c>
      <c r="O473" s="82"/>
    </row>
    <row r="474" spans="1:15" s="32" customFormat="1" ht="69" customHeight="1" x14ac:dyDescent="0.45">
      <c r="A474" s="38"/>
      <c r="B474" s="38"/>
      <c r="C474" s="26"/>
      <c r="D474" s="47"/>
      <c r="E474" s="27" t="s">
        <v>206</v>
      </c>
      <c r="F474" s="38" t="s">
        <v>49</v>
      </c>
      <c r="G474" s="55">
        <v>382967</v>
      </c>
      <c r="H474" s="58"/>
      <c r="I474" s="59">
        <v>382967.21</v>
      </c>
      <c r="J474" s="59"/>
      <c r="K474" s="59"/>
      <c r="L474" s="59">
        <f t="shared" si="131"/>
        <v>0</v>
      </c>
      <c r="M474" s="37">
        <f t="shared" si="132"/>
        <v>382967.21</v>
      </c>
      <c r="N474" s="55">
        <v>100</v>
      </c>
      <c r="O474" s="82"/>
    </row>
    <row r="475" spans="1:15" s="32" customFormat="1" ht="51" customHeight="1" x14ac:dyDescent="0.45">
      <c r="A475" s="38"/>
      <c r="B475" s="38"/>
      <c r="C475" s="26"/>
      <c r="D475" s="47"/>
      <c r="E475" s="27" t="s">
        <v>434</v>
      </c>
      <c r="F475" s="38" t="s">
        <v>49</v>
      </c>
      <c r="G475" s="55">
        <v>354227.53</v>
      </c>
      <c r="H475" s="58"/>
      <c r="I475" s="59">
        <v>354227.53</v>
      </c>
      <c r="J475" s="59"/>
      <c r="K475" s="59"/>
      <c r="L475" s="59">
        <f t="shared" si="131"/>
        <v>0</v>
      </c>
      <c r="M475" s="37">
        <f t="shared" si="132"/>
        <v>354227.53</v>
      </c>
      <c r="N475" s="55">
        <v>100</v>
      </c>
      <c r="O475" s="82"/>
    </row>
    <row r="476" spans="1:15" s="32" customFormat="1" ht="51" customHeight="1" x14ac:dyDescent="0.45">
      <c r="A476" s="38"/>
      <c r="B476" s="38"/>
      <c r="C476" s="26"/>
      <c r="D476" s="47"/>
      <c r="E476" s="27" t="s">
        <v>552</v>
      </c>
      <c r="F476" s="38">
        <v>2020</v>
      </c>
      <c r="G476" s="55"/>
      <c r="H476" s="58"/>
      <c r="I476" s="59">
        <v>200000</v>
      </c>
      <c r="J476" s="59"/>
      <c r="K476" s="59"/>
      <c r="L476" s="59">
        <f t="shared" si="131"/>
        <v>0</v>
      </c>
      <c r="M476" s="37">
        <f t="shared" si="132"/>
        <v>200000</v>
      </c>
      <c r="N476" s="55"/>
      <c r="O476" s="82"/>
    </row>
    <row r="477" spans="1:15" s="32" customFormat="1" ht="66" customHeight="1" x14ac:dyDescent="0.45">
      <c r="A477" s="38"/>
      <c r="B477" s="38"/>
      <c r="C477" s="26"/>
      <c r="D477" s="47"/>
      <c r="E477" s="27" t="s">
        <v>207</v>
      </c>
      <c r="F477" s="38" t="s">
        <v>49</v>
      </c>
      <c r="G477" s="55">
        <v>564564</v>
      </c>
      <c r="H477" s="58">
        <v>2.9</v>
      </c>
      <c r="I477" s="59">
        <v>548307.01</v>
      </c>
      <c r="J477" s="59"/>
      <c r="K477" s="59"/>
      <c r="L477" s="59">
        <f t="shared" si="131"/>
        <v>0</v>
      </c>
      <c r="M477" s="37">
        <f t="shared" si="132"/>
        <v>548307.01</v>
      </c>
      <c r="N477" s="55">
        <v>100</v>
      </c>
      <c r="O477" s="82"/>
    </row>
    <row r="478" spans="1:15" s="32" customFormat="1" ht="66" customHeight="1" x14ac:dyDescent="0.45">
      <c r="A478" s="38"/>
      <c r="B478" s="38"/>
      <c r="C478" s="26"/>
      <c r="D478" s="47"/>
      <c r="E478" s="27" t="s">
        <v>546</v>
      </c>
      <c r="F478" s="38">
        <v>2020</v>
      </c>
      <c r="G478" s="55"/>
      <c r="H478" s="58"/>
      <c r="I478" s="59">
        <v>200000</v>
      </c>
      <c r="J478" s="59"/>
      <c r="K478" s="59"/>
      <c r="L478" s="59">
        <f t="shared" si="131"/>
        <v>0</v>
      </c>
      <c r="M478" s="37">
        <f t="shared" si="132"/>
        <v>200000</v>
      </c>
      <c r="N478" s="55"/>
      <c r="O478" s="82"/>
    </row>
    <row r="479" spans="1:15" s="32" customFormat="1" ht="52" customHeight="1" x14ac:dyDescent="0.45">
      <c r="A479" s="38"/>
      <c r="B479" s="38"/>
      <c r="C479" s="26"/>
      <c r="D479" s="47"/>
      <c r="E479" s="27" t="s">
        <v>553</v>
      </c>
      <c r="F479" s="38">
        <v>2020</v>
      </c>
      <c r="G479" s="55"/>
      <c r="H479" s="58"/>
      <c r="I479" s="59">
        <v>150000</v>
      </c>
      <c r="J479" s="59"/>
      <c r="K479" s="59">
        <v>1245255.6299999999</v>
      </c>
      <c r="L479" s="59">
        <f t="shared" si="131"/>
        <v>1245255.6299999999</v>
      </c>
      <c r="M479" s="37">
        <f t="shared" si="132"/>
        <v>1395255.63</v>
      </c>
      <c r="N479" s="55"/>
      <c r="O479" s="82"/>
    </row>
    <row r="480" spans="1:15" s="32" customFormat="1" ht="54" customHeight="1" x14ac:dyDescent="0.45">
      <c r="A480" s="38"/>
      <c r="B480" s="38"/>
      <c r="C480" s="26"/>
      <c r="D480" s="47"/>
      <c r="E480" s="27" t="s">
        <v>551</v>
      </c>
      <c r="F480" s="38">
        <v>2020</v>
      </c>
      <c r="G480" s="55"/>
      <c r="H480" s="58"/>
      <c r="I480" s="59">
        <v>200000</v>
      </c>
      <c r="J480" s="59"/>
      <c r="K480" s="59"/>
      <c r="L480" s="59">
        <f t="shared" si="131"/>
        <v>0</v>
      </c>
      <c r="M480" s="37">
        <f t="shared" si="132"/>
        <v>200000</v>
      </c>
      <c r="N480" s="55"/>
      <c r="O480" s="82"/>
    </row>
    <row r="481" spans="1:15" s="32" customFormat="1" ht="54" customHeight="1" x14ac:dyDescent="0.45">
      <c r="A481" s="38"/>
      <c r="B481" s="38"/>
      <c r="C481" s="26"/>
      <c r="D481" s="47"/>
      <c r="E481" s="27" t="s">
        <v>699</v>
      </c>
      <c r="F481" s="38">
        <v>2020</v>
      </c>
      <c r="G481" s="55"/>
      <c r="H481" s="58"/>
      <c r="I481" s="59"/>
      <c r="J481" s="59"/>
      <c r="K481" s="59">
        <v>50000</v>
      </c>
      <c r="L481" s="59">
        <f t="shared" ref="L481" si="135">K481+J481</f>
        <v>50000</v>
      </c>
      <c r="M481" s="37">
        <f t="shared" ref="M481" si="136">I481+L481</f>
        <v>50000</v>
      </c>
      <c r="N481" s="55"/>
      <c r="O481" s="82"/>
    </row>
    <row r="482" spans="1:15" s="32" customFormat="1" ht="49" customHeight="1" x14ac:dyDescent="0.45">
      <c r="A482" s="38"/>
      <c r="B482" s="38"/>
      <c r="C482" s="26"/>
      <c r="D482" s="53"/>
      <c r="E482" s="76" t="s">
        <v>296</v>
      </c>
      <c r="F482" s="38">
        <v>2020</v>
      </c>
      <c r="G482" s="38"/>
      <c r="H482" s="102"/>
      <c r="I482" s="59">
        <f>1500000-1205000</f>
        <v>295000</v>
      </c>
      <c r="J482" s="59"/>
      <c r="K482" s="37">
        <v>1125000</v>
      </c>
      <c r="L482" s="59">
        <f t="shared" si="131"/>
        <v>1125000</v>
      </c>
      <c r="M482" s="37">
        <f t="shared" si="132"/>
        <v>1420000</v>
      </c>
      <c r="N482" s="52"/>
      <c r="O482" s="82"/>
    </row>
    <row r="483" spans="1:15" s="32" customFormat="1" ht="52" customHeight="1" x14ac:dyDescent="0.45">
      <c r="A483" s="38"/>
      <c r="B483" s="38"/>
      <c r="C483" s="26"/>
      <c r="D483" s="53"/>
      <c r="E483" s="76" t="s">
        <v>555</v>
      </c>
      <c r="F483" s="38">
        <v>2020</v>
      </c>
      <c r="G483" s="38"/>
      <c r="H483" s="102"/>
      <c r="I483" s="59">
        <v>354000</v>
      </c>
      <c r="J483" s="59"/>
      <c r="K483" s="37"/>
      <c r="L483" s="59">
        <f t="shared" si="131"/>
        <v>0</v>
      </c>
      <c r="M483" s="37">
        <f t="shared" si="132"/>
        <v>354000</v>
      </c>
      <c r="N483" s="52"/>
      <c r="O483" s="82"/>
    </row>
    <row r="484" spans="1:15" s="32" customFormat="1" ht="65.150000000000006" customHeight="1" x14ac:dyDescent="0.45">
      <c r="A484" s="38"/>
      <c r="B484" s="38"/>
      <c r="C484" s="26"/>
      <c r="D484" s="53"/>
      <c r="E484" s="76" t="s">
        <v>220</v>
      </c>
      <c r="F484" s="38">
        <v>2020</v>
      </c>
      <c r="G484" s="38"/>
      <c r="H484" s="102"/>
      <c r="I484" s="59">
        <f>1500000-500000-250000-500000</f>
        <v>250000</v>
      </c>
      <c r="J484" s="37"/>
      <c r="K484" s="37"/>
      <c r="L484" s="59">
        <f t="shared" si="131"/>
        <v>0</v>
      </c>
      <c r="M484" s="37">
        <f t="shared" si="132"/>
        <v>250000</v>
      </c>
      <c r="N484" s="52"/>
      <c r="O484" s="82"/>
    </row>
    <row r="485" spans="1:15" s="32" customFormat="1" ht="89.15" customHeight="1" x14ac:dyDescent="0.45">
      <c r="A485" s="38"/>
      <c r="B485" s="38"/>
      <c r="C485" s="26"/>
      <c r="D485" s="53"/>
      <c r="E485" s="76" t="s">
        <v>221</v>
      </c>
      <c r="F485" s="38">
        <v>2020</v>
      </c>
      <c r="G485" s="38"/>
      <c r="H485" s="102"/>
      <c r="I485" s="59">
        <f>1900000-1850000</f>
        <v>50000</v>
      </c>
      <c r="J485" s="37"/>
      <c r="K485" s="37"/>
      <c r="L485" s="59">
        <f t="shared" si="131"/>
        <v>0</v>
      </c>
      <c r="M485" s="37">
        <f t="shared" si="132"/>
        <v>50000</v>
      </c>
      <c r="N485" s="52"/>
      <c r="O485" s="82"/>
    </row>
    <row r="486" spans="1:15" s="32" customFormat="1" ht="59.15" customHeight="1" x14ac:dyDescent="0.45">
      <c r="A486" s="38"/>
      <c r="B486" s="38"/>
      <c r="C486" s="26"/>
      <c r="D486" s="53"/>
      <c r="E486" s="76" t="s">
        <v>556</v>
      </c>
      <c r="F486" s="38">
        <v>2020</v>
      </c>
      <c r="G486" s="38"/>
      <c r="H486" s="102"/>
      <c r="I486" s="59">
        <v>215000</v>
      </c>
      <c r="J486" s="37"/>
      <c r="K486" s="37"/>
      <c r="L486" s="59">
        <f t="shared" si="131"/>
        <v>0</v>
      </c>
      <c r="M486" s="37">
        <f t="shared" si="132"/>
        <v>215000</v>
      </c>
      <c r="N486" s="52"/>
      <c r="O486" s="82"/>
    </row>
    <row r="487" spans="1:15" s="32" customFormat="1" ht="63" customHeight="1" x14ac:dyDescent="0.45">
      <c r="A487" s="38"/>
      <c r="B487" s="38"/>
      <c r="C487" s="26"/>
      <c r="D487" s="53"/>
      <c r="E487" s="76" t="s">
        <v>550</v>
      </c>
      <c r="F487" s="38">
        <v>2020</v>
      </c>
      <c r="G487" s="38"/>
      <c r="H487" s="102"/>
      <c r="I487" s="59">
        <v>200000</v>
      </c>
      <c r="J487" s="37"/>
      <c r="K487" s="37"/>
      <c r="L487" s="59">
        <f t="shared" si="131"/>
        <v>0</v>
      </c>
      <c r="M487" s="37">
        <f t="shared" si="132"/>
        <v>200000</v>
      </c>
      <c r="N487" s="52"/>
      <c r="O487" s="82"/>
    </row>
    <row r="488" spans="1:15" s="32" customFormat="1" ht="76" customHeight="1" x14ac:dyDescent="0.45">
      <c r="A488" s="38"/>
      <c r="B488" s="38"/>
      <c r="C488" s="26"/>
      <c r="D488" s="47"/>
      <c r="E488" s="27" t="s">
        <v>203</v>
      </c>
      <c r="F488" s="38" t="s">
        <v>49</v>
      </c>
      <c r="G488" s="55">
        <v>767807</v>
      </c>
      <c r="H488" s="58">
        <v>3.4</v>
      </c>
      <c r="I488" s="59">
        <v>741988.72</v>
      </c>
      <c r="J488" s="59"/>
      <c r="K488" s="59"/>
      <c r="L488" s="59">
        <f>K488+J488</f>
        <v>0</v>
      </c>
      <c r="M488" s="37">
        <f>I488+L488</f>
        <v>741988.72</v>
      </c>
      <c r="N488" s="55">
        <v>100</v>
      </c>
      <c r="O488" s="82"/>
    </row>
    <row r="489" spans="1:15" s="32" customFormat="1" ht="67" customHeight="1" x14ac:dyDescent="0.45">
      <c r="A489" s="38"/>
      <c r="B489" s="38"/>
      <c r="C489" s="26"/>
      <c r="D489" s="53"/>
      <c r="E489" s="76" t="s">
        <v>549</v>
      </c>
      <c r="F489" s="38">
        <v>2020</v>
      </c>
      <c r="G489" s="38"/>
      <c r="H489" s="102"/>
      <c r="I489" s="59">
        <v>200000</v>
      </c>
      <c r="J489" s="37"/>
      <c r="K489" s="37">
        <v>866899.87</v>
      </c>
      <c r="L489" s="59">
        <f t="shared" ref="L489:L492" si="137">K489+J489</f>
        <v>866899.87</v>
      </c>
      <c r="M489" s="37">
        <f t="shared" ref="M489:M492" si="138">I489+L489</f>
        <v>1066899.8700000001</v>
      </c>
      <c r="N489" s="52"/>
      <c r="O489" s="82"/>
    </row>
    <row r="490" spans="1:15" s="32" customFormat="1" ht="59" customHeight="1" x14ac:dyDescent="0.45">
      <c r="A490" s="38"/>
      <c r="B490" s="38"/>
      <c r="C490" s="26"/>
      <c r="D490" s="53"/>
      <c r="E490" s="76" t="s">
        <v>543</v>
      </c>
      <c r="F490" s="38">
        <v>2020</v>
      </c>
      <c r="G490" s="38"/>
      <c r="H490" s="102"/>
      <c r="I490" s="59">
        <v>200000</v>
      </c>
      <c r="J490" s="37"/>
      <c r="K490" s="37"/>
      <c r="L490" s="59">
        <f t="shared" si="137"/>
        <v>0</v>
      </c>
      <c r="M490" s="37">
        <f t="shared" si="138"/>
        <v>200000</v>
      </c>
      <c r="N490" s="52"/>
      <c r="O490" s="82"/>
    </row>
    <row r="491" spans="1:15" s="32" customFormat="1" ht="66" customHeight="1" x14ac:dyDescent="0.45">
      <c r="A491" s="38"/>
      <c r="B491" s="38"/>
      <c r="C491" s="26"/>
      <c r="D491" s="53"/>
      <c r="E491" s="76" t="s">
        <v>545</v>
      </c>
      <c r="F491" s="38">
        <v>2020</v>
      </c>
      <c r="G491" s="38"/>
      <c r="H491" s="102"/>
      <c r="I491" s="59">
        <v>200000</v>
      </c>
      <c r="J491" s="37"/>
      <c r="K491" s="37"/>
      <c r="L491" s="59">
        <f t="shared" si="137"/>
        <v>0</v>
      </c>
      <c r="M491" s="37">
        <f t="shared" si="138"/>
        <v>200000</v>
      </c>
      <c r="N491" s="52"/>
      <c r="O491" s="82"/>
    </row>
    <row r="492" spans="1:15" s="32" customFormat="1" ht="69" customHeight="1" x14ac:dyDescent="0.45">
      <c r="A492" s="38"/>
      <c r="B492" s="38"/>
      <c r="C492" s="26"/>
      <c r="D492" s="53"/>
      <c r="E492" s="76" t="s">
        <v>542</v>
      </c>
      <c r="F492" s="38">
        <v>2020</v>
      </c>
      <c r="G492" s="38"/>
      <c r="H492" s="102"/>
      <c r="I492" s="59">
        <v>230000</v>
      </c>
      <c r="J492" s="37"/>
      <c r="K492" s="37">
        <v>25430.69</v>
      </c>
      <c r="L492" s="59">
        <f t="shared" si="137"/>
        <v>25430.69</v>
      </c>
      <c r="M492" s="37">
        <f t="shared" si="138"/>
        <v>255430.69</v>
      </c>
      <c r="N492" s="52"/>
      <c r="O492" s="82"/>
    </row>
    <row r="493" spans="1:15" s="32" customFormat="1" ht="49.5" customHeight="1" x14ac:dyDescent="0.45">
      <c r="A493" s="38"/>
      <c r="B493" s="38"/>
      <c r="C493" s="26"/>
      <c r="D493" s="53"/>
      <c r="E493" s="76" t="s">
        <v>223</v>
      </c>
      <c r="F493" s="38">
        <v>2020</v>
      </c>
      <c r="G493" s="38"/>
      <c r="H493" s="102"/>
      <c r="I493" s="59">
        <v>1250000</v>
      </c>
      <c r="J493" s="37"/>
      <c r="K493" s="37"/>
      <c r="L493" s="59">
        <f t="shared" si="131"/>
        <v>0</v>
      </c>
      <c r="M493" s="37">
        <f t="shared" si="132"/>
        <v>1250000</v>
      </c>
      <c r="N493" s="52"/>
      <c r="O493" s="82"/>
    </row>
    <row r="494" spans="1:15" s="32" customFormat="1" ht="65.150000000000006" customHeight="1" x14ac:dyDescent="0.45">
      <c r="A494" s="38"/>
      <c r="B494" s="38"/>
      <c r="C494" s="26"/>
      <c r="D494" s="53"/>
      <c r="E494" s="76" t="s">
        <v>219</v>
      </c>
      <c r="F494" s="38">
        <v>2020</v>
      </c>
      <c r="G494" s="38"/>
      <c r="H494" s="102"/>
      <c r="I494" s="59">
        <v>900000</v>
      </c>
      <c r="J494" s="59"/>
      <c r="K494" s="37"/>
      <c r="L494" s="59">
        <f>K494+J494</f>
        <v>0</v>
      </c>
      <c r="M494" s="37">
        <f>I494+L494</f>
        <v>900000</v>
      </c>
      <c r="N494" s="52"/>
      <c r="O494" s="82"/>
    </row>
    <row r="495" spans="1:15" s="32" customFormat="1" ht="70" customHeight="1" x14ac:dyDescent="0.45">
      <c r="A495" s="38"/>
      <c r="B495" s="38"/>
      <c r="C495" s="26"/>
      <c r="D495" s="53"/>
      <c r="E495" s="76" t="s">
        <v>222</v>
      </c>
      <c r="F495" s="38">
        <v>2020</v>
      </c>
      <c r="G495" s="38"/>
      <c r="H495" s="102"/>
      <c r="I495" s="59">
        <v>1300000</v>
      </c>
      <c r="J495" s="37"/>
      <c r="K495" s="37"/>
      <c r="L495" s="59">
        <f>K495+J495</f>
        <v>0</v>
      </c>
      <c r="M495" s="37">
        <f>I495+L495</f>
        <v>1300000</v>
      </c>
      <c r="N495" s="52"/>
      <c r="O495" s="82"/>
    </row>
    <row r="496" spans="1:15" s="32" customFormat="1" ht="73" customHeight="1" x14ac:dyDescent="0.45">
      <c r="A496" s="38"/>
      <c r="B496" s="38"/>
      <c r="C496" s="26"/>
      <c r="D496" s="53"/>
      <c r="E496" s="76" t="s">
        <v>544</v>
      </c>
      <c r="F496" s="38">
        <v>2020</v>
      </c>
      <c r="G496" s="38"/>
      <c r="H496" s="102"/>
      <c r="I496" s="59">
        <v>200000</v>
      </c>
      <c r="J496" s="37"/>
      <c r="K496" s="37">
        <v>911206.76</v>
      </c>
      <c r="L496" s="59">
        <f t="shared" ref="L496:L498" si="139">K496+J496</f>
        <v>911206.76</v>
      </c>
      <c r="M496" s="37">
        <f t="shared" ref="M496:M498" si="140">I496+L496</f>
        <v>1111206.76</v>
      </c>
      <c r="N496" s="52"/>
      <c r="O496" s="82"/>
    </row>
    <row r="497" spans="1:15" s="32" customFormat="1" ht="73.5" customHeight="1" x14ac:dyDescent="0.45">
      <c r="A497" s="38"/>
      <c r="B497" s="38"/>
      <c r="C497" s="26"/>
      <c r="D497" s="53"/>
      <c r="E497" s="76" t="s">
        <v>541</v>
      </c>
      <c r="F497" s="38">
        <v>2020</v>
      </c>
      <c r="G497" s="38"/>
      <c r="H497" s="102"/>
      <c r="I497" s="59">
        <v>82410.11</v>
      </c>
      <c r="J497" s="37"/>
      <c r="K497" s="37">
        <v>403425.09</v>
      </c>
      <c r="L497" s="59">
        <f t="shared" si="139"/>
        <v>403425.09</v>
      </c>
      <c r="M497" s="37">
        <f t="shared" si="140"/>
        <v>485835.2</v>
      </c>
      <c r="N497" s="52"/>
      <c r="O497" s="82"/>
    </row>
    <row r="498" spans="1:15" s="32" customFormat="1" ht="73.5" customHeight="1" x14ac:dyDescent="0.45">
      <c r="A498" s="38"/>
      <c r="B498" s="38"/>
      <c r="C498" s="26"/>
      <c r="D498" s="53"/>
      <c r="E498" s="76" t="s">
        <v>548</v>
      </c>
      <c r="F498" s="38">
        <v>2020</v>
      </c>
      <c r="G498" s="38"/>
      <c r="H498" s="102"/>
      <c r="I498" s="59">
        <v>200000</v>
      </c>
      <c r="J498" s="37"/>
      <c r="K498" s="37">
        <v>1240300.96</v>
      </c>
      <c r="L498" s="59">
        <f t="shared" si="139"/>
        <v>1240300.96</v>
      </c>
      <c r="M498" s="37">
        <f t="shared" si="140"/>
        <v>1440300.96</v>
      </c>
      <c r="N498" s="52"/>
      <c r="O498" s="82"/>
    </row>
    <row r="499" spans="1:15" s="32" customFormat="1" ht="55" customHeight="1" x14ac:dyDescent="0.45">
      <c r="A499" s="38"/>
      <c r="B499" s="38"/>
      <c r="C499" s="26"/>
      <c r="D499" s="53"/>
      <c r="E499" s="57" t="s">
        <v>365</v>
      </c>
      <c r="F499" s="8"/>
      <c r="G499" s="8"/>
      <c r="H499" s="101"/>
      <c r="I499" s="51">
        <f>I500+I501+I502+I503+I504</f>
        <v>1552473.4100000001</v>
      </c>
      <c r="J499" s="51">
        <f t="shared" ref="J499:M499" si="141">J500+J501+J502+J503+J504</f>
        <v>0</v>
      </c>
      <c r="K499" s="51">
        <f t="shared" si="141"/>
        <v>0</v>
      </c>
      <c r="L499" s="51">
        <f t="shared" si="141"/>
        <v>0</v>
      </c>
      <c r="M499" s="51">
        <f t="shared" si="141"/>
        <v>1552473.4100000001</v>
      </c>
      <c r="N499" s="52"/>
      <c r="O499" s="82"/>
    </row>
    <row r="500" spans="1:15" s="32" customFormat="1" ht="89.15" customHeight="1" x14ac:dyDescent="0.45">
      <c r="A500" s="38"/>
      <c r="B500" s="38"/>
      <c r="C500" s="26"/>
      <c r="D500" s="53"/>
      <c r="E500" s="76" t="s">
        <v>297</v>
      </c>
      <c r="F500" s="38">
        <v>2020</v>
      </c>
      <c r="G500" s="8"/>
      <c r="H500" s="101"/>
      <c r="I500" s="59">
        <f>1000000-200000-500000</f>
        <v>300000</v>
      </c>
      <c r="J500" s="37"/>
      <c r="K500" s="37"/>
      <c r="L500" s="59">
        <f>K500+J500</f>
        <v>0</v>
      </c>
      <c r="M500" s="37">
        <f t="shared" si="132"/>
        <v>300000</v>
      </c>
      <c r="N500" s="52"/>
      <c r="O500" s="82"/>
    </row>
    <row r="501" spans="1:15" s="32" customFormat="1" ht="111" customHeight="1" x14ac:dyDescent="0.45">
      <c r="A501" s="38"/>
      <c r="B501" s="38"/>
      <c r="C501" s="26"/>
      <c r="D501" s="53"/>
      <c r="E501" s="76" t="s">
        <v>224</v>
      </c>
      <c r="F501" s="38">
        <v>2020</v>
      </c>
      <c r="G501" s="8"/>
      <c r="H501" s="101"/>
      <c r="I501" s="59">
        <f>500000-200000</f>
        <v>300000</v>
      </c>
      <c r="J501" s="37"/>
      <c r="K501" s="37"/>
      <c r="L501" s="59">
        <f t="shared" si="131"/>
        <v>0</v>
      </c>
      <c r="M501" s="37">
        <f t="shared" si="132"/>
        <v>300000</v>
      </c>
      <c r="N501" s="52"/>
      <c r="O501" s="82"/>
    </row>
    <row r="502" spans="1:15" s="32" customFormat="1" ht="77.150000000000006" customHeight="1" x14ac:dyDescent="0.45">
      <c r="A502" s="38"/>
      <c r="B502" s="38"/>
      <c r="C502" s="26"/>
      <c r="D502" s="53"/>
      <c r="E502" s="76" t="s">
        <v>298</v>
      </c>
      <c r="F502" s="38">
        <v>2020</v>
      </c>
      <c r="G502" s="8"/>
      <c r="H502" s="101"/>
      <c r="I502" s="59">
        <f>1200000-200000-700000</f>
        <v>300000</v>
      </c>
      <c r="J502" s="37"/>
      <c r="K502" s="37"/>
      <c r="L502" s="59">
        <f t="shared" si="131"/>
        <v>0</v>
      </c>
      <c r="M502" s="37">
        <f t="shared" si="132"/>
        <v>300000</v>
      </c>
      <c r="N502" s="52"/>
      <c r="O502" s="82"/>
    </row>
    <row r="503" spans="1:15" s="32" customFormat="1" ht="97" customHeight="1" x14ac:dyDescent="0.45">
      <c r="A503" s="38"/>
      <c r="B503" s="38"/>
      <c r="C503" s="26"/>
      <c r="D503" s="53"/>
      <c r="E503" s="76" t="s">
        <v>299</v>
      </c>
      <c r="F503" s="38">
        <v>2020</v>
      </c>
      <c r="G503" s="8"/>
      <c r="H503" s="101"/>
      <c r="I503" s="59">
        <f>800000-500000</f>
        <v>300000</v>
      </c>
      <c r="J503" s="37"/>
      <c r="K503" s="37"/>
      <c r="L503" s="59">
        <f t="shared" si="131"/>
        <v>0</v>
      </c>
      <c r="M503" s="37">
        <f t="shared" si="132"/>
        <v>300000</v>
      </c>
      <c r="N503" s="52"/>
      <c r="O503" s="82"/>
    </row>
    <row r="504" spans="1:15" s="32" customFormat="1" ht="67.5" customHeight="1" x14ac:dyDescent="0.45">
      <c r="A504" s="38"/>
      <c r="B504" s="38"/>
      <c r="C504" s="26"/>
      <c r="D504" s="53"/>
      <c r="E504" s="76" t="s">
        <v>225</v>
      </c>
      <c r="F504" s="38">
        <v>2020</v>
      </c>
      <c r="G504" s="8"/>
      <c r="H504" s="101"/>
      <c r="I504" s="59">
        <f>1500000-600000-547526.59</f>
        <v>352473.41000000003</v>
      </c>
      <c r="J504" s="37"/>
      <c r="K504" s="37"/>
      <c r="L504" s="59">
        <f t="shared" si="131"/>
        <v>0</v>
      </c>
      <c r="M504" s="37">
        <f t="shared" si="132"/>
        <v>352473.41000000003</v>
      </c>
      <c r="N504" s="52"/>
      <c r="O504" s="82"/>
    </row>
    <row r="505" spans="1:15" s="32" customFormat="1" ht="73" customHeight="1" x14ac:dyDescent="0.45">
      <c r="A505" s="38"/>
      <c r="B505" s="38"/>
      <c r="C505" s="26"/>
      <c r="D505" s="47"/>
      <c r="E505" s="35" t="s">
        <v>366</v>
      </c>
      <c r="F505" s="38"/>
      <c r="G505" s="8"/>
      <c r="H505" s="101"/>
      <c r="I505" s="51">
        <f>SUM(I506:I516)</f>
        <v>9817546.1099999994</v>
      </c>
      <c r="J505" s="51">
        <f>SUM(J506:J516)</f>
        <v>-748253</v>
      </c>
      <c r="K505" s="51">
        <f>SUM(K506:K516)</f>
        <v>0</v>
      </c>
      <c r="L505" s="51">
        <f>SUM(L506:L516)</f>
        <v>-748253</v>
      </c>
      <c r="M505" s="51">
        <f>SUM(M506:M516)</f>
        <v>9069293.1099999994</v>
      </c>
      <c r="N505" s="52"/>
      <c r="O505" s="82"/>
    </row>
    <row r="506" spans="1:15" s="32" customFormat="1" ht="110.15" customHeight="1" x14ac:dyDescent="0.45">
      <c r="A506" s="38"/>
      <c r="B506" s="38"/>
      <c r="C506" s="26"/>
      <c r="D506" s="47"/>
      <c r="E506" s="27" t="s">
        <v>211</v>
      </c>
      <c r="F506" s="38" t="s">
        <v>49</v>
      </c>
      <c r="G506" s="55">
        <v>454914</v>
      </c>
      <c r="H506" s="58"/>
      <c r="I506" s="59">
        <v>454914</v>
      </c>
      <c r="J506" s="59"/>
      <c r="K506" s="59"/>
      <c r="L506" s="59">
        <f t="shared" ref="L506:L516" si="142">K506+J506</f>
        <v>0</v>
      </c>
      <c r="M506" s="37">
        <f t="shared" ref="M506:M516" si="143">I506+L506</f>
        <v>454914</v>
      </c>
      <c r="N506" s="55">
        <v>100</v>
      </c>
      <c r="O506" s="82"/>
    </row>
    <row r="507" spans="1:15" s="32" customFormat="1" ht="106" customHeight="1" x14ac:dyDescent="0.45">
      <c r="A507" s="38"/>
      <c r="B507" s="38"/>
      <c r="C507" s="26"/>
      <c r="D507" s="47"/>
      <c r="E507" s="27" t="s">
        <v>212</v>
      </c>
      <c r="F507" s="38" t="s">
        <v>49</v>
      </c>
      <c r="G507" s="55">
        <v>750000</v>
      </c>
      <c r="H507" s="58">
        <v>6</v>
      </c>
      <c r="I507" s="59">
        <v>704361.04</v>
      </c>
      <c r="J507" s="59"/>
      <c r="K507" s="59"/>
      <c r="L507" s="59">
        <f t="shared" si="142"/>
        <v>0</v>
      </c>
      <c r="M507" s="37">
        <f t="shared" si="143"/>
        <v>704361.04</v>
      </c>
      <c r="N507" s="55">
        <v>100</v>
      </c>
      <c r="O507" s="82"/>
    </row>
    <row r="508" spans="1:15" s="32" customFormat="1" ht="104.15" customHeight="1" x14ac:dyDescent="0.45">
      <c r="A508" s="38"/>
      <c r="B508" s="38"/>
      <c r="C508" s="26"/>
      <c r="D508" s="47"/>
      <c r="E508" s="27" t="s">
        <v>213</v>
      </c>
      <c r="F508" s="38" t="s">
        <v>49</v>
      </c>
      <c r="G508" s="55">
        <v>718008</v>
      </c>
      <c r="H508" s="58">
        <v>6.4</v>
      </c>
      <c r="I508" s="59">
        <v>672369.04</v>
      </c>
      <c r="J508" s="59"/>
      <c r="K508" s="59"/>
      <c r="L508" s="59">
        <f t="shared" si="142"/>
        <v>0</v>
      </c>
      <c r="M508" s="37">
        <f t="shared" si="143"/>
        <v>672369.04</v>
      </c>
      <c r="N508" s="55">
        <v>100</v>
      </c>
      <c r="O508" s="82"/>
    </row>
    <row r="509" spans="1:15" s="32" customFormat="1" ht="90" customHeight="1" x14ac:dyDescent="0.45">
      <c r="A509" s="38"/>
      <c r="B509" s="38"/>
      <c r="C509" s="26"/>
      <c r="D509" s="53"/>
      <c r="E509" s="27" t="s">
        <v>300</v>
      </c>
      <c r="F509" s="38" t="s">
        <v>49</v>
      </c>
      <c r="G509" s="55">
        <v>1495560</v>
      </c>
      <c r="H509" s="102"/>
      <c r="I509" s="59">
        <v>1495560</v>
      </c>
      <c r="J509" s="37"/>
      <c r="K509" s="37"/>
      <c r="L509" s="59">
        <f t="shared" si="142"/>
        <v>0</v>
      </c>
      <c r="M509" s="37">
        <f t="shared" si="143"/>
        <v>1495560</v>
      </c>
      <c r="N509" s="55">
        <v>100</v>
      </c>
      <c r="O509" s="82"/>
    </row>
    <row r="510" spans="1:15" s="32" customFormat="1" ht="92.15" customHeight="1" x14ac:dyDescent="0.45">
      <c r="A510" s="38"/>
      <c r="B510" s="38"/>
      <c r="C510" s="26"/>
      <c r="D510" s="53"/>
      <c r="E510" s="27" t="s">
        <v>248</v>
      </c>
      <c r="F510" s="38" t="s">
        <v>49</v>
      </c>
      <c r="G510" s="55">
        <v>1477357</v>
      </c>
      <c r="H510" s="58">
        <v>4.3</v>
      </c>
      <c r="I510" s="59">
        <v>1413797</v>
      </c>
      <c r="J510" s="37"/>
      <c r="K510" s="37"/>
      <c r="L510" s="59">
        <f t="shared" si="142"/>
        <v>0</v>
      </c>
      <c r="M510" s="37">
        <f t="shared" si="143"/>
        <v>1413797</v>
      </c>
      <c r="N510" s="55">
        <v>100</v>
      </c>
      <c r="O510" s="82"/>
    </row>
    <row r="511" spans="1:15" s="32" customFormat="1" ht="106" customHeight="1" x14ac:dyDescent="0.45">
      <c r="A511" s="38"/>
      <c r="B511" s="38"/>
      <c r="C511" s="26"/>
      <c r="D511" s="53"/>
      <c r="E511" s="27" t="s">
        <v>301</v>
      </c>
      <c r="F511" s="38" t="s">
        <v>49</v>
      </c>
      <c r="G511" s="55">
        <v>748253</v>
      </c>
      <c r="H511" s="102"/>
      <c r="I511" s="59">
        <v>748253</v>
      </c>
      <c r="J511" s="37">
        <v>-748253</v>
      </c>
      <c r="K511" s="37"/>
      <c r="L511" s="59">
        <f t="shared" si="142"/>
        <v>-748253</v>
      </c>
      <c r="M511" s="37">
        <f t="shared" si="143"/>
        <v>0</v>
      </c>
      <c r="N511" s="55">
        <v>100</v>
      </c>
      <c r="O511" s="82"/>
    </row>
    <row r="512" spans="1:15" s="32" customFormat="1" ht="88" customHeight="1" x14ac:dyDescent="0.45">
      <c r="A512" s="38"/>
      <c r="B512" s="38"/>
      <c r="C512" s="26"/>
      <c r="D512" s="53"/>
      <c r="E512" s="27" t="s">
        <v>302</v>
      </c>
      <c r="F512" s="38" t="s">
        <v>49</v>
      </c>
      <c r="G512" s="55">
        <v>749514</v>
      </c>
      <c r="H512" s="58">
        <v>5.3</v>
      </c>
      <c r="I512" s="59">
        <v>709704.89</v>
      </c>
      <c r="J512" s="37"/>
      <c r="K512" s="37"/>
      <c r="L512" s="59">
        <f t="shared" si="142"/>
        <v>0</v>
      </c>
      <c r="M512" s="37">
        <f t="shared" si="143"/>
        <v>709704.89</v>
      </c>
      <c r="N512" s="55">
        <v>100</v>
      </c>
      <c r="O512" s="82"/>
    </row>
    <row r="513" spans="1:15" s="32" customFormat="1" ht="87" customHeight="1" x14ac:dyDescent="0.45">
      <c r="A513" s="38"/>
      <c r="B513" s="38"/>
      <c r="C513" s="26"/>
      <c r="D513" s="53"/>
      <c r="E513" s="27" t="s">
        <v>303</v>
      </c>
      <c r="F513" s="38" t="s">
        <v>49</v>
      </c>
      <c r="G513" s="55">
        <v>744580</v>
      </c>
      <c r="H513" s="102"/>
      <c r="I513" s="59">
        <v>744580</v>
      </c>
      <c r="J513" s="37"/>
      <c r="K513" s="37"/>
      <c r="L513" s="59">
        <f t="shared" si="142"/>
        <v>0</v>
      </c>
      <c r="M513" s="37">
        <f t="shared" si="143"/>
        <v>744580</v>
      </c>
      <c r="N513" s="55">
        <v>100</v>
      </c>
      <c r="O513" s="82"/>
    </row>
    <row r="514" spans="1:15" s="32" customFormat="1" ht="98.15" customHeight="1" x14ac:dyDescent="0.45">
      <c r="A514" s="38"/>
      <c r="B514" s="38"/>
      <c r="C514" s="26"/>
      <c r="D514" s="53"/>
      <c r="E514" s="27" t="s">
        <v>304</v>
      </c>
      <c r="F514" s="38" t="s">
        <v>49</v>
      </c>
      <c r="G514" s="55">
        <v>721326</v>
      </c>
      <c r="H514" s="58">
        <v>6.9</v>
      </c>
      <c r="I514" s="59">
        <v>671447.14</v>
      </c>
      <c r="J514" s="37"/>
      <c r="K514" s="37"/>
      <c r="L514" s="59">
        <f t="shared" si="142"/>
        <v>0</v>
      </c>
      <c r="M514" s="37">
        <f t="shared" si="143"/>
        <v>671447.14</v>
      </c>
      <c r="N514" s="55">
        <v>100</v>
      </c>
      <c r="O514" s="82"/>
    </row>
    <row r="515" spans="1:15" s="32" customFormat="1" ht="69" customHeight="1" x14ac:dyDescent="0.45">
      <c r="A515" s="38"/>
      <c r="B515" s="38"/>
      <c r="C515" s="26"/>
      <c r="D515" s="53"/>
      <c r="E515" s="27" t="s">
        <v>305</v>
      </c>
      <c r="F515" s="38" t="s">
        <v>49</v>
      </c>
      <c r="G515" s="55">
        <v>1499478</v>
      </c>
      <c r="H515" s="102"/>
      <c r="I515" s="59">
        <v>1499478</v>
      </c>
      <c r="J515" s="37"/>
      <c r="K515" s="37"/>
      <c r="L515" s="59">
        <f t="shared" si="142"/>
        <v>0</v>
      </c>
      <c r="M515" s="37">
        <f t="shared" si="143"/>
        <v>1499478</v>
      </c>
      <c r="N515" s="55">
        <v>100</v>
      </c>
      <c r="O515" s="82"/>
    </row>
    <row r="516" spans="1:15" s="32" customFormat="1" ht="98.15" customHeight="1" x14ac:dyDescent="0.45">
      <c r="A516" s="38"/>
      <c r="B516" s="38"/>
      <c r="C516" s="26"/>
      <c r="D516" s="53"/>
      <c r="E516" s="27" t="s">
        <v>306</v>
      </c>
      <c r="F516" s="38" t="s">
        <v>49</v>
      </c>
      <c r="G516" s="55">
        <v>703082</v>
      </c>
      <c r="H516" s="102"/>
      <c r="I516" s="59">
        <v>703082</v>
      </c>
      <c r="J516" s="37"/>
      <c r="K516" s="37"/>
      <c r="L516" s="59">
        <f t="shared" si="142"/>
        <v>0</v>
      </c>
      <c r="M516" s="37">
        <f t="shared" si="143"/>
        <v>703082</v>
      </c>
      <c r="N516" s="55">
        <v>100</v>
      </c>
      <c r="O516" s="82"/>
    </row>
    <row r="517" spans="1:15" s="18" customFormat="1" ht="71.5" customHeight="1" x14ac:dyDescent="0.45">
      <c r="A517" s="7">
        <v>1216090</v>
      </c>
      <c r="B517" s="7">
        <v>6090</v>
      </c>
      <c r="C517" s="17" t="s">
        <v>162</v>
      </c>
      <c r="D517" s="9" t="s">
        <v>163</v>
      </c>
      <c r="E517" s="21" t="s">
        <v>175</v>
      </c>
      <c r="F517" s="7"/>
      <c r="G517" s="7"/>
      <c r="H517" s="7"/>
      <c r="I517" s="10">
        <f>I518+I519</f>
        <v>800708.78999999911</v>
      </c>
      <c r="J517" s="10">
        <f t="shared" ref="J517:M517" si="144">J518+J519</f>
        <v>0</v>
      </c>
      <c r="K517" s="10">
        <f t="shared" si="144"/>
        <v>0</v>
      </c>
      <c r="L517" s="10">
        <f t="shared" si="144"/>
        <v>0</v>
      </c>
      <c r="M517" s="10">
        <f t="shared" si="144"/>
        <v>800708.78999999911</v>
      </c>
      <c r="N517" s="7"/>
      <c r="O517" s="82"/>
    </row>
    <row r="518" spans="1:15" s="14" customFormat="1" ht="65.150000000000006" customHeight="1" x14ac:dyDescent="0.45">
      <c r="A518" s="8"/>
      <c r="B518" s="8"/>
      <c r="C518" s="34"/>
      <c r="D518" s="35"/>
      <c r="E518" s="35" t="s">
        <v>247</v>
      </c>
      <c r="F518" s="8"/>
      <c r="G518" s="8"/>
      <c r="H518" s="8"/>
      <c r="I518" s="31">
        <f>21793738-300000-11834373.71-9158655.5</f>
        <v>500708.78999999911</v>
      </c>
      <c r="J518" s="31"/>
      <c r="K518" s="31"/>
      <c r="L518" s="31">
        <f>J518+K518</f>
        <v>0</v>
      </c>
      <c r="M518" s="31">
        <f>I518+L518</f>
        <v>500708.78999999911</v>
      </c>
      <c r="N518" s="8"/>
      <c r="O518" s="82"/>
    </row>
    <row r="519" spans="1:15" s="14" customFormat="1" ht="64" customHeight="1" x14ac:dyDescent="0.45">
      <c r="A519" s="8"/>
      <c r="B519" s="8"/>
      <c r="C519" s="34"/>
      <c r="D519" s="35"/>
      <c r="E519" s="35" t="s">
        <v>377</v>
      </c>
      <c r="F519" s="8">
        <v>2020</v>
      </c>
      <c r="G519" s="8"/>
      <c r="H519" s="8"/>
      <c r="I519" s="31">
        <v>300000</v>
      </c>
      <c r="J519" s="31"/>
      <c r="K519" s="31"/>
      <c r="L519" s="31">
        <f>J519+K519</f>
        <v>0</v>
      </c>
      <c r="M519" s="31">
        <f>I519+L519</f>
        <v>300000</v>
      </c>
      <c r="N519" s="8"/>
      <c r="O519" s="82"/>
    </row>
    <row r="520" spans="1:15" s="14" customFormat="1" ht="54" customHeight="1" x14ac:dyDescent="0.45">
      <c r="A520" s="7">
        <v>1217310</v>
      </c>
      <c r="B520" s="7">
        <v>7310</v>
      </c>
      <c r="C520" s="17" t="s">
        <v>2</v>
      </c>
      <c r="D520" s="9" t="s">
        <v>1</v>
      </c>
      <c r="E520" s="8"/>
      <c r="F520" s="8"/>
      <c r="G520" s="8"/>
      <c r="H520" s="8"/>
      <c r="I520" s="10">
        <f>I521+I530+I534</f>
        <v>8872297.7599999998</v>
      </c>
      <c r="J520" s="10">
        <f>J521+J530+J534</f>
        <v>0</v>
      </c>
      <c r="K520" s="10">
        <f>K521+K530+K534</f>
        <v>135000</v>
      </c>
      <c r="L520" s="10">
        <f>L521+L530+L534</f>
        <v>135000</v>
      </c>
      <c r="M520" s="10">
        <f>M521+M530+M534</f>
        <v>9007297.7599999998</v>
      </c>
      <c r="N520" s="8"/>
      <c r="O520" s="82"/>
    </row>
    <row r="521" spans="1:15" s="32" customFormat="1" ht="53.15" customHeight="1" x14ac:dyDescent="0.45">
      <c r="A521" s="38"/>
      <c r="B521" s="38"/>
      <c r="C521" s="38"/>
      <c r="D521" s="38"/>
      <c r="E521" s="21" t="s">
        <v>25</v>
      </c>
      <c r="F521" s="38"/>
      <c r="G521" s="38"/>
      <c r="H521" s="38"/>
      <c r="I521" s="13">
        <f>SUM(I522:I529)</f>
        <v>3024415.76</v>
      </c>
      <c r="J521" s="13">
        <f>SUM(J522:J529)</f>
        <v>0</v>
      </c>
      <c r="K521" s="13">
        <f>SUM(K522:K529)</f>
        <v>135000</v>
      </c>
      <c r="L521" s="13">
        <f>SUM(L522:L529)</f>
        <v>135000</v>
      </c>
      <c r="M521" s="13">
        <f>SUM(M522:M529)</f>
        <v>3159415.76</v>
      </c>
      <c r="N521" s="38"/>
      <c r="O521" s="82"/>
    </row>
    <row r="522" spans="1:15" s="14" customFormat="1" ht="77.150000000000006" customHeight="1" x14ac:dyDescent="0.45">
      <c r="A522" s="8"/>
      <c r="B522" s="8"/>
      <c r="C522" s="8"/>
      <c r="D522" s="8"/>
      <c r="E522" s="35" t="s">
        <v>536</v>
      </c>
      <c r="F522" s="8">
        <v>2020</v>
      </c>
      <c r="G522" s="30"/>
      <c r="H522" s="8"/>
      <c r="I522" s="31">
        <v>230000</v>
      </c>
      <c r="J522" s="31"/>
      <c r="K522" s="31"/>
      <c r="L522" s="31">
        <f t="shared" ref="L522:L529" si="145">J522+K522</f>
        <v>0</v>
      </c>
      <c r="M522" s="31">
        <f t="shared" ref="M522:M529" si="146">I522+L522</f>
        <v>230000</v>
      </c>
      <c r="N522" s="8"/>
      <c r="O522" s="82"/>
    </row>
    <row r="523" spans="1:15" s="14" customFormat="1" ht="83.15" customHeight="1" x14ac:dyDescent="0.45">
      <c r="A523" s="8"/>
      <c r="B523" s="8"/>
      <c r="C523" s="8"/>
      <c r="D523" s="8"/>
      <c r="E523" s="35" t="s">
        <v>56</v>
      </c>
      <c r="F523" s="8">
        <v>2020</v>
      </c>
      <c r="G523" s="30"/>
      <c r="H523" s="8"/>
      <c r="I523" s="31">
        <v>240000</v>
      </c>
      <c r="J523" s="31"/>
      <c r="K523" s="31"/>
      <c r="L523" s="31">
        <f t="shared" si="145"/>
        <v>0</v>
      </c>
      <c r="M523" s="31">
        <f t="shared" si="146"/>
        <v>240000</v>
      </c>
      <c r="N523" s="8"/>
      <c r="O523" s="82"/>
    </row>
    <row r="524" spans="1:15" s="14" customFormat="1" ht="58" customHeight="1" x14ac:dyDescent="0.45">
      <c r="A524" s="8"/>
      <c r="B524" s="8"/>
      <c r="C524" s="8"/>
      <c r="D524" s="47"/>
      <c r="E524" s="35" t="s">
        <v>74</v>
      </c>
      <c r="F524" s="8" t="s">
        <v>49</v>
      </c>
      <c r="G524" s="30"/>
      <c r="H524" s="8"/>
      <c r="I524" s="31">
        <v>815088.75</v>
      </c>
      <c r="J524" s="31"/>
      <c r="K524" s="31"/>
      <c r="L524" s="31">
        <f t="shared" si="145"/>
        <v>0</v>
      </c>
      <c r="M524" s="31">
        <f t="shared" si="146"/>
        <v>815088.75</v>
      </c>
      <c r="N524" s="8"/>
      <c r="O524" s="82"/>
    </row>
    <row r="525" spans="1:15" s="14" customFormat="1" ht="122.15" customHeight="1" x14ac:dyDescent="0.45">
      <c r="A525" s="8"/>
      <c r="B525" s="8"/>
      <c r="C525" s="8"/>
      <c r="D525" s="47"/>
      <c r="E525" s="35" t="s">
        <v>350</v>
      </c>
      <c r="F525" s="8" t="s">
        <v>50</v>
      </c>
      <c r="G525" s="30">
        <v>26890141</v>
      </c>
      <c r="H525" s="8"/>
      <c r="I525" s="31">
        <v>439327.01</v>
      </c>
      <c r="J525" s="31"/>
      <c r="K525" s="31"/>
      <c r="L525" s="31">
        <f t="shared" si="145"/>
        <v>0</v>
      </c>
      <c r="M525" s="31">
        <f t="shared" si="146"/>
        <v>439327.01</v>
      </c>
      <c r="N525" s="8">
        <v>1.6</v>
      </c>
      <c r="O525" s="82"/>
    </row>
    <row r="526" spans="1:15" s="14" customFormat="1" ht="88.4" customHeight="1" x14ac:dyDescent="0.45">
      <c r="A526" s="8"/>
      <c r="B526" s="8"/>
      <c r="C526" s="8"/>
      <c r="D526" s="47"/>
      <c r="E526" s="35" t="s">
        <v>593</v>
      </c>
      <c r="F526" s="8" t="s">
        <v>50</v>
      </c>
      <c r="G526" s="30"/>
      <c r="H526" s="8"/>
      <c r="I526" s="31">
        <v>300000</v>
      </c>
      <c r="J526" s="31"/>
      <c r="K526" s="31"/>
      <c r="L526" s="31">
        <f t="shared" si="145"/>
        <v>0</v>
      </c>
      <c r="M526" s="31">
        <f t="shared" si="146"/>
        <v>300000</v>
      </c>
      <c r="N526" s="8"/>
      <c r="O526" s="82"/>
    </row>
    <row r="527" spans="1:15" s="14" customFormat="1" ht="109" customHeight="1" x14ac:dyDescent="0.45">
      <c r="A527" s="8"/>
      <c r="B527" s="8"/>
      <c r="C527" s="8"/>
      <c r="D527" s="8"/>
      <c r="E527" s="35" t="s">
        <v>52</v>
      </c>
      <c r="F527" s="8" t="s">
        <v>50</v>
      </c>
      <c r="G527" s="30"/>
      <c r="H527" s="8"/>
      <c r="I527" s="31">
        <v>250000</v>
      </c>
      <c r="J527" s="31"/>
      <c r="K527" s="31"/>
      <c r="L527" s="31">
        <f t="shared" si="145"/>
        <v>0</v>
      </c>
      <c r="M527" s="31">
        <f t="shared" si="146"/>
        <v>250000</v>
      </c>
      <c r="N527" s="8"/>
      <c r="O527" s="81"/>
    </row>
    <row r="528" spans="1:15" s="14" customFormat="1" ht="109" customHeight="1" x14ac:dyDescent="0.45">
      <c r="A528" s="8"/>
      <c r="B528" s="8"/>
      <c r="C528" s="8"/>
      <c r="D528" s="8"/>
      <c r="E528" s="35" t="s">
        <v>693</v>
      </c>
      <c r="F528" s="8">
        <v>2020</v>
      </c>
      <c r="G528" s="30"/>
      <c r="H528" s="8"/>
      <c r="I528" s="31"/>
      <c r="J528" s="31"/>
      <c r="K528" s="31">
        <v>135000</v>
      </c>
      <c r="L528" s="31">
        <f t="shared" ref="L528" si="147">J528+K528</f>
        <v>135000</v>
      </c>
      <c r="M528" s="31">
        <f t="shared" ref="M528" si="148">I528+L528</f>
        <v>135000</v>
      </c>
      <c r="N528" s="8"/>
      <c r="O528" s="81"/>
    </row>
    <row r="529" spans="1:15" s="14" customFormat="1" ht="100" customHeight="1" x14ac:dyDescent="0.45">
      <c r="A529" s="8"/>
      <c r="B529" s="8"/>
      <c r="C529" s="8"/>
      <c r="D529" s="8"/>
      <c r="E529" s="35" t="s">
        <v>356</v>
      </c>
      <c r="F529" s="8">
        <v>2020</v>
      </c>
      <c r="G529" s="30"/>
      <c r="H529" s="8"/>
      <c r="I529" s="31">
        <v>750000</v>
      </c>
      <c r="J529" s="31"/>
      <c r="K529" s="31"/>
      <c r="L529" s="31">
        <f t="shared" si="145"/>
        <v>0</v>
      </c>
      <c r="M529" s="31">
        <f t="shared" si="146"/>
        <v>750000</v>
      </c>
      <c r="N529" s="50"/>
      <c r="O529" s="81"/>
    </row>
    <row r="530" spans="1:15" s="32" customFormat="1" ht="52" customHeight="1" x14ac:dyDescent="0.45">
      <c r="A530" s="38"/>
      <c r="B530" s="38"/>
      <c r="C530" s="38"/>
      <c r="D530" s="38"/>
      <c r="E530" s="21" t="s">
        <v>27</v>
      </c>
      <c r="F530" s="38"/>
      <c r="G530" s="38"/>
      <c r="H530" s="38"/>
      <c r="I530" s="13">
        <f>I531+I532+I533</f>
        <v>500000</v>
      </c>
      <c r="J530" s="13">
        <f t="shared" ref="J530:M530" si="149">J531+J532+J533</f>
        <v>0</v>
      </c>
      <c r="K530" s="13">
        <f t="shared" si="149"/>
        <v>0</v>
      </c>
      <c r="L530" s="13">
        <f t="shared" si="149"/>
        <v>0</v>
      </c>
      <c r="M530" s="13">
        <f t="shared" si="149"/>
        <v>500000</v>
      </c>
      <c r="N530" s="37"/>
      <c r="O530" s="81"/>
    </row>
    <row r="531" spans="1:15" s="14" customFormat="1" ht="79" customHeight="1" x14ac:dyDescent="0.45">
      <c r="A531" s="8"/>
      <c r="B531" s="8"/>
      <c r="C531" s="8"/>
      <c r="D531" s="8"/>
      <c r="E531" s="35" t="s">
        <v>23</v>
      </c>
      <c r="F531" s="8">
        <v>2020</v>
      </c>
      <c r="G531" s="30">
        <v>279601</v>
      </c>
      <c r="H531" s="8"/>
      <c r="I531" s="31">
        <v>279601</v>
      </c>
      <c r="J531" s="31"/>
      <c r="K531" s="31"/>
      <c r="L531" s="31">
        <f t="shared" ref="L531:L532" si="150">J531+K531</f>
        <v>0</v>
      </c>
      <c r="M531" s="31">
        <f t="shared" ref="M531:M532" si="151">I531+L531</f>
        <v>279601</v>
      </c>
      <c r="N531" s="8">
        <v>100</v>
      </c>
      <c r="O531" s="81"/>
    </row>
    <row r="532" spans="1:15" s="14" customFormat="1" ht="63" customHeight="1" x14ac:dyDescent="0.45">
      <c r="A532" s="8"/>
      <c r="B532" s="8"/>
      <c r="C532" s="8"/>
      <c r="D532" s="8"/>
      <c r="E532" s="35" t="s">
        <v>610</v>
      </c>
      <c r="F532" s="8">
        <v>2020</v>
      </c>
      <c r="G532" s="30">
        <v>195399</v>
      </c>
      <c r="H532" s="8"/>
      <c r="I532" s="31">
        <v>220399</v>
      </c>
      <c r="J532" s="31">
        <v>-25000</v>
      </c>
      <c r="K532" s="31"/>
      <c r="L532" s="31">
        <f t="shared" si="150"/>
        <v>-25000</v>
      </c>
      <c r="M532" s="31">
        <f t="shared" si="151"/>
        <v>195399</v>
      </c>
      <c r="N532" s="8">
        <v>100</v>
      </c>
      <c r="O532" s="81"/>
    </row>
    <row r="533" spans="1:15" s="14" customFormat="1" ht="63" customHeight="1" x14ac:dyDescent="0.45">
      <c r="A533" s="8"/>
      <c r="B533" s="8"/>
      <c r="C533" s="8"/>
      <c r="D533" s="8"/>
      <c r="E533" s="35" t="s">
        <v>635</v>
      </c>
      <c r="F533" s="8">
        <v>2020</v>
      </c>
      <c r="G533" s="30"/>
      <c r="H533" s="8"/>
      <c r="I533" s="31"/>
      <c r="J533" s="31">
        <v>25000</v>
      </c>
      <c r="K533" s="31"/>
      <c r="L533" s="31">
        <f t="shared" ref="L533" si="152">J533+K533</f>
        <v>25000</v>
      </c>
      <c r="M533" s="31">
        <f t="shared" ref="M533" si="153">I533+L533</f>
        <v>25000</v>
      </c>
      <c r="N533" s="8"/>
      <c r="O533" s="81"/>
    </row>
    <row r="534" spans="1:15" s="32" customFormat="1" ht="51" customHeight="1" x14ac:dyDescent="0.45">
      <c r="A534" s="38"/>
      <c r="B534" s="38"/>
      <c r="C534" s="38"/>
      <c r="D534" s="38"/>
      <c r="E534" s="21" t="s">
        <v>28</v>
      </c>
      <c r="F534" s="38"/>
      <c r="G534" s="38"/>
      <c r="H534" s="38"/>
      <c r="I534" s="13">
        <f>SUM(I535:I540)</f>
        <v>5347882</v>
      </c>
      <c r="J534" s="13">
        <f>SUM(J535:J540)</f>
        <v>0</v>
      </c>
      <c r="K534" s="13">
        <f>SUM(K535:K540)</f>
        <v>0</v>
      </c>
      <c r="L534" s="13">
        <f>SUM(L535:L540)</f>
        <v>0</v>
      </c>
      <c r="M534" s="13">
        <f>SUM(M535:M540)</f>
        <v>5347882</v>
      </c>
      <c r="N534" s="38"/>
      <c r="O534" s="81"/>
    </row>
    <row r="535" spans="1:15" s="14" customFormat="1" ht="51" customHeight="1" x14ac:dyDescent="0.45">
      <c r="A535" s="8"/>
      <c r="B535" s="8"/>
      <c r="C535" s="8"/>
      <c r="D535" s="47"/>
      <c r="E535" s="35" t="s">
        <v>65</v>
      </c>
      <c r="F535" s="8" t="s">
        <v>49</v>
      </c>
      <c r="G535" s="30">
        <v>2908994</v>
      </c>
      <c r="H535" s="8"/>
      <c r="I535" s="31">
        <f>1800000+1100000</f>
        <v>2900000</v>
      </c>
      <c r="J535" s="31"/>
      <c r="K535" s="31"/>
      <c r="L535" s="31">
        <f t="shared" ref="L535:L540" si="154">J535+K535</f>
        <v>0</v>
      </c>
      <c r="M535" s="31">
        <f t="shared" ref="M535:M540" si="155">I535+L535</f>
        <v>2900000</v>
      </c>
      <c r="N535" s="8">
        <v>100</v>
      </c>
      <c r="O535" s="81"/>
    </row>
    <row r="536" spans="1:15" s="14" customFormat="1" ht="65.5" customHeight="1" x14ac:dyDescent="0.45">
      <c r="A536" s="8"/>
      <c r="B536" s="8"/>
      <c r="C536" s="8"/>
      <c r="D536" s="47"/>
      <c r="E536" s="35" t="s">
        <v>433</v>
      </c>
      <c r="F536" s="8" t="s">
        <v>67</v>
      </c>
      <c r="G536" s="30"/>
      <c r="H536" s="8"/>
      <c r="I536" s="31">
        <v>350000</v>
      </c>
      <c r="J536" s="31"/>
      <c r="K536" s="31"/>
      <c r="L536" s="31">
        <f t="shared" si="154"/>
        <v>0</v>
      </c>
      <c r="M536" s="31">
        <f t="shared" si="155"/>
        <v>350000</v>
      </c>
      <c r="N536" s="8"/>
      <c r="O536" s="81"/>
    </row>
    <row r="537" spans="1:15" s="14" customFormat="1" ht="72" x14ac:dyDescent="0.45">
      <c r="A537" s="8"/>
      <c r="B537" s="8"/>
      <c r="C537" s="8"/>
      <c r="D537" s="8"/>
      <c r="E537" s="35" t="s">
        <v>465</v>
      </c>
      <c r="F537" s="8" t="s">
        <v>45</v>
      </c>
      <c r="G537" s="30">
        <v>12333420</v>
      </c>
      <c r="H537" s="8">
        <v>2.8</v>
      </c>
      <c r="I537" s="31">
        <f>1200000+8953612-10094730</f>
        <v>58882</v>
      </c>
      <c r="J537" s="31"/>
      <c r="K537" s="31"/>
      <c r="L537" s="31">
        <f t="shared" si="154"/>
        <v>0</v>
      </c>
      <c r="M537" s="31">
        <f t="shared" si="155"/>
        <v>58882</v>
      </c>
      <c r="N537" s="50">
        <v>3.3</v>
      </c>
      <c r="O537" s="81"/>
    </row>
    <row r="538" spans="1:15" s="14" customFormat="1" ht="89.15" customHeight="1" x14ac:dyDescent="0.45">
      <c r="A538" s="8"/>
      <c r="B538" s="8"/>
      <c r="C538" s="8"/>
      <c r="D538" s="8"/>
      <c r="E538" s="35" t="s">
        <v>61</v>
      </c>
      <c r="F538" s="8" t="s">
        <v>45</v>
      </c>
      <c r="G538" s="30">
        <f>12627116</f>
        <v>12627116</v>
      </c>
      <c r="H538" s="8">
        <v>1.6</v>
      </c>
      <c r="I538" s="31">
        <f>20000+1000</f>
        <v>21000</v>
      </c>
      <c r="J538" s="31"/>
      <c r="K538" s="31"/>
      <c r="L538" s="31">
        <f t="shared" si="154"/>
        <v>0</v>
      </c>
      <c r="M538" s="31">
        <f t="shared" si="155"/>
        <v>21000</v>
      </c>
      <c r="N538" s="50">
        <v>1.8</v>
      </c>
      <c r="O538" s="81"/>
    </row>
    <row r="539" spans="1:15" s="14" customFormat="1" ht="83.5" customHeight="1" x14ac:dyDescent="0.45">
      <c r="A539" s="8"/>
      <c r="B539" s="8"/>
      <c r="C539" s="8"/>
      <c r="D539" s="8"/>
      <c r="E539" s="35" t="s">
        <v>62</v>
      </c>
      <c r="F539" s="8" t="s">
        <v>66</v>
      </c>
      <c r="G539" s="30">
        <f>15888386</f>
        <v>15888386</v>
      </c>
      <c r="H539" s="8">
        <v>1.4</v>
      </c>
      <c r="I539" s="31">
        <f>20000+1000</f>
        <v>21000</v>
      </c>
      <c r="J539" s="31"/>
      <c r="K539" s="31"/>
      <c r="L539" s="31">
        <f t="shared" si="154"/>
        <v>0</v>
      </c>
      <c r="M539" s="31">
        <f t="shared" si="155"/>
        <v>21000</v>
      </c>
      <c r="N539" s="50">
        <v>1.6</v>
      </c>
      <c r="O539" s="81"/>
    </row>
    <row r="540" spans="1:15" s="14" customFormat="1" ht="87" customHeight="1" x14ac:dyDescent="0.45">
      <c r="A540" s="8"/>
      <c r="B540" s="8"/>
      <c r="C540" s="8"/>
      <c r="D540" s="8"/>
      <c r="E540" s="35" t="s">
        <v>54</v>
      </c>
      <c r="F540" s="8" t="s">
        <v>39</v>
      </c>
      <c r="G540" s="30">
        <v>30447487</v>
      </c>
      <c r="H540" s="50">
        <v>88</v>
      </c>
      <c r="I540" s="31">
        <f>3000000-1000000-3000</f>
        <v>1997000</v>
      </c>
      <c r="J540" s="31"/>
      <c r="K540" s="31"/>
      <c r="L540" s="31">
        <f t="shared" si="154"/>
        <v>0</v>
      </c>
      <c r="M540" s="31">
        <f t="shared" si="155"/>
        <v>1997000</v>
      </c>
      <c r="N540" s="8">
        <v>95</v>
      </c>
      <c r="O540" s="81"/>
    </row>
    <row r="541" spans="1:15" s="14" customFormat="1" ht="61" customHeight="1" x14ac:dyDescent="0.45">
      <c r="A541" s="7">
        <v>1217330</v>
      </c>
      <c r="B541" s="7">
        <v>7330</v>
      </c>
      <c r="C541" s="17" t="s">
        <v>2</v>
      </c>
      <c r="D541" s="61" t="s">
        <v>24</v>
      </c>
      <c r="E541" s="35"/>
      <c r="F541" s="8"/>
      <c r="G541" s="8"/>
      <c r="H541" s="8"/>
      <c r="I541" s="10">
        <f>I542+I550</f>
        <v>7258887.7699999996</v>
      </c>
      <c r="J541" s="10">
        <f>J542+J550</f>
        <v>748253</v>
      </c>
      <c r="K541" s="10">
        <f>K542+K550</f>
        <v>9500000</v>
      </c>
      <c r="L541" s="10">
        <f>L542+L550</f>
        <v>10248253</v>
      </c>
      <c r="M541" s="10">
        <f>M542+M550</f>
        <v>17507140.77</v>
      </c>
      <c r="N541" s="8"/>
      <c r="O541" s="81"/>
    </row>
    <row r="542" spans="1:15" s="32" customFormat="1" ht="59.15" customHeight="1" x14ac:dyDescent="0.45">
      <c r="A542" s="22"/>
      <c r="B542" s="22"/>
      <c r="C542" s="11"/>
      <c r="D542" s="12"/>
      <c r="E542" s="21" t="s">
        <v>25</v>
      </c>
      <c r="F542" s="38"/>
      <c r="G542" s="38"/>
      <c r="H542" s="38"/>
      <c r="I542" s="13">
        <f>SUM(I543:I549)</f>
        <v>3288887.77</v>
      </c>
      <c r="J542" s="13">
        <f t="shared" ref="J542:M542" si="156">SUM(J543:J549)</f>
        <v>748253</v>
      </c>
      <c r="K542" s="13">
        <f t="shared" si="156"/>
        <v>0</v>
      </c>
      <c r="L542" s="13">
        <f t="shared" si="156"/>
        <v>748253</v>
      </c>
      <c r="M542" s="13">
        <f t="shared" si="156"/>
        <v>4037140.77</v>
      </c>
      <c r="N542" s="38"/>
      <c r="O542" s="81"/>
    </row>
    <row r="543" spans="1:15" s="14" customFormat="1" ht="46" customHeight="1" x14ac:dyDescent="0.45">
      <c r="A543" s="8"/>
      <c r="B543" s="8"/>
      <c r="C543" s="8"/>
      <c r="D543" s="8"/>
      <c r="E543" s="35" t="s">
        <v>636</v>
      </c>
      <c r="F543" s="8">
        <v>2020</v>
      </c>
      <c r="G543" s="8"/>
      <c r="H543" s="8"/>
      <c r="I543" s="31">
        <v>1499889</v>
      </c>
      <c r="J543" s="31"/>
      <c r="K543" s="31"/>
      <c r="L543" s="31">
        <f t="shared" ref="L543" si="157">J543+K543</f>
        <v>0</v>
      </c>
      <c r="M543" s="31">
        <f t="shared" ref="M543" si="158">I543+L543</f>
        <v>1499889</v>
      </c>
      <c r="N543" s="8"/>
      <c r="O543" s="81"/>
    </row>
    <row r="544" spans="1:15" s="14" customFormat="1" ht="85" customHeight="1" x14ac:dyDescent="0.45">
      <c r="A544" s="8"/>
      <c r="B544" s="8"/>
      <c r="C544" s="8"/>
      <c r="D544" s="8"/>
      <c r="E544" s="35" t="s">
        <v>677</v>
      </c>
      <c r="F544" s="8">
        <v>2020</v>
      </c>
      <c r="G544" s="30">
        <v>748253</v>
      </c>
      <c r="H544" s="8"/>
      <c r="I544" s="31"/>
      <c r="J544" s="31">
        <v>748253</v>
      </c>
      <c r="K544" s="31"/>
      <c r="L544" s="31">
        <f t="shared" ref="L544" si="159">J544+K544</f>
        <v>748253</v>
      </c>
      <c r="M544" s="31">
        <f t="shared" ref="M544" si="160">I544+L544</f>
        <v>748253</v>
      </c>
      <c r="N544" s="8">
        <v>100</v>
      </c>
      <c r="O544" s="81"/>
    </row>
    <row r="545" spans="1:15" s="14" customFormat="1" ht="46" customHeight="1" x14ac:dyDescent="0.45">
      <c r="A545" s="8"/>
      <c r="B545" s="8"/>
      <c r="C545" s="8"/>
      <c r="D545" s="8"/>
      <c r="E545" s="35" t="s">
        <v>69</v>
      </c>
      <c r="F545" s="8">
        <v>2020</v>
      </c>
      <c r="G545" s="8"/>
      <c r="H545" s="8"/>
      <c r="I545" s="31">
        <f>300000+170000</f>
        <v>470000</v>
      </c>
      <c r="J545" s="31"/>
      <c r="K545" s="31"/>
      <c r="L545" s="31">
        <f t="shared" ref="L545:L549" si="161">J545+K545</f>
        <v>0</v>
      </c>
      <c r="M545" s="31">
        <f t="shared" ref="M545:M549" si="162">I545+L545</f>
        <v>470000</v>
      </c>
      <c r="N545" s="8"/>
      <c r="O545" s="81"/>
    </row>
    <row r="546" spans="1:15" s="14" customFormat="1" ht="55" customHeight="1" x14ac:dyDescent="0.45">
      <c r="A546" s="8"/>
      <c r="B546" s="8"/>
      <c r="C546" s="8"/>
      <c r="D546" s="47"/>
      <c r="E546" s="35" t="s">
        <v>75</v>
      </c>
      <c r="F546" s="8" t="s">
        <v>49</v>
      </c>
      <c r="G546" s="30">
        <v>739777</v>
      </c>
      <c r="H546" s="8">
        <v>34.4</v>
      </c>
      <c r="I546" s="31">
        <v>485438.6</v>
      </c>
      <c r="J546" s="31"/>
      <c r="K546" s="31"/>
      <c r="L546" s="31">
        <f t="shared" si="161"/>
        <v>0</v>
      </c>
      <c r="M546" s="31">
        <f t="shared" si="162"/>
        <v>485438.6</v>
      </c>
      <c r="N546" s="8">
        <v>100</v>
      </c>
      <c r="O546" s="81"/>
    </row>
    <row r="547" spans="1:15" s="14" customFormat="1" ht="51" customHeight="1" x14ac:dyDescent="0.45">
      <c r="A547" s="8"/>
      <c r="B547" s="8"/>
      <c r="C547" s="8"/>
      <c r="D547" s="47"/>
      <c r="E547" s="35" t="s">
        <v>76</v>
      </c>
      <c r="F547" s="8" t="s">
        <v>39</v>
      </c>
      <c r="G547" s="30">
        <v>6157417</v>
      </c>
      <c r="H547" s="50">
        <v>11</v>
      </c>
      <c r="I547" s="31">
        <v>765560.17</v>
      </c>
      <c r="J547" s="31"/>
      <c r="K547" s="31"/>
      <c r="L547" s="31">
        <f t="shared" si="161"/>
        <v>0</v>
      </c>
      <c r="M547" s="31">
        <f t="shared" si="162"/>
        <v>765560.17</v>
      </c>
      <c r="N547" s="50">
        <v>22</v>
      </c>
      <c r="O547" s="81"/>
    </row>
    <row r="548" spans="1:15" s="14" customFormat="1" ht="65.150000000000006" customHeight="1" x14ac:dyDescent="0.45">
      <c r="A548" s="8"/>
      <c r="B548" s="8"/>
      <c r="C548" s="8"/>
      <c r="D548" s="47"/>
      <c r="E548" s="35" t="s">
        <v>594</v>
      </c>
      <c r="F548" s="8">
        <v>2020</v>
      </c>
      <c r="G548" s="30"/>
      <c r="H548" s="50"/>
      <c r="I548" s="31">
        <v>35000</v>
      </c>
      <c r="J548" s="31"/>
      <c r="K548" s="31"/>
      <c r="L548" s="31">
        <f t="shared" si="161"/>
        <v>0</v>
      </c>
      <c r="M548" s="31">
        <f t="shared" si="162"/>
        <v>35000</v>
      </c>
      <c r="N548" s="8"/>
      <c r="O548" s="81"/>
    </row>
    <row r="549" spans="1:15" s="14" customFormat="1" ht="59.15" customHeight="1" x14ac:dyDescent="0.45">
      <c r="A549" s="8"/>
      <c r="B549" s="8"/>
      <c r="C549" s="8"/>
      <c r="D549" s="47"/>
      <c r="E549" s="35" t="s">
        <v>575</v>
      </c>
      <c r="F549" s="8">
        <v>2020</v>
      </c>
      <c r="G549" s="30"/>
      <c r="H549" s="50"/>
      <c r="I549" s="31">
        <v>33000</v>
      </c>
      <c r="J549" s="31"/>
      <c r="K549" s="31"/>
      <c r="L549" s="31">
        <f t="shared" si="161"/>
        <v>0</v>
      </c>
      <c r="M549" s="31">
        <f t="shared" si="162"/>
        <v>33000</v>
      </c>
      <c r="N549" s="8"/>
      <c r="O549" s="81"/>
    </row>
    <row r="550" spans="1:15" s="32" customFormat="1" ht="50.15" customHeight="1" x14ac:dyDescent="0.45">
      <c r="A550" s="38"/>
      <c r="B550" s="38"/>
      <c r="C550" s="38"/>
      <c r="D550" s="38"/>
      <c r="E550" s="21" t="s">
        <v>26</v>
      </c>
      <c r="F550" s="38"/>
      <c r="G550" s="38"/>
      <c r="H550" s="38"/>
      <c r="I550" s="13">
        <f>SUM(I551:I554)</f>
        <v>3970000</v>
      </c>
      <c r="J550" s="13">
        <f t="shared" ref="J550:M550" si="163">SUM(J551:J554)</f>
        <v>0</v>
      </c>
      <c r="K550" s="13">
        <f t="shared" si="163"/>
        <v>9500000</v>
      </c>
      <c r="L550" s="13">
        <f t="shared" si="163"/>
        <v>9500000</v>
      </c>
      <c r="M550" s="13">
        <f t="shared" si="163"/>
        <v>13470000</v>
      </c>
      <c r="N550" s="38"/>
      <c r="O550" s="81"/>
    </row>
    <row r="551" spans="1:15" s="14" customFormat="1" ht="44.5" customHeight="1" x14ac:dyDescent="0.45">
      <c r="A551" s="8"/>
      <c r="B551" s="8"/>
      <c r="C551" s="8"/>
      <c r="D551" s="8"/>
      <c r="E551" s="35" t="s">
        <v>44</v>
      </c>
      <c r="F551" s="8">
        <v>2020</v>
      </c>
      <c r="G551" s="8"/>
      <c r="H551" s="8"/>
      <c r="I551" s="31">
        <f>3177000+3000</f>
        <v>3180000</v>
      </c>
      <c r="J551" s="31"/>
      <c r="K551" s="31">
        <v>-2000000</v>
      </c>
      <c r="L551" s="31">
        <f t="shared" ref="L551:L554" si="164">J551+K551</f>
        <v>-2000000</v>
      </c>
      <c r="M551" s="31">
        <f t="shared" ref="M551:M554" si="165">I551+L551</f>
        <v>1180000</v>
      </c>
      <c r="N551" s="8"/>
      <c r="O551" s="81"/>
    </row>
    <row r="552" spans="1:15" s="14" customFormat="1" ht="154.5" customHeight="1" x14ac:dyDescent="0.45">
      <c r="A552" s="8"/>
      <c r="B552" s="8"/>
      <c r="C552" s="8"/>
      <c r="D552" s="8"/>
      <c r="E552" s="35" t="s">
        <v>705</v>
      </c>
      <c r="F552" s="8">
        <v>2020</v>
      </c>
      <c r="G552" s="8"/>
      <c r="H552" s="8"/>
      <c r="I552" s="31"/>
      <c r="J552" s="31"/>
      <c r="K552" s="31">
        <v>2000000</v>
      </c>
      <c r="L552" s="31">
        <f t="shared" ref="L552" si="166">J552+K552</f>
        <v>2000000</v>
      </c>
      <c r="M552" s="31">
        <f t="shared" ref="M552" si="167">I552+L552</f>
        <v>2000000</v>
      </c>
      <c r="N552" s="8"/>
      <c r="O552" s="81"/>
    </row>
    <row r="553" spans="1:15" s="14" customFormat="1" ht="43" customHeight="1" x14ac:dyDescent="0.45">
      <c r="A553" s="8"/>
      <c r="B553" s="8"/>
      <c r="C553" s="8"/>
      <c r="D553" s="8"/>
      <c r="E553" s="35" t="s">
        <v>43</v>
      </c>
      <c r="F553" s="8">
        <v>2020</v>
      </c>
      <c r="G553" s="8"/>
      <c r="H553" s="8"/>
      <c r="I553" s="31">
        <f>5000000+4000000+700000-700000-4000000+4000000-8500000</f>
        <v>500000</v>
      </c>
      <c r="J553" s="31"/>
      <c r="K553" s="31">
        <v>9500000</v>
      </c>
      <c r="L553" s="31">
        <f t="shared" si="164"/>
        <v>9500000</v>
      </c>
      <c r="M553" s="31">
        <f t="shared" si="165"/>
        <v>10000000</v>
      </c>
      <c r="N553" s="8"/>
      <c r="O553" s="81"/>
    </row>
    <row r="554" spans="1:15" s="14" customFormat="1" ht="45" customHeight="1" x14ac:dyDescent="0.45">
      <c r="A554" s="8"/>
      <c r="B554" s="8"/>
      <c r="C554" s="8"/>
      <c r="D554" s="8"/>
      <c r="E554" s="35" t="s">
        <v>70</v>
      </c>
      <c r="F554" s="8" t="s">
        <v>67</v>
      </c>
      <c r="G554" s="8"/>
      <c r="H554" s="8"/>
      <c r="I554" s="31">
        <f>250000+40000</f>
        <v>290000</v>
      </c>
      <c r="J554" s="31"/>
      <c r="K554" s="31"/>
      <c r="L554" s="31">
        <f t="shared" si="164"/>
        <v>0</v>
      </c>
      <c r="M554" s="31">
        <f t="shared" si="165"/>
        <v>290000</v>
      </c>
      <c r="N554" s="8"/>
      <c r="O554" s="81"/>
    </row>
    <row r="555" spans="1:15" s="14" customFormat="1" ht="52" customHeight="1" x14ac:dyDescent="0.45">
      <c r="A555" s="7">
        <v>1217340</v>
      </c>
      <c r="B555" s="7">
        <v>7340</v>
      </c>
      <c r="C555" s="17" t="s">
        <v>2</v>
      </c>
      <c r="D555" s="9" t="s">
        <v>5</v>
      </c>
      <c r="E555" s="35"/>
      <c r="F555" s="8"/>
      <c r="G555" s="8"/>
      <c r="H555" s="8"/>
      <c r="I555" s="10">
        <f>SUM(I556:I556)</f>
        <v>3000000</v>
      </c>
      <c r="J555" s="10">
        <f t="shared" ref="J555:M555" si="168">SUM(J556:J556)</f>
        <v>0</v>
      </c>
      <c r="K555" s="10">
        <f t="shared" si="168"/>
        <v>0</v>
      </c>
      <c r="L555" s="10">
        <f t="shared" si="168"/>
        <v>0</v>
      </c>
      <c r="M555" s="10">
        <f t="shared" si="168"/>
        <v>3000000</v>
      </c>
      <c r="N555" s="8"/>
      <c r="O555" s="81"/>
    </row>
    <row r="556" spans="1:15" s="14" customFormat="1" ht="47.15" customHeight="1" x14ac:dyDescent="0.45">
      <c r="A556" s="8"/>
      <c r="B556" s="8"/>
      <c r="C556" s="8"/>
      <c r="D556" s="8"/>
      <c r="E556" s="35" t="s">
        <v>29</v>
      </c>
      <c r="F556" s="8" t="s">
        <v>45</v>
      </c>
      <c r="G556" s="62">
        <v>13234370</v>
      </c>
      <c r="H556" s="50">
        <v>3</v>
      </c>
      <c r="I556" s="31">
        <v>3000000</v>
      </c>
      <c r="J556" s="31"/>
      <c r="K556" s="31"/>
      <c r="L556" s="31">
        <f t="shared" ref="L556" si="169">J556+K556</f>
        <v>0</v>
      </c>
      <c r="M556" s="31">
        <f t="shared" ref="M556" si="170">I556+L556</f>
        <v>3000000</v>
      </c>
      <c r="N556" s="50">
        <v>24.5</v>
      </c>
      <c r="O556" s="81"/>
    </row>
    <row r="557" spans="1:15" s="14" customFormat="1" ht="111" customHeight="1" x14ac:dyDescent="0.45">
      <c r="A557" s="7">
        <v>1217361</v>
      </c>
      <c r="B557" s="7">
        <v>7361</v>
      </c>
      <c r="C557" s="17" t="s">
        <v>100</v>
      </c>
      <c r="D557" s="9" t="s">
        <v>568</v>
      </c>
      <c r="E557" s="21" t="s">
        <v>25</v>
      </c>
      <c r="F557" s="8"/>
      <c r="G557" s="8"/>
      <c r="H557" s="8"/>
      <c r="I557" s="10">
        <f>I558</f>
        <v>1386113</v>
      </c>
      <c r="J557" s="10">
        <f t="shared" ref="J557:M557" si="171">J558</f>
        <v>0</v>
      </c>
      <c r="K557" s="10">
        <f t="shared" si="171"/>
        <v>0</v>
      </c>
      <c r="L557" s="10">
        <f t="shared" si="171"/>
        <v>0</v>
      </c>
      <c r="M557" s="10">
        <f t="shared" si="171"/>
        <v>1386113</v>
      </c>
      <c r="N557" s="8"/>
      <c r="O557" s="81"/>
    </row>
    <row r="558" spans="1:15" s="14" customFormat="1" ht="90.65" customHeight="1" x14ac:dyDescent="0.45">
      <c r="A558" s="8"/>
      <c r="B558" s="8"/>
      <c r="C558" s="8"/>
      <c r="D558" s="8"/>
      <c r="E558" s="35" t="s">
        <v>68</v>
      </c>
      <c r="F558" s="8" t="s">
        <v>51</v>
      </c>
      <c r="G558" s="30">
        <v>14087743</v>
      </c>
      <c r="H558" s="8">
        <v>1.9</v>
      </c>
      <c r="I558" s="31">
        <v>1386113</v>
      </c>
      <c r="J558" s="31"/>
      <c r="K558" s="31"/>
      <c r="L558" s="31">
        <f t="shared" ref="L558" si="172">J558+K558</f>
        <v>0</v>
      </c>
      <c r="M558" s="31">
        <f t="shared" ref="M558" si="173">I558+L558</f>
        <v>1386113</v>
      </c>
      <c r="N558" s="50">
        <v>11.8</v>
      </c>
      <c r="O558" s="81"/>
    </row>
    <row r="559" spans="1:15" s="18" customFormat="1" ht="84" customHeight="1" x14ac:dyDescent="0.45">
      <c r="A559" s="7">
        <v>1217362</v>
      </c>
      <c r="B559" s="7">
        <v>7362</v>
      </c>
      <c r="C559" s="17" t="s">
        <v>100</v>
      </c>
      <c r="D559" s="9" t="s">
        <v>164</v>
      </c>
      <c r="E559" s="21"/>
      <c r="F559" s="7"/>
      <c r="G559" s="63"/>
      <c r="H559" s="64"/>
      <c r="I559" s="10">
        <f>I560+I562</f>
        <v>75600</v>
      </c>
      <c r="J559" s="10">
        <f t="shared" ref="J559:M559" si="174">J560+J562</f>
        <v>0</v>
      </c>
      <c r="K559" s="10">
        <f t="shared" si="174"/>
        <v>0</v>
      </c>
      <c r="L559" s="10">
        <f t="shared" si="174"/>
        <v>0</v>
      </c>
      <c r="M559" s="10">
        <f t="shared" si="174"/>
        <v>75600</v>
      </c>
      <c r="N559" s="64"/>
      <c r="O559" s="81"/>
    </row>
    <row r="560" spans="1:15" s="14" customFormat="1" ht="43" customHeight="1" x14ac:dyDescent="0.45">
      <c r="A560" s="8"/>
      <c r="B560" s="8"/>
      <c r="C560" s="34"/>
      <c r="D560" s="35"/>
      <c r="E560" s="21" t="s">
        <v>25</v>
      </c>
      <c r="F560" s="8"/>
      <c r="G560" s="62"/>
      <c r="H560" s="50"/>
      <c r="I560" s="13">
        <f>I561</f>
        <v>72000</v>
      </c>
      <c r="J560" s="13">
        <f t="shared" ref="J560:M560" si="175">J561</f>
        <v>0</v>
      </c>
      <c r="K560" s="13">
        <f t="shared" si="175"/>
        <v>0</v>
      </c>
      <c r="L560" s="13">
        <f t="shared" si="175"/>
        <v>0</v>
      </c>
      <c r="M560" s="13">
        <f t="shared" si="175"/>
        <v>72000</v>
      </c>
      <c r="N560" s="50"/>
      <c r="O560" s="81"/>
    </row>
    <row r="561" spans="1:15" s="14" customFormat="1" ht="64" customHeight="1" x14ac:dyDescent="0.45">
      <c r="A561" s="8"/>
      <c r="B561" s="8"/>
      <c r="C561" s="34"/>
      <c r="D561" s="35"/>
      <c r="E561" s="35" t="s">
        <v>308</v>
      </c>
      <c r="F561" s="8" t="s">
        <v>67</v>
      </c>
      <c r="G561" s="62">
        <v>1800000</v>
      </c>
      <c r="H561" s="50"/>
      <c r="I561" s="31">
        <v>72000</v>
      </c>
      <c r="J561" s="31"/>
      <c r="K561" s="31"/>
      <c r="L561" s="31">
        <f t="shared" ref="L561" si="176">J561+K561</f>
        <v>0</v>
      </c>
      <c r="M561" s="31">
        <f t="shared" ref="M561" si="177">I561+L561</f>
        <v>72000</v>
      </c>
      <c r="N561" s="50">
        <v>4</v>
      </c>
      <c r="O561" s="81"/>
    </row>
    <row r="562" spans="1:15" s="18" customFormat="1" ht="45" customHeight="1" x14ac:dyDescent="0.45">
      <c r="A562" s="7"/>
      <c r="B562" s="7"/>
      <c r="C562" s="17"/>
      <c r="D562" s="9"/>
      <c r="E562" s="21" t="s">
        <v>175</v>
      </c>
      <c r="F562" s="7"/>
      <c r="G562" s="63"/>
      <c r="H562" s="64"/>
      <c r="I562" s="13">
        <f>I563</f>
        <v>3600</v>
      </c>
      <c r="J562" s="13">
        <f t="shared" ref="J562:M562" si="178">J563</f>
        <v>0</v>
      </c>
      <c r="K562" s="13">
        <f t="shared" si="178"/>
        <v>0</v>
      </c>
      <c r="L562" s="13">
        <f t="shared" si="178"/>
        <v>0</v>
      </c>
      <c r="M562" s="13">
        <f t="shared" si="178"/>
        <v>3600</v>
      </c>
      <c r="N562" s="64"/>
      <c r="O562" s="81"/>
    </row>
    <row r="563" spans="1:15" s="14" customFormat="1" ht="84" customHeight="1" x14ac:dyDescent="0.45">
      <c r="A563" s="8"/>
      <c r="B563" s="8"/>
      <c r="C563" s="34"/>
      <c r="D563" s="35"/>
      <c r="E563" s="35" t="s">
        <v>307</v>
      </c>
      <c r="F563" s="8" t="s">
        <v>67</v>
      </c>
      <c r="G563" s="62">
        <v>150000</v>
      </c>
      <c r="H563" s="50"/>
      <c r="I563" s="31">
        <v>3600</v>
      </c>
      <c r="J563" s="31"/>
      <c r="K563" s="31"/>
      <c r="L563" s="31">
        <f t="shared" ref="L563" si="179">J563+K563</f>
        <v>0</v>
      </c>
      <c r="M563" s="31">
        <f t="shared" ref="M563" si="180">I563+L563</f>
        <v>3600</v>
      </c>
      <c r="N563" s="50">
        <v>2.4</v>
      </c>
      <c r="O563" s="81"/>
    </row>
    <row r="564" spans="1:15" s="18" customFormat="1" ht="102.65" customHeight="1" x14ac:dyDescent="0.45">
      <c r="A564" s="7">
        <v>1217363</v>
      </c>
      <c r="B564" s="7">
        <v>7363</v>
      </c>
      <c r="C564" s="17" t="s">
        <v>100</v>
      </c>
      <c r="D564" s="9" t="s">
        <v>689</v>
      </c>
      <c r="E564" s="9"/>
      <c r="F564" s="7"/>
      <c r="G564" s="63"/>
      <c r="H564" s="64"/>
      <c r="I564" s="10">
        <f>I566+I575</f>
        <v>956186.69</v>
      </c>
      <c r="J564" s="10">
        <f t="shared" ref="J564:M565" si="181">J566+J575</f>
        <v>0</v>
      </c>
      <c r="K564" s="10">
        <f t="shared" si="181"/>
        <v>0</v>
      </c>
      <c r="L564" s="10">
        <f t="shared" si="181"/>
        <v>0</v>
      </c>
      <c r="M564" s="10">
        <f t="shared" si="181"/>
        <v>956186.69</v>
      </c>
      <c r="N564" s="64"/>
      <c r="O564" s="81"/>
    </row>
    <row r="565" spans="1:15" s="23" customFormat="1" ht="102" customHeight="1" x14ac:dyDescent="0.45">
      <c r="A565" s="22"/>
      <c r="B565" s="22"/>
      <c r="C565" s="11"/>
      <c r="D565" s="21" t="s">
        <v>656</v>
      </c>
      <c r="E565" s="21"/>
      <c r="F565" s="22"/>
      <c r="G565" s="133"/>
      <c r="H565" s="134"/>
      <c r="I565" s="13">
        <f>I567+I576</f>
        <v>937420.38</v>
      </c>
      <c r="J565" s="13">
        <f t="shared" si="181"/>
        <v>0</v>
      </c>
      <c r="K565" s="13">
        <f t="shared" si="181"/>
        <v>0</v>
      </c>
      <c r="L565" s="13">
        <f t="shared" si="181"/>
        <v>0</v>
      </c>
      <c r="M565" s="13">
        <f t="shared" si="181"/>
        <v>937420.38</v>
      </c>
      <c r="N565" s="134"/>
      <c r="O565" s="82"/>
    </row>
    <row r="566" spans="1:15" s="18" customFormat="1" ht="43" customHeight="1" x14ac:dyDescent="0.45">
      <c r="A566" s="7"/>
      <c r="B566" s="7"/>
      <c r="C566" s="17"/>
      <c r="D566" s="9"/>
      <c r="E566" s="21" t="s">
        <v>665</v>
      </c>
      <c r="F566" s="7"/>
      <c r="G566" s="63"/>
      <c r="H566" s="64"/>
      <c r="I566" s="13">
        <f>I568+I569+I570+I571+I572+I573</f>
        <v>153402.93</v>
      </c>
      <c r="J566" s="13">
        <f t="shared" ref="J566:M566" si="182">J568+J569+J570+J571+J572+J573</f>
        <v>0</v>
      </c>
      <c r="K566" s="13">
        <f t="shared" si="182"/>
        <v>0</v>
      </c>
      <c r="L566" s="13">
        <f t="shared" si="182"/>
        <v>0</v>
      </c>
      <c r="M566" s="13">
        <f t="shared" si="182"/>
        <v>153402.93</v>
      </c>
      <c r="N566" s="64"/>
      <c r="O566" s="81"/>
    </row>
    <row r="567" spans="1:15" s="91" customFormat="1" ht="76" customHeight="1" x14ac:dyDescent="0.35">
      <c r="A567" s="86"/>
      <c r="B567" s="86"/>
      <c r="C567" s="87"/>
      <c r="D567" s="98"/>
      <c r="E567" s="130" t="s">
        <v>656</v>
      </c>
      <c r="F567" s="86"/>
      <c r="G567" s="135"/>
      <c r="H567" s="136"/>
      <c r="I567" s="131">
        <f>I568+I569+I570+I571+I572+I574</f>
        <v>152636.62</v>
      </c>
      <c r="J567" s="131">
        <f t="shared" ref="J567:M567" si="183">J568+J569+J570+J571+J572+J574</f>
        <v>0</v>
      </c>
      <c r="K567" s="131">
        <f t="shared" si="183"/>
        <v>0</v>
      </c>
      <c r="L567" s="131">
        <f t="shared" si="183"/>
        <v>0</v>
      </c>
      <c r="M567" s="131">
        <f t="shared" si="183"/>
        <v>152636.62</v>
      </c>
      <c r="N567" s="136"/>
      <c r="O567" s="90"/>
    </row>
    <row r="568" spans="1:15" s="18" customFormat="1" ht="72.650000000000006" customHeight="1" x14ac:dyDescent="0.45">
      <c r="A568" s="7"/>
      <c r="B568" s="7"/>
      <c r="C568" s="17"/>
      <c r="D568" s="9"/>
      <c r="E568" s="35" t="s">
        <v>473</v>
      </c>
      <c r="F568" s="8" t="s">
        <v>49</v>
      </c>
      <c r="G568" s="62">
        <v>300000</v>
      </c>
      <c r="H568" s="50">
        <v>94.6</v>
      </c>
      <c r="I568" s="31">
        <v>16232.01</v>
      </c>
      <c r="J568" s="31"/>
      <c r="K568" s="31"/>
      <c r="L568" s="31">
        <f t="shared" ref="L568:L573" si="184">J568+K568</f>
        <v>0</v>
      </c>
      <c r="M568" s="31">
        <f t="shared" ref="M568:M573" si="185">I568+L568</f>
        <v>16232.01</v>
      </c>
      <c r="N568" s="92">
        <v>100</v>
      </c>
      <c r="O568" s="81"/>
    </row>
    <row r="569" spans="1:15" s="18" customFormat="1" ht="70.5" customHeight="1" x14ac:dyDescent="0.45">
      <c r="A569" s="7"/>
      <c r="B569" s="7"/>
      <c r="C569" s="17"/>
      <c r="D569" s="9"/>
      <c r="E569" s="35" t="s">
        <v>475</v>
      </c>
      <c r="F569" s="8" t="s">
        <v>49</v>
      </c>
      <c r="G569" s="62">
        <v>1450000</v>
      </c>
      <c r="H569" s="50">
        <v>97.8</v>
      </c>
      <c r="I569" s="31">
        <v>32027.54</v>
      </c>
      <c r="J569" s="31"/>
      <c r="K569" s="31"/>
      <c r="L569" s="31">
        <f t="shared" si="184"/>
        <v>0</v>
      </c>
      <c r="M569" s="31">
        <f t="shared" si="185"/>
        <v>32027.54</v>
      </c>
      <c r="N569" s="92">
        <v>100</v>
      </c>
      <c r="O569" s="81"/>
    </row>
    <row r="570" spans="1:15" s="18" customFormat="1" ht="64" customHeight="1" x14ac:dyDescent="0.45">
      <c r="A570" s="7"/>
      <c r="B570" s="7"/>
      <c r="C570" s="17"/>
      <c r="D570" s="9"/>
      <c r="E570" s="35" t="s">
        <v>476</v>
      </c>
      <c r="F570" s="8" t="s">
        <v>49</v>
      </c>
      <c r="G570" s="62">
        <v>180000</v>
      </c>
      <c r="H570" s="50">
        <v>85</v>
      </c>
      <c r="I570" s="31">
        <v>27003.66</v>
      </c>
      <c r="J570" s="31"/>
      <c r="K570" s="31"/>
      <c r="L570" s="31">
        <f t="shared" si="184"/>
        <v>0</v>
      </c>
      <c r="M570" s="31">
        <f t="shared" si="185"/>
        <v>27003.66</v>
      </c>
      <c r="N570" s="92">
        <v>100</v>
      </c>
      <c r="O570" s="81"/>
    </row>
    <row r="571" spans="1:15" s="18" customFormat="1" ht="75.650000000000006" customHeight="1" x14ac:dyDescent="0.45">
      <c r="A571" s="7"/>
      <c r="B571" s="7"/>
      <c r="C571" s="17"/>
      <c r="D571" s="9"/>
      <c r="E571" s="35" t="s">
        <v>477</v>
      </c>
      <c r="F571" s="8" t="s">
        <v>49</v>
      </c>
      <c r="G571" s="62">
        <v>374000</v>
      </c>
      <c r="H571" s="50">
        <v>94.2</v>
      </c>
      <c r="I571" s="31">
        <v>21615.88</v>
      </c>
      <c r="J571" s="31"/>
      <c r="K571" s="31"/>
      <c r="L571" s="31">
        <f t="shared" si="184"/>
        <v>0</v>
      </c>
      <c r="M571" s="31">
        <f t="shared" si="185"/>
        <v>21615.88</v>
      </c>
      <c r="N571" s="92">
        <v>100</v>
      </c>
      <c r="O571" s="81"/>
    </row>
    <row r="572" spans="1:15" s="18" customFormat="1" ht="84.65" customHeight="1" x14ac:dyDescent="0.45">
      <c r="A572" s="7"/>
      <c r="B572" s="7"/>
      <c r="C572" s="17"/>
      <c r="D572" s="9"/>
      <c r="E572" s="35" t="s">
        <v>478</v>
      </c>
      <c r="F572" s="8" t="s">
        <v>49</v>
      </c>
      <c r="G572" s="62">
        <v>250000</v>
      </c>
      <c r="H572" s="50">
        <v>87.5</v>
      </c>
      <c r="I572" s="31">
        <v>31157.67</v>
      </c>
      <c r="J572" s="31"/>
      <c r="K572" s="31"/>
      <c r="L572" s="31">
        <f t="shared" si="184"/>
        <v>0</v>
      </c>
      <c r="M572" s="31">
        <f t="shared" si="185"/>
        <v>31157.67</v>
      </c>
      <c r="N572" s="92">
        <v>100</v>
      </c>
      <c r="O572" s="81"/>
    </row>
    <row r="573" spans="1:15" s="18" customFormat="1" ht="90" x14ac:dyDescent="0.45">
      <c r="A573" s="7"/>
      <c r="B573" s="7"/>
      <c r="C573" s="17"/>
      <c r="D573" s="9"/>
      <c r="E573" s="35" t="s">
        <v>671</v>
      </c>
      <c r="F573" s="8" t="s">
        <v>39</v>
      </c>
      <c r="G573" s="62">
        <v>182310</v>
      </c>
      <c r="H573" s="50">
        <v>86.1</v>
      </c>
      <c r="I573" s="31">
        <v>25366.17</v>
      </c>
      <c r="J573" s="31"/>
      <c r="K573" s="31"/>
      <c r="L573" s="31">
        <f t="shared" si="184"/>
        <v>0</v>
      </c>
      <c r="M573" s="31">
        <f t="shared" si="185"/>
        <v>25366.17</v>
      </c>
      <c r="N573" s="92">
        <v>100</v>
      </c>
      <c r="O573" s="81"/>
    </row>
    <row r="574" spans="1:15" s="142" customFormat="1" ht="62" x14ac:dyDescent="0.35">
      <c r="A574" s="126"/>
      <c r="B574" s="126"/>
      <c r="C574" s="137"/>
      <c r="D574" s="130"/>
      <c r="E574" s="85" t="s">
        <v>656</v>
      </c>
      <c r="F574" s="138"/>
      <c r="G574" s="139"/>
      <c r="H574" s="140"/>
      <c r="I574" s="89">
        <v>24599.86</v>
      </c>
      <c r="J574" s="89"/>
      <c r="K574" s="89"/>
      <c r="L574" s="89">
        <f>J574+K574</f>
        <v>0</v>
      </c>
      <c r="M574" s="89">
        <f>I574+L574</f>
        <v>24599.86</v>
      </c>
      <c r="N574" s="140"/>
      <c r="O574" s="141"/>
    </row>
    <row r="575" spans="1:15" s="18" customFormat="1" ht="53" customHeight="1" x14ac:dyDescent="0.45">
      <c r="A575" s="7"/>
      <c r="B575" s="7"/>
      <c r="C575" s="17"/>
      <c r="D575" s="9"/>
      <c r="E575" s="21" t="s">
        <v>666</v>
      </c>
      <c r="F575" s="7"/>
      <c r="G575" s="63"/>
      <c r="H575" s="64"/>
      <c r="I575" s="13">
        <f>I577+I578+I579+I580+I581</f>
        <v>802783.76</v>
      </c>
      <c r="J575" s="13">
        <f t="shared" ref="J575:M575" si="186">J577+J578+J579+J580+J581</f>
        <v>0</v>
      </c>
      <c r="K575" s="13">
        <f t="shared" si="186"/>
        <v>0</v>
      </c>
      <c r="L575" s="13">
        <f t="shared" si="186"/>
        <v>0</v>
      </c>
      <c r="M575" s="13">
        <f t="shared" si="186"/>
        <v>802783.76</v>
      </c>
      <c r="N575" s="64"/>
      <c r="O575" s="81"/>
    </row>
    <row r="576" spans="1:15" s="18" customFormat="1" ht="69" customHeight="1" x14ac:dyDescent="0.45">
      <c r="A576" s="7"/>
      <c r="B576" s="7"/>
      <c r="C576" s="17"/>
      <c r="D576" s="9"/>
      <c r="E576" s="130" t="s">
        <v>656</v>
      </c>
      <c r="F576" s="7"/>
      <c r="G576" s="63"/>
      <c r="H576" s="64"/>
      <c r="I576" s="131">
        <f>I577+I578+I579+I580+I582</f>
        <v>784783.76</v>
      </c>
      <c r="J576" s="131">
        <f t="shared" ref="J576:M576" si="187">J577+J578+J579+J580+J582</f>
        <v>0</v>
      </c>
      <c r="K576" s="131">
        <f t="shared" si="187"/>
        <v>0</v>
      </c>
      <c r="L576" s="131">
        <f t="shared" si="187"/>
        <v>0</v>
      </c>
      <c r="M576" s="131">
        <f t="shared" si="187"/>
        <v>784783.76</v>
      </c>
      <c r="N576" s="64"/>
      <c r="O576" s="81"/>
    </row>
    <row r="577" spans="1:15" s="18" customFormat="1" ht="69" customHeight="1" x14ac:dyDescent="0.45">
      <c r="A577" s="7"/>
      <c r="B577" s="7"/>
      <c r="C577" s="17"/>
      <c r="D577" s="9"/>
      <c r="E577" s="35" t="s">
        <v>471</v>
      </c>
      <c r="F577" s="8">
        <v>2020</v>
      </c>
      <c r="G577" s="62">
        <v>336000</v>
      </c>
      <c r="H577" s="50"/>
      <c r="I577" s="31">
        <v>336000</v>
      </c>
      <c r="J577" s="31"/>
      <c r="K577" s="31"/>
      <c r="L577" s="31">
        <f t="shared" ref="L577:L581" si="188">J577+K577</f>
        <v>0</v>
      </c>
      <c r="M577" s="31">
        <f t="shared" ref="M577:M581" si="189">I577+L577</f>
        <v>336000</v>
      </c>
      <c r="N577" s="92">
        <v>100</v>
      </c>
      <c r="O577" s="81"/>
    </row>
    <row r="578" spans="1:15" s="18" customFormat="1" ht="74.150000000000006" customHeight="1" x14ac:dyDescent="0.45">
      <c r="A578" s="7"/>
      <c r="B578" s="7"/>
      <c r="C578" s="17"/>
      <c r="D578" s="9"/>
      <c r="E578" s="35" t="s">
        <v>472</v>
      </c>
      <c r="F578" s="8">
        <v>2020</v>
      </c>
      <c r="G578" s="62">
        <v>300000</v>
      </c>
      <c r="H578" s="50"/>
      <c r="I578" s="31">
        <v>300000</v>
      </c>
      <c r="J578" s="31"/>
      <c r="K578" s="31"/>
      <c r="L578" s="31">
        <f t="shared" si="188"/>
        <v>0</v>
      </c>
      <c r="M578" s="31">
        <f t="shared" si="189"/>
        <v>300000</v>
      </c>
      <c r="N578" s="92">
        <v>100</v>
      </c>
      <c r="O578" s="81"/>
    </row>
    <row r="579" spans="1:15" s="18" customFormat="1" ht="72" x14ac:dyDescent="0.45">
      <c r="A579" s="7"/>
      <c r="B579" s="7"/>
      <c r="C579" s="17"/>
      <c r="D579" s="9"/>
      <c r="E579" s="35" t="s">
        <v>474</v>
      </c>
      <c r="F579" s="8" t="s">
        <v>49</v>
      </c>
      <c r="G579" s="62">
        <v>1403000</v>
      </c>
      <c r="H579" s="50">
        <v>93.2</v>
      </c>
      <c r="I579" s="31">
        <v>95919.71</v>
      </c>
      <c r="J579" s="31"/>
      <c r="K579" s="31"/>
      <c r="L579" s="31">
        <f t="shared" si="188"/>
        <v>0</v>
      </c>
      <c r="M579" s="31">
        <f t="shared" si="189"/>
        <v>95919.71</v>
      </c>
      <c r="N579" s="92">
        <v>100</v>
      </c>
      <c r="O579" s="81"/>
    </row>
    <row r="580" spans="1:15" s="18" customFormat="1" ht="66.650000000000006" customHeight="1" x14ac:dyDescent="0.45">
      <c r="A580" s="7"/>
      <c r="B580" s="7"/>
      <c r="C580" s="17"/>
      <c r="D580" s="9"/>
      <c r="E580" s="35" t="s">
        <v>479</v>
      </c>
      <c r="F580" s="8" t="s">
        <v>49</v>
      </c>
      <c r="G580" s="62">
        <v>618000</v>
      </c>
      <c r="H580" s="50">
        <v>96.8</v>
      </c>
      <c r="I580" s="31">
        <v>19692.8</v>
      </c>
      <c r="J580" s="31"/>
      <c r="K580" s="31"/>
      <c r="L580" s="31">
        <f t="shared" si="188"/>
        <v>0</v>
      </c>
      <c r="M580" s="31">
        <f t="shared" si="189"/>
        <v>19692.8</v>
      </c>
      <c r="N580" s="92">
        <v>100</v>
      </c>
      <c r="O580" s="81"/>
    </row>
    <row r="581" spans="1:15" s="18" customFormat="1" ht="70.5" customHeight="1" x14ac:dyDescent="0.45">
      <c r="A581" s="7"/>
      <c r="B581" s="7"/>
      <c r="C581" s="17"/>
      <c r="D581" s="9"/>
      <c r="E581" s="35" t="s">
        <v>672</v>
      </c>
      <c r="F581" s="8" t="s">
        <v>39</v>
      </c>
      <c r="G581" s="62">
        <v>618000</v>
      </c>
      <c r="H581" s="50">
        <v>91.7</v>
      </c>
      <c r="I581" s="31">
        <v>51171.25</v>
      </c>
      <c r="J581" s="31"/>
      <c r="K581" s="31"/>
      <c r="L581" s="31">
        <f t="shared" si="188"/>
        <v>0</v>
      </c>
      <c r="M581" s="31">
        <f t="shared" si="189"/>
        <v>51171.25</v>
      </c>
      <c r="N581" s="92">
        <v>100</v>
      </c>
      <c r="O581" s="81"/>
    </row>
    <row r="582" spans="1:15" s="142" customFormat="1" ht="62" x14ac:dyDescent="0.35">
      <c r="A582" s="126"/>
      <c r="B582" s="126"/>
      <c r="C582" s="137"/>
      <c r="D582" s="130"/>
      <c r="E582" s="85" t="s">
        <v>656</v>
      </c>
      <c r="F582" s="126"/>
      <c r="G582" s="143"/>
      <c r="H582" s="144"/>
      <c r="I582" s="89">
        <v>33171.25</v>
      </c>
      <c r="J582" s="131"/>
      <c r="K582" s="89"/>
      <c r="L582" s="89">
        <f>J582+K582</f>
        <v>0</v>
      </c>
      <c r="M582" s="89">
        <f>I582+L582</f>
        <v>33171.25</v>
      </c>
      <c r="N582" s="144"/>
      <c r="O582" s="141"/>
    </row>
    <row r="583" spans="1:15" s="18" customFormat="1" ht="52" customHeight="1" x14ac:dyDescent="0.45">
      <c r="A583" s="7">
        <v>1217670</v>
      </c>
      <c r="B583" s="7">
        <v>7670</v>
      </c>
      <c r="C583" s="17" t="s">
        <v>100</v>
      </c>
      <c r="D583" s="9" t="s">
        <v>101</v>
      </c>
      <c r="E583" s="9" t="s">
        <v>309</v>
      </c>
      <c r="F583" s="7"/>
      <c r="G583" s="63"/>
      <c r="H583" s="64"/>
      <c r="I583" s="10">
        <v>17042330</v>
      </c>
      <c r="J583" s="10"/>
      <c r="K583" s="10">
        <v>-10000000</v>
      </c>
      <c r="L583" s="10">
        <f>K583+J583</f>
        <v>-10000000</v>
      </c>
      <c r="M583" s="10">
        <f>I583+L583</f>
        <v>7042330</v>
      </c>
      <c r="N583" s="64"/>
      <c r="O583" s="81"/>
    </row>
    <row r="584" spans="1:15" s="18" customFormat="1" ht="59.5" customHeight="1" x14ac:dyDescent="0.45">
      <c r="A584" s="7">
        <v>1219770</v>
      </c>
      <c r="B584" s="7">
        <v>9770</v>
      </c>
      <c r="C584" s="17" t="s">
        <v>165</v>
      </c>
      <c r="D584" s="9" t="s">
        <v>166</v>
      </c>
      <c r="E584" s="21" t="s">
        <v>180</v>
      </c>
      <c r="F584" s="7"/>
      <c r="G584" s="63"/>
      <c r="H584" s="64"/>
      <c r="I584" s="10">
        <v>7632000</v>
      </c>
      <c r="J584" s="10"/>
      <c r="K584" s="10"/>
      <c r="L584" s="10">
        <f>K584+J584</f>
        <v>0</v>
      </c>
      <c r="M584" s="10">
        <f>I584+L584</f>
        <v>7632000</v>
      </c>
      <c r="N584" s="64"/>
      <c r="O584" s="81"/>
    </row>
    <row r="585" spans="1:15" s="14" customFormat="1" ht="68.5" customHeight="1" x14ac:dyDescent="0.45">
      <c r="A585" s="39" t="s">
        <v>167</v>
      </c>
      <c r="B585" s="45"/>
      <c r="C585" s="45"/>
      <c r="D585" s="41" t="s">
        <v>168</v>
      </c>
      <c r="E585" s="35"/>
      <c r="F585" s="8"/>
      <c r="G585" s="62"/>
      <c r="H585" s="50"/>
      <c r="I585" s="10">
        <f t="shared" ref="I585:M586" si="190">I586</f>
        <v>160000</v>
      </c>
      <c r="J585" s="10">
        <f t="shared" si="190"/>
        <v>0</v>
      </c>
      <c r="K585" s="10">
        <f t="shared" si="190"/>
        <v>0</v>
      </c>
      <c r="L585" s="10">
        <f t="shared" si="190"/>
        <v>0</v>
      </c>
      <c r="M585" s="10">
        <f t="shared" si="190"/>
        <v>160000</v>
      </c>
      <c r="N585" s="50"/>
      <c r="O585" s="81"/>
    </row>
    <row r="586" spans="1:15" s="14" customFormat="1" ht="69.650000000000006" customHeight="1" x14ac:dyDescent="0.45">
      <c r="A586" s="40" t="s">
        <v>169</v>
      </c>
      <c r="B586" s="46"/>
      <c r="C586" s="46"/>
      <c r="D586" s="42" t="s">
        <v>168</v>
      </c>
      <c r="E586" s="35"/>
      <c r="F586" s="8"/>
      <c r="G586" s="62"/>
      <c r="H586" s="50"/>
      <c r="I586" s="13">
        <f t="shared" si="190"/>
        <v>160000</v>
      </c>
      <c r="J586" s="13">
        <f t="shared" si="190"/>
        <v>0</v>
      </c>
      <c r="K586" s="13">
        <f>K587</f>
        <v>0</v>
      </c>
      <c r="L586" s="13">
        <f t="shared" si="190"/>
        <v>0</v>
      </c>
      <c r="M586" s="13">
        <f t="shared" si="190"/>
        <v>160000</v>
      </c>
      <c r="N586" s="50"/>
      <c r="O586" s="81"/>
    </row>
    <row r="587" spans="1:15" s="18" customFormat="1" ht="113.5" customHeight="1" x14ac:dyDescent="0.45">
      <c r="A587" s="7">
        <v>1410160</v>
      </c>
      <c r="B587" s="17" t="s">
        <v>80</v>
      </c>
      <c r="C587" s="17" t="s">
        <v>78</v>
      </c>
      <c r="D587" s="9" t="s">
        <v>79</v>
      </c>
      <c r="E587" s="21" t="s">
        <v>176</v>
      </c>
      <c r="F587" s="7"/>
      <c r="G587" s="63"/>
      <c r="H587" s="64"/>
      <c r="I587" s="10">
        <v>160000</v>
      </c>
      <c r="J587" s="10"/>
      <c r="K587" s="10"/>
      <c r="L587" s="10">
        <f>K587+J587</f>
        <v>0</v>
      </c>
      <c r="M587" s="10">
        <f>I587+L587</f>
        <v>160000</v>
      </c>
      <c r="N587" s="64"/>
      <c r="O587" s="81"/>
    </row>
    <row r="588" spans="1:15" s="5" customFormat="1" ht="83.15" customHeight="1" x14ac:dyDescent="0.45">
      <c r="A588" s="7">
        <v>1500000</v>
      </c>
      <c r="B588" s="8"/>
      <c r="C588" s="8"/>
      <c r="D588" s="9" t="s">
        <v>0</v>
      </c>
      <c r="E588" s="8"/>
      <c r="F588" s="31"/>
      <c r="G588" s="31"/>
      <c r="H588" s="31"/>
      <c r="I588" s="10">
        <f>I589</f>
        <v>159717220</v>
      </c>
      <c r="J588" s="10">
        <f t="shared" ref="J588:M588" si="191">J589</f>
        <v>558946</v>
      </c>
      <c r="K588" s="10">
        <f t="shared" si="191"/>
        <v>43400000</v>
      </c>
      <c r="L588" s="10">
        <f t="shared" si="191"/>
        <v>43958946</v>
      </c>
      <c r="M588" s="10">
        <f t="shared" si="191"/>
        <v>203676166</v>
      </c>
      <c r="N588" s="8"/>
      <c r="O588" s="81"/>
    </row>
    <row r="589" spans="1:15" s="65" customFormat="1" ht="89.15" customHeight="1" x14ac:dyDescent="0.45">
      <c r="A589" s="22">
        <v>1510000</v>
      </c>
      <c r="B589" s="38"/>
      <c r="C589" s="38"/>
      <c r="D589" s="21" t="s">
        <v>673</v>
      </c>
      <c r="E589" s="38"/>
      <c r="F589" s="37"/>
      <c r="G589" s="37"/>
      <c r="H589" s="37"/>
      <c r="I589" s="13">
        <f>I668+I674+I679+I689+I727+I591+I725+I684+I723</f>
        <v>159717220</v>
      </c>
      <c r="J589" s="13">
        <f>J668+J674+J679+J689+J727+J591+J725+J684+J723</f>
        <v>558946</v>
      </c>
      <c r="K589" s="13">
        <f>K668+K674+K679+K689+K727+K591+K725+K684+K723</f>
        <v>43400000</v>
      </c>
      <c r="L589" s="13">
        <f>L668+L674+L679+L689+L727+L591+L725+L684+L723</f>
        <v>43958946</v>
      </c>
      <c r="M589" s="13">
        <f>M668+M674+M679+M689+M727+M591+M725+M684+M723</f>
        <v>203676166</v>
      </c>
      <c r="N589" s="13"/>
      <c r="O589" s="81"/>
    </row>
    <row r="590" spans="1:15" s="75" customFormat="1" ht="26.5" customHeight="1" x14ac:dyDescent="0.45">
      <c r="A590" s="22"/>
      <c r="B590" s="22"/>
      <c r="C590" s="22"/>
      <c r="D590" s="21" t="s">
        <v>669</v>
      </c>
      <c r="E590" s="21"/>
      <c r="F590" s="13"/>
      <c r="G590" s="13"/>
      <c r="H590" s="13"/>
      <c r="I590" s="13">
        <f>I729</f>
        <v>44062207</v>
      </c>
      <c r="J590" s="13">
        <f t="shared" ref="J590:M590" si="192">J729</f>
        <v>0</v>
      </c>
      <c r="K590" s="13">
        <f t="shared" si="192"/>
        <v>0</v>
      </c>
      <c r="L590" s="13">
        <f t="shared" si="192"/>
        <v>0</v>
      </c>
      <c r="M590" s="13">
        <f t="shared" si="192"/>
        <v>44062207</v>
      </c>
      <c r="N590" s="13"/>
      <c r="O590" s="80"/>
    </row>
    <row r="591" spans="1:15" s="18" customFormat="1" ht="51" customHeight="1" x14ac:dyDescent="0.45">
      <c r="A591" s="7">
        <v>1516030</v>
      </c>
      <c r="B591" s="7">
        <v>6030</v>
      </c>
      <c r="C591" s="17" t="s">
        <v>158</v>
      </c>
      <c r="D591" s="47" t="s">
        <v>161</v>
      </c>
      <c r="E591" s="21" t="s">
        <v>175</v>
      </c>
      <c r="F591" s="7"/>
      <c r="G591" s="36"/>
      <c r="H591" s="7"/>
      <c r="I591" s="10">
        <f>SUM(I592:I667)</f>
        <v>15454000</v>
      </c>
      <c r="J591" s="10">
        <f>SUM(J592:J667)</f>
        <v>622556</v>
      </c>
      <c r="K591" s="10">
        <f>SUM(K592:K667)</f>
        <v>30500000</v>
      </c>
      <c r="L591" s="10">
        <f>SUM(L592:L667)</f>
        <v>31122556</v>
      </c>
      <c r="M591" s="10">
        <f>SUM(M592:M667)</f>
        <v>46576556</v>
      </c>
      <c r="N591" s="7"/>
      <c r="O591" s="81"/>
    </row>
    <row r="592" spans="1:15" s="14" customFormat="1" ht="53.15" customHeight="1" x14ac:dyDescent="0.45">
      <c r="A592" s="8"/>
      <c r="B592" s="8"/>
      <c r="C592" s="34"/>
      <c r="D592" s="35"/>
      <c r="E592" s="35" t="s">
        <v>580</v>
      </c>
      <c r="F592" s="8">
        <v>2020</v>
      </c>
      <c r="G592" s="62">
        <v>1558542</v>
      </c>
      <c r="H592" s="50"/>
      <c r="I592" s="31">
        <v>1500000</v>
      </c>
      <c r="J592" s="31"/>
      <c r="K592" s="31"/>
      <c r="L592" s="31">
        <f>J592+K592</f>
        <v>0</v>
      </c>
      <c r="M592" s="31">
        <f>I592+L592</f>
        <v>1500000</v>
      </c>
      <c r="N592" s="50">
        <v>96.2</v>
      </c>
      <c r="O592" s="111"/>
    </row>
    <row r="593" spans="1:15" s="14" customFormat="1" ht="53.15" customHeight="1" x14ac:dyDescent="0.45">
      <c r="A593" s="8"/>
      <c r="B593" s="8"/>
      <c r="C593" s="34"/>
      <c r="D593" s="35"/>
      <c r="E593" s="35" t="s">
        <v>632</v>
      </c>
      <c r="F593" s="8">
        <v>2020</v>
      </c>
      <c r="G593" s="62"/>
      <c r="H593" s="50"/>
      <c r="I593" s="31"/>
      <c r="J593" s="31"/>
      <c r="K593" s="31">
        <v>500000</v>
      </c>
      <c r="L593" s="31">
        <f>J593+K593</f>
        <v>500000</v>
      </c>
      <c r="M593" s="31">
        <f>I593+L593</f>
        <v>500000</v>
      </c>
      <c r="N593" s="50"/>
      <c r="O593" s="111"/>
    </row>
    <row r="594" spans="1:15" s="14" customFormat="1" ht="101.15" customHeight="1" x14ac:dyDescent="0.45">
      <c r="A594" s="8"/>
      <c r="B594" s="8"/>
      <c r="C594" s="34"/>
      <c r="D594" s="47"/>
      <c r="E594" s="35" t="s">
        <v>378</v>
      </c>
      <c r="F594" s="8" t="s">
        <v>49</v>
      </c>
      <c r="G594" s="62">
        <v>6264448</v>
      </c>
      <c r="H594" s="50">
        <v>74.7</v>
      </c>
      <c r="I594" s="31">
        <v>1412160</v>
      </c>
      <c r="J594" s="31">
        <v>622556</v>
      </c>
      <c r="K594" s="31"/>
      <c r="L594" s="31">
        <f t="shared" ref="L594:L666" si="193">J594+K594</f>
        <v>622556</v>
      </c>
      <c r="M594" s="31">
        <f t="shared" ref="M594:M666" si="194">I594+L594</f>
        <v>2034716</v>
      </c>
      <c r="N594" s="92">
        <v>100</v>
      </c>
      <c r="O594" s="111"/>
    </row>
    <row r="595" spans="1:15" s="14" customFormat="1" ht="87" customHeight="1" x14ac:dyDescent="0.45">
      <c r="A595" s="8"/>
      <c r="B595" s="8"/>
      <c r="C595" s="34"/>
      <c r="D595" s="35"/>
      <c r="E595" s="35" t="s">
        <v>408</v>
      </c>
      <c r="F595" s="8">
        <v>2020</v>
      </c>
      <c r="G595" s="62">
        <v>1559838</v>
      </c>
      <c r="H595" s="50"/>
      <c r="I595" s="31">
        <f>40000+1560000-1460000</f>
        <v>140000</v>
      </c>
      <c r="J595" s="31"/>
      <c r="K595" s="31">
        <f>1460000-40162</f>
        <v>1419838</v>
      </c>
      <c r="L595" s="31">
        <f t="shared" si="193"/>
        <v>1419838</v>
      </c>
      <c r="M595" s="31">
        <f t="shared" si="194"/>
        <v>1559838</v>
      </c>
      <c r="N595" s="92">
        <v>100</v>
      </c>
      <c r="O595" s="111"/>
    </row>
    <row r="596" spans="1:15" s="14" customFormat="1" ht="87" customHeight="1" x14ac:dyDescent="0.45">
      <c r="A596" s="8"/>
      <c r="B596" s="8"/>
      <c r="C596" s="34"/>
      <c r="D596" s="35"/>
      <c r="E596" s="35" t="s">
        <v>579</v>
      </c>
      <c r="F596" s="8">
        <v>2020</v>
      </c>
      <c r="G596" s="62">
        <v>80015</v>
      </c>
      <c r="H596" s="50"/>
      <c r="I596" s="31">
        <v>80000</v>
      </c>
      <c r="J596" s="31"/>
      <c r="K596" s="31"/>
      <c r="L596" s="31">
        <f t="shared" si="193"/>
        <v>0</v>
      </c>
      <c r="M596" s="31">
        <f t="shared" si="194"/>
        <v>80000</v>
      </c>
      <c r="N596" s="92">
        <v>100</v>
      </c>
      <c r="O596" s="111"/>
    </row>
    <row r="597" spans="1:15" s="14" customFormat="1" ht="72" customHeight="1" x14ac:dyDescent="0.45">
      <c r="A597" s="8"/>
      <c r="B597" s="8"/>
      <c r="C597" s="34"/>
      <c r="D597" s="35"/>
      <c r="E597" s="35" t="s">
        <v>412</v>
      </c>
      <c r="F597" s="8">
        <v>2020</v>
      </c>
      <c r="G597" s="62">
        <v>1561766</v>
      </c>
      <c r="H597" s="50"/>
      <c r="I597" s="31">
        <v>40000</v>
      </c>
      <c r="J597" s="31"/>
      <c r="K597" s="31"/>
      <c r="L597" s="31">
        <f t="shared" si="193"/>
        <v>0</v>
      </c>
      <c r="M597" s="31">
        <f t="shared" si="194"/>
        <v>40000</v>
      </c>
      <c r="N597" s="50">
        <v>2.6</v>
      </c>
      <c r="O597" s="111"/>
    </row>
    <row r="598" spans="1:15" s="14" customFormat="1" ht="65.150000000000006" customHeight="1" x14ac:dyDescent="0.45">
      <c r="A598" s="8"/>
      <c r="B598" s="8"/>
      <c r="C598" s="34"/>
      <c r="D598" s="35"/>
      <c r="E598" s="35" t="s">
        <v>413</v>
      </c>
      <c r="F598" s="8">
        <v>2020</v>
      </c>
      <c r="G598" s="62">
        <v>1229213</v>
      </c>
      <c r="H598" s="50"/>
      <c r="I598" s="31">
        <v>40000</v>
      </c>
      <c r="J598" s="31"/>
      <c r="K598" s="31"/>
      <c r="L598" s="31">
        <f t="shared" si="193"/>
        <v>0</v>
      </c>
      <c r="M598" s="31">
        <f t="shared" si="194"/>
        <v>40000</v>
      </c>
      <c r="N598" s="50">
        <v>3.3</v>
      </c>
      <c r="O598" s="111"/>
    </row>
    <row r="599" spans="1:15" s="14" customFormat="1" ht="70" customHeight="1" x14ac:dyDescent="0.45">
      <c r="A599" s="8"/>
      <c r="B599" s="8"/>
      <c r="C599" s="34"/>
      <c r="D599" s="35"/>
      <c r="E599" s="35" t="s">
        <v>411</v>
      </c>
      <c r="F599" s="8">
        <v>2020</v>
      </c>
      <c r="G599" s="62">
        <v>1224058</v>
      </c>
      <c r="H599" s="50"/>
      <c r="I599" s="31">
        <v>40000</v>
      </c>
      <c r="J599" s="31"/>
      <c r="K599" s="31">
        <v>500000</v>
      </c>
      <c r="L599" s="31">
        <f t="shared" si="193"/>
        <v>500000</v>
      </c>
      <c r="M599" s="31">
        <f t="shared" si="194"/>
        <v>540000</v>
      </c>
      <c r="N599" s="50">
        <v>44.1</v>
      </c>
      <c r="O599" s="111"/>
    </row>
    <row r="600" spans="1:15" s="14" customFormat="1" ht="70" customHeight="1" x14ac:dyDescent="0.45">
      <c r="A600" s="8"/>
      <c r="B600" s="8"/>
      <c r="C600" s="34"/>
      <c r="D600" s="35"/>
      <c r="E600" s="35" t="s">
        <v>482</v>
      </c>
      <c r="F600" s="8" t="s">
        <v>51</v>
      </c>
      <c r="G600" s="62">
        <v>2941267</v>
      </c>
      <c r="H600" s="50">
        <v>1.9</v>
      </c>
      <c r="I600" s="31">
        <f>40000+1435000</f>
        <v>1475000</v>
      </c>
      <c r="J600" s="31"/>
      <c r="K600" s="31"/>
      <c r="L600" s="31">
        <f t="shared" si="193"/>
        <v>0</v>
      </c>
      <c r="M600" s="31">
        <f t="shared" si="194"/>
        <v>1475000</v>
      </c>
      <c r="N600" s="50">
        <v>52</v>
      </c>
      <c r="O600" s="111"/>
    </row>
    <row r="601" spans="1:15" s="14" customFormat="1" ht="70" customHeight="1" x14ac:dyDescent="0.45">
      <c r="A601" s="8"/>
      <c r="B601" s="8"/>
      <c r="C601" s="34"/>
      <c r="D601" s="35"/>
      <c r="E601" s="35" t="s">
        <v>517</v>
      </c>
      <c r="F601" s="8">
        <v>2020</v>
      </c>
      <c r="G601" s="62"/>
      <c r="H601" s="50"/>
      <c r="I601" s="31">
        <f>1337295-1286000</f>
        <v>51295</v>
      </c>
      <c r="J601" s="31"/>
      <c r="K601" s="31"/>
      <c r="L601" s="31">
        <f t="shared" si="193"/>
        <v>0</v>
      </c>
      <c r="M601" s="31">
        <f t="shared" si="194"/>
        <v>51295</v>
      </c>
      <c r="N601" s="50"/>
      <c r="O601" s="111"/>
    </row>
    <row r="602" spans="1:15" s="14" customFormat="1" ht="69" customHeight="1" x14ac:dyDescent="0.45">
      <c r="A602" s="8"/>
      <c r="B602" s="8"/>
      <c r="C602" s="34"/>
      <c r="D602" s="35"/>
      <c r="E602" s="35" t="s">
        <v>627</v>
      </c>
      <c r="F602" s="8">
        <v>2020</v>
      </c>
      <c r="G602" s="62">
        <v>1508288</v>
      </c>
      <c r="H602" s="50"/>
      <c r="I602" s="31">
        <f>40000+1112000-1050000</f>
        <v>102000</v>
      </c>
      <c r="J602" s="31"/>
      <c r="K602" s="31"/>
      <c r="L602" s="31">
        <f t="shared" si="193"/>
        <v>0</v>
      </c>
      <c r="M602" s="31">
        <f t="shared" si="194"/>
        <v>102000</v>
      </c>
      <c r="N602" s="50">
        <v>6.8</v>
      </c>
      <c r="O602" s="111"/>
    </row>
    <row r="603" spans="1:15" s="14" customFormat="1" ht="78" customHeight="1" x14ac:dyDescent="0.45">
      <c r="A603" s="8"/>
      <c r="B603" s="8"/>
      <c r="C603" s="34"/>
      <c r="D603" s="35"/>
      <c r="E603" s="35" t="s">
        <v>626</v>
      </c>
      <c r="F603" s="8">
        <v>2020</v>
      </c>
      <c r="G603" s="62">
        <v>1370503</v>
      </c>
      <c r="H603" s="50"/>
      <c r="I603" s="31">
        <f>40000+974000-924000</f>
        <v>90000</v>
      </c>
      <c r="J603" s="31"/>
      <c r="K603" s="31">
        <v>924000</v>
      </c>
      <c r="L603" s="31">
        <f t="shared" si="193"/>
        <v>924000</v>
      </c>
      <c r="M603" s="31">
        <f t="shared" si="194"/>
        <v>1014000</v>
      </c>
      <c r="N603" s="50">
        <v>74</v>
      </c>
      <c r="O603" s="111"/>
    </row>
    <row r="604" spans="1:15" s="14" customFormat="1" ht="71.150000000000006" customHeight="1" x14ac:dyDescent="0.45">
      <c r="A604" s="8"/>
      <c r="B604" s="8"/>
      <c r="C604" s="34"/>
      <c r="D604" s="35"/>
      <c r="E604" s="35" t="s">
        <v>622</v>
      </c>
      <c r="F604" s="8">
        <v>2020</v>
      </c>
      <c r="G604" s="62">
        <v>913975</v>
      </c>
      <c r="H604" s="50"/>
      <c r="I604" s="31">
        <f>40000+754000-704000</f>
        <v>90000</v>
      </c>
      <c r="J604" s="31"/>
      <c r="K604" s="31"/>
      <c r="L604" s="31">
        <f t="shared" si="193"/>
        <v>0</v>
      </c>
      <c r="M604" s="31">
        <f t="shared" si="194"/>
        <v>90000</v>
      </c>
      <c r="N604" s="50">
        <v>9.8000000000000007</v>
      </c>
      <c r="O604" s="111"/>
    </row>
    <row r="605" spans="1:15" s="14" customFormat="1" ht="74.150000000000006" customHeight="1" x14ac:dyDescent="0.45">
      <c r="A605" s="8"/>
      <c r="B605" s="8"/>
      <c r="C605" s="34"/>
      <c r="D605" s="35"/>
      <c r="E605" s="35" t="s">
        <v>623</v>
      </c>
      <c r="F605" s="8">
        <v>2020</v>
      </c>
      <c r="G605" s="62">
        <v>2203566</v>
      </c>
      <c r="H605" s="50"/>
      <c r="I605" s="31">
        <f>40000+5000+6000</f>
        <v>51000</v>
      </c>
      <c r="J605" s="31"/>
      <c r="K605" s="31"/>
      <c r="L605" s="31">
        <f t="shared" si="193"/>
        <v>0</v>
      </c>
      <c r="M605" s="31">
        <f t="shared" si="194"/>
        <v>51000</v>
      </c>
      <c r="N605" s="50">
        <v>2.2999999999999998</v>
      </c>
      <c r="O605" s="111"/>
    </row>
    <row r="606" spans="1:15" s="14" customFormat="1" ht="73" customHeight="1" x14ac:dyDescent="0.45">
      <c r="A606" s="8"/>
      <c r="B606" s="8"/>
      <c r="C606" s="34"/>
      <c r="D606" s="35"/>
      <c r="E606" s="35" t="s">
        <v>624</v>
      </c>
      <c r="F606" s="8">
        <v>2020</v>
      </c>
      <c r="G606" s="62">
        <v>1216520</v>
      </c>
      <c r="H606" s="50"/>
      <c r="I606" s="31">
        <f>40000-5000</f>
        <v>35000</v>
      </c>
      <c r="J606" s="31"/>
      <c r="K606" s="31"/>
      <c r="L606" s="31">
        <f t="shared" si="193"/>
        <v>0</v>
      </c>
      <c r="M606" s="31">
        <f t="shared" si="194"/>
        <v>35000</v>
      </c>
      <c r="N606" s="50">
        <v>2.9</v>
      </c>
      <c r="O606" s="111"/>
    </row>
    <row r="607" spans="1:15" s="14" customFormat="1" ht="74.150000000000006" customHeight="1" x14ac:dyDescent="0.45">
      <c r="A607" s="8"/>
      <c r="B607" s="8"/>
      <c r="C607" s="34"/>
      <c r="D607" s="35"/>
      <c r="E607" s="35" t="s">
        <v>625</v>
      </c>
      <c r="F607" s="8">
        <v>2020</v>
      </c>
      <c r="G607" s="62">
        <v>1062745</v>
      </c>
      <c r="H607" s="50"/>
      <c r="I607" s="31">
        <f>40000-5000</f>
        <v>35000</v>
      </c>
      <c r="J607" s="31"/>
      <c r="K607" s="31"/>
      <c r="L607" s="31">
        <f t="shared" si="193"/>
        <v>0</v>
      </c>
      <c r="M607" s="31">
        <f t="shared" si="194"/>
        <v>35000</v>
      </c>
      <c r="N607" s="50">
        <v>3.3</v>
      </c>
      <c r="O607" s="111"/>
    </row>
    <row r="608" spans="1:15" s="14" customFormat="1" ht="64" customHeight="1" x14ac:dyDescent="0.45">
      <c r="A608" s="8"/>
      <c r="B608" s="8"/>
      <c r="C608" s="34"/>
      <c r="D608" s="35"/>
      <c r="E608" s="35" t="s">
        <v>497</v>
      </c>
      <c r="F608" s="8">
        <v>2020</v>
      </c>
      <c r="G608" s="62">
        <v>960317</v>
      </c>
      <c r="H608" s="50"/>
      <c r="I608" s="31">
        <f>700000-630000</f>
        <v>70000</v>
      </c>
      <c r="J608" s="31"/>
      <c r="K608" s="31">
        <v>630000</v>
      </c>
      <c r="L608" s="31">
        <f t="shared" si="193"/>
        <v>630000</v>
      </c>
      <c r="M608" s="31">
        <f t="shared" si="194"/>
        <v>700000</v>
      </c>
      <c r="N608" s="50">
        <v>72.900000000000006</v>
      </c>
      <c r="O608" s="111"/>
    </row>
    <row r="609" spans="1:15" s="14" customFormat="1" ht="64" customHeight="1" x14ac:dyDescent="0.45">
      <c r="A609" s="8"/>
      <c r="B609" s="8"/>
      <c r="C609" s="34"/>
      <c r="D609" s="35"/>
      <c r="E609" s="35" t="s">
        <v>498</v>
      </c>
      <c r="F609" s="8">
        <v>2020</v>
      </c>
      <c r="G609" s="62">
        <v>340655</v>
      </c>
      <c r="H609" s="50"/>
      <c r="I609" s="31">
        <f>300000-260000</f>
        <v>40000</v>
      </c>
      <c r="J609" s="31"/>
      <c r="K609" s="31">
        <v>260000</v>
      </c>
      <c r="L609" s="31">
        <f t="shared" si="193"/>
        <v>260000</v>
      </c>
      <c r="M609" s="31">
        <f t="shared" si="194"/>
        <v>300000</v>
      </c>
      <c r="N609" s="50">
        <v>88.1</v>
      </c>
      <c r="O609" s="111"/>
    </row>
    <row r="610" spans="1:15" s="14" customFormat="1" ht="68.150000000000006" customHeight="1" x14ac:dyDescent="0.45">
      <c r="A610" s="8"/>
      <c r="B610" s="8"/>
      <c r="C610" s="34"/>
      <c r="D610" s="35"/>
      <c r="E610" s="35" t="s">
        <v>428</v>
      </c>
      <c r="F610" s="8">
        <v>2020</v>
      </c>
      <c r="G610" s="62">
        <v>460943</v>
      </c>
      <c r="H610" s="50"/>
      <c r="I610" s="31">
        <f>40000+260000-260000</f>
        <v>40000</v>
      </c>
      <c r="J610" s="31"/>
      <c r="K610" s="31">
        <v>260000</v>
      </c>
      <c r="L610" s="31">
        <f t="shared" si="193"/>
        <v>260000</v>
      </c>
      <c r="M610" s="31">
        <f t="shared" si="194"/>
        <v>300000</v>
      </c>
      <c r="N610" s="50">
        <v>65.099999999999994</v>
      </c>
      <c r="O610" s="111"/>
    </row>
    <row r="611" spans="1:15" s="14" customFormat="1" ht="67" customHeight="1" x14ac:dyDescent="0.45">
      <c r="A611" s="8"/>
      <c r="B611" s="8"/>
      <c r="C611" s="34"/>
      <c r="D611" s="35"/>
      <c r="E611" s="35" t="s">
        <v>403</v>
      </c>
      <c r="F611" s="8">
        <v>2020</v>
      </c>
      <c r="G611" s="62">
        <v>1583934</v>
      </c>
      <c r="H611" s="50"/>
      <c r="I611" s="31">
        <f>40000+1460000-1360000</f>
        <v>140000</v>
      </c>
      <c r="J611" s="31"/>
      <c r="K611" s="31">
        <v>1360000</v>
      </c>
      <c r="L611" s="31">
        <f t="shared" si="193"/>
        <v>1360000</v>
      </c>
      <c r="M611" s="31">
        <f t="shared" si="194"/>
        <v>1500000</v>
      </c>
      <c r="N611" s="50">
        <v>94.7</v>
      </c>
      <c r="O611" s="111"/>
    </row>
    <row r="612" spans="1:15" s="14" customFormat="1" ht="65.150000000000006" customHeight="1" x14ac:dyDescent="0.45">
      <c r="A612" s="8"/>
      <c r="B612" s="8"/>
      <c r="C612" s="34"/>
      <c r="D612" s="35"/>
      <c r="E612" s="35" t="s">
        <v>402</v>
      </c>
      <c r="F612" s="8">
        <v>2020</v>
      </c>
      <c r="G612" s="62">
        <v>2231191</v>
      </c>
      <c r="H612" s="50"/>
      <c r="I612" s="31">
        <f>40000+1460000-1360000</f>
        <v>140000</v>
      </c>
      <c r="J612" s="31"/>
      <c r="K612" s="31">
        <v>1360000</v>
      </c>
      <c r="L612" s="31">
        <f t="shared" si="193"/>
        <v>1360000</v>
      </c>
      <c r="M612" s="31">
        <f t="shared" si="194"/>
        <v>1500000</v>
      </c>
      <c r="N612" s="50">
        <v>67.2</v>
      </c>
      <c r="O612" s="111"/>
    </row>
    <row r="613" spans="1:15" s="14" customFormat="1" ht="69" customHeight="1" x14ac:dyDescent="0.45">
      <c r="A613" s="8"/>
      <c r="B613" s="8"/>
      <c r="C613" s="34"/>
      <c r="D613" s="35"/>
      <c r="E613" s="35" t="s">
        <v>388</v>
      </c>
      <c r="F613" s="8">
        <v>2020</v>
      </c>
      <c r="G613" s="62"/>
      <c r="H613" s="50"/>
      <c r="I613" s="31">
        <f>40000+460000-460000</f>
        <v>40000</v>
      </c>
      <c r="J613" s="31"/>
      <c r="K613" s="31">
        <v>460000</v>
      </c>
      <c r="L613" s="31">
        <f t="shared" si="193"/>
        <v>460000</v>
      </c>
      <c r="M613" s="31">
        <f t="shared" si="194"/>
        <v>500000</v>
      </c>
      <c r="N613" s="50"/>
      <c r="O613" s="111"/>
    </row>
    <row r="614" spans="1:15" s="14" customFormat="1" ht="63" customHeight="1" x14ac:dyDescent="0.45">
      <c r="A614" s="8"/>
      <c r="B614" s="8"/>
      <c r="C614" s="34"/>
      <c r="D614" s="35"/>
      <c r="E614" s="35" t="s">
        <v>410</v>
      </c>
      <c r="F614" s="8">
        <v>2020</v>
      </c>
      <c r="G614" s="62"/>
      <c r="H614" s="50"/>
      <c r="I614" s="31">
        <f>40000+1460000-1360000</f>
        <v>140000</v>
      </c>
      <c r="J614" s="31"/>
      <c r="K614" s="31"/>
      <c r="L614" s="31">
        <f t="shared" si="193"/>
        <v>0</v>
      </c>
      <c r="M614" s="31">
        <f t="shared" si="194"/>
        <v>140000</v>
      </c>
      <c r="N614" s="50"/>
      <c r="O614" s="111"/>
    </row>
    <row r="615" spans="1:15" s="14" customFormat="1" ht="71.150000000000006" customHeight="1" x14ac:dyDescent="0.45">
      <c r="A615" s="8"/>
      <c r="B615" s="8"/>
      <c r="C615" s="34"/>
      <c r="D615" s="35"/>
      <c r="E615" s="35" t="s">
        <v>409</v>
      </c>
      <c r="F615" s="8">
        <v>2020</v>
      </c>
      <c r="G615" s="62">
        <v>644861</v>
      </c>
      <c r="H615" s="50"/>
      <c r="I615" s="31">
        <f>40000+534110-520000</f>
        <v>54110</v>
      </c>
      <c r="J615" s="31"/>
      <c r="K615" s="31">
        <v>520000</v>
      </c>
      <c r="L615" s="31">
        <f t="shared" si="193"/>
        <v>520000</v>
      </c>
      <c r="M615" s="31">
        <f t="shared" si="194"/>
        <v>574110</v>
      </c>
      <c r="N615" s="50">
        <v>89</v>
      </c>
      <c r="O615" s="111"/>
    </row>
    <row r="616" spans="1:15" s="14" customFormat="1" ht="71.150000000000006" customHeight="1" x14ac:dyDescent="0.45">
      <c r="A616" s="8"/>
      <c r="B616" s="8"/>
      <c r="C616" s="34"/>
      <c r="D616" s="35"/>
      <c r="E616" s="35" t="s">
        <v>520</v>
      </c>
      <c r="F616" s="8">
        <v>2020</v>
      </c>
      <c r="G616" s="62">
        <v>1038818</v>
      </c>
      <c r="H616" s="50"/>
      <c r="I616" s="31">
        <f>810000-730000</f>
        <v>80000</v>
      </c>
      <c r="J616" s="31"/>
      <c r="K616" s="31">
        <v>730000</v>
      </c>
      <c r="L616" s="31">
        <f t="shared" si="193"/>
        <v>730000</v>
      </c>
      <c r="M616" s="31">
        <f t="shared" si="194"/>
        <v>810000</v>
      </c>
      <c r="N616" s="50">
        <v>78</v>
      </c>
      <c r="O616" s="111"/>
    </row>
    <row r="617" spans="1:15" s="14" customFormat="1" ht="71.150000000000006" customHeight="1" x14ac:dyDescent="0.45">
      <c r="A617" s="8"/>
      <c r="B617" s="8"/>
      <c r="C617" s="34"/>
      <c r="D617" s="35"/>
      <c r="E617" s="35" t="s">
        <v>518</v>
      </c>
      <c r="F617" s="8">
        <v>2020</v>
      </c>
      <c r="G617" s="62">
        <v>1540033</v>
      </c>
      <c r="H617" s="50"/>
      <c r="I617" s="31">
        <f>1749000-1609000</f>
        <v>140000</v>
      </c>
      <c r="J617" s="31"/>
      <c r="K617" s="31">
        <f>1609000-208967</f>
        <v>1400033</v>
      </c>
      <c r="L617" s="31">
        <f t="shared" si="193"/>
        <v>1400033</v>
      </c>
      <c r="M617" s="31">
        <f t="shared" si="194"/>
        <v>1540033</v>
      </c>
      <c r="N617" s="50">
        <v>100</v>
      </c>
      <c r="O617" s="111"/>
    </row>
    <row r="618" spans="1:15" s="14" customFormat="1" ht="71.150000000000006" customHeight="1" x14ac:dyDescent="0.45">
      <c r="A618" s="8"/>
      <c r="B618" s="8"/>
      <c r="C618" s="34"/>
      <c r="D618" s="35"/>
      <c r="E618" s="35" t="s">
        <v>519</v>
      </c>
      <c r="F618" s="8">
        <v>2020</v>
      </c>
      <c r="G618" s="62">
        <v>1470421</v>
      </c>
      <c r="H618" s="50"/>
      <c r="I618" s="31">
        <f>830000-750000</f>
        <v>80000</v>
      </c>
      <c r="J618" s="31"/>
      <c r="K618" s="31">
        <v>750000</v>
      </c>
      <c r="L618" s="31">
        <f t="shared" si="193"/>
        <v>750000</v>
      </c>
      <c r="M618" s="31">
        <f t="shared" si="194"/>
        <v>830000</v>
      </c>
      <c r="N618" s="50">
        <v>56.5</v>
      </c>
      <c r="O618" s="111"/>
    </row>
    <row r="619" spans="1:15" s="14" customFormat="1" ht="69" customHeight="1" x14ac:dyDescent="0.45">
      <c r="A619" s="8"/>
      <c r="B619" s="8"/>
      <c r="C619" s="34"/>
      <c r="D619" s="35"/>
      <c r="E619" s="35" t="s">
        <v>418</v>
      </c>
      <c r="F619" s="8">
        <v>2020</v>
      </c>
      <c r="G619" s="62">
        <v>1745036</v>
      </c>
      <c r="H619" s="50"/>
      <c r="I619" s="31">
        <f>40000+2000</f>
        <v>42000</v>
      </c>
      <c r="J619" s="31"/>
      <c r="K619" s="31"/>
      <c r="L619" s="31">
        <f t="shared" si="193"/>
        <v>0</v>
      </c>
      <c r="M619" s="31">
        <f t="shared" si="194"/>
        <v>42000</v>
      </c>
      <c r="N619" s="50">
        <v>2.4</v>
      </c>
      <c r="O619" s="111"/>
    </row>
    <row r="620" spans="1:15" s="14" customFormat="1" ht="76" customHeight="1" x14ac:dyDescent="0.45">
      <c r="A620" s="8"/>
      <c r="B620" s="8"/>
      <c r="C620" s="34"/>
      <c r="D620" s="35"/>
      <c r="E620" s="35" t="s">
        <v>417</v>
      </c>
      <c r="F620" s="8">
        <v>2020</v>
      </c>
      <c r="G620" s="62">
        <v>1825462</v>
      </c>
      <c r="H620" s="50"/>
      <c r="I620" s="31">
        <f>40000+6000</f>
        <v>46000</v>
      </c>
      <c r="J620" s="31"/>
      <c r="K620" s="31"/>
      <c r="L620" s="31">
        <f t="shared" si="193"/>
        <v>0</v>
      </c>
      <c r="M620" s="31">
        <f t="shared" si="194"/>
        <v>46000</v>
      </c>
      <c r="N620" s="50">
        <v>2.5</v>
      </c>
      <c r="O620" s="111"/>
    </row>
    <row r="621" spans="1:15" s="14" customFormat="1" ht="75" customHeight="1" x14ac:dyDescent="0.45">
      <c r="A621" s="8"/>
      <c r="B621" s="8"/>
      <c r="C621" s="34"/>
      <c r="D621" s="35"/>
      <c r="E621" s="35" t="s">
        <v>379</v>
      </c>
      <c r="F621" s="8" t="s">
        <v>49</v>
      </c>
      <c r="G621" s="62">
        <v>1372150</v>
      </c>
      <c r="H621" s="50">
        <v>2.2999999999999998</v>
      </c>
      <c r="I621" s="31">
        <v>1269036</v>
      </c>
      <c r="J621" s="31"/>
      <c r="K621" s="31"/>
      <c r="L621" s="31">
        <f t="shared" si="193"/>
        <v>0</v>
      </c>
      <c r="M621" s="31">
        <f t="shared" si="194"/>
        <v>1269036</v>
      </c>
      <c r="N621" s="92">
        <v>100</v>
      </c>
      <c r="O621" s="111"/>
    </row>
    <row r="622" spans="1:15" s="14" customFormat="1" ht="67" customHeight="1" x14ac:dyDescent="0.45">
      <c r="A622" s="8"/>
      <c r="B622" s="8"/>
      <c r="C622" s="34"/>
      <c r="D622" s="35"/>
      <c r="E622" s="35" t="s">
        <v>416</v>
      </c>
      <c r="F622" s="8">
        <v>2020</v>
      </c>
      <c r="G622" s="62">
        <v>2087291</v>
      </c>
      <c r="H622" s="50"/>
      <c r="I622" s="31">
        <f>40000+11000</f>
        <v>51000</v>
      </c>
      <c r="J622" s="31"/>
      <c r="K622" s="31"/>
      <c r="L622" s="31">
        <f t="shared" si="193"/>
        <v>0</v>
      </c>
      <c r="M622" s="31">
        <f t="shared" si="194"/>
        <v>51000</v>
      </c>
      <c r="N622" s="50">
        <v>2.4</v>
      </c>
      <c r="O622" s="111"/>
    </row>
    <row r="623" spans="1:15" s="14" customFormat="1" ht="67" customHeight="1" x14ac:dyDescent="0.45">
      <c r="A623" s="8"/>
      <c r="B623" s="8"/>
      <c r="C623" s="34"/>
      <c r="D623" s="35"/>
      <c r="E623" s="35" t="s">
        <v>566</v>
      </c>
      <c r="F623" s="8">
        <v>2020</v>
      </c>
      <c r="G623" s="62"/>
      <c r="H623" s="50"/>
      <c r="I623" s="31">
        <v>40000</v>
      </c>
      <c r="J623" s="31"/>
      <c r="K623" s="31"/>
      <c r="L623" s="31">
        <f t="shared" si="193"/>
        <v>0</v>
      </c>
      <c r="M623" s="31">
        <f t="shared" si="194"/>
        <v>40000</v>
      </c>
      <c r="N623" s="50"/>
      <c r="O623" s="111"/>
    </row>
    <row r="624" spans="1:15" s="14" customFormat="1" ht="67" customHeight="1" x14ac:dyDescent="0.45">
      <c r="A624" s="8"/>
      <c r="B624" s="8"/>
      <c r="C624" s="34"/>
      <c r="D624" s="35"/>
      <c r="E624" s="35" t="s">
        <v>564</v>
      </c>
      <c r="F624" s="8">
        <v>2020</v>
      </c>
      <c r="G624" s="62"/>
      <c r="H624" s="50"/>
      <c r="I624" s="31">
        <v>40000</v>
      </c>
      <c r="J624" s="31"/>
      <c r="K624" s="31"/>
      <c r="L624" s="31">
        <f t="shared" si="193"/>
        <v>0</v>
      </c>
      <c r="M624" s="31">
        <f t="shared" si="194"/>
        <v>40000</v>
      </c>
      <c r="N624" s="50"/>
      <c r="O624" s="111"/>
    </row>
    <row r="625" spans="1:15" s="14" customFormat="1" ht="67" customHeight="1" x14ac:dyDescent="0.45">
      <c r="A625" s="8"/>
      <c r="B625" s="8"/>
      <c r="C625" s="34"/>
      <c r="D625" s="35"/>
      <c r="E625" s="35" t="s">
        <v>565</v>
      </c>
      <c r="F625" s="8">
        <v>2020</v>
      </c>
      <c r="G625" s="62"/>
      <c r="H625" s="50"/>
      <c r="I625" s="31">
        <v>40000</v>
      </c>
      <c r="J625" s="31"/>
      <c r="K625" s="31"/>
      <c r="L625" s="31">
        <f t="shared" si="193"/>
        <v>0</v>
      </c>
      <c r="M625" s="31">
        <f t="shared" si="194"/>
        <v>40000</v>
      </c>
      <c r="N625" s="50"/>
      <c r="O625" s="111"/>
    </row>
    <row r="626" spans="1:15" s="14" customFormat="1" ht="72" customHeight="1" x14ac:dyDescent="0.45">
      <c r="A626" s="8"/>
      <c r="B626" s="8"/>
      <c r="C626" s="34"/>
      <c r="D626" s="35"/>
      <c r="E626" s="35" t="s">
        <v>390</v>
      </c>
      <c r="F626" s="8">
        <v>2020</v>
      </c>
      <c r="G626" s="62">
        <v>864882</v>
      </c>
      <c r="H626" s="50"/>
      <c r="I626" s="31">
        <f>40000+512000-502000</f>
        <v>50000</v>
      </c>
      <c r="J626" s="31"/>
      <c r="K626" s="31">
        <v>520000</v>
      </c>
      <c r="L626" s="31">
        <f t="shared" si="193"/>
        <v>520000</v>
      </c>
      <c r="M626" s="31">
        <f t="shared" si="194"/>
        <v>570000</v>
      </c>
      <c r="N626" s="50">
        <v>65.900000000000006</v>
      </c>
      <c r="O626" s="111"/>
    </row>
    <row r="627" spans="1:15" s="14" customFormat="1" ht="77.150000000000006" customHeight="1" x14ac:dyDescent="0.45">
      <c r="A627" s="8"/>
      <c r="B627" s="8"/>
      <c r="C627" s="34"/>
      <c r="D627" s="35"/>
      <c r="E627" s="35" t="s">
        <v>391</v>
      </c>
      <c r="F627" s="8">
        <v>2020</v>
      </c>
      <c r="G627" s="62">
        <v>953600</v>
      </c>
      <c r="H627" s="50"/>
      <c r="I627" s="31">
        <f>40000+560000-550000</f>
        <v>50000</v>
      </c>
      <c r="J627" s="31"/>
      <c r="K627" s="31">
        <v>550000</v>
      </c>
      <c r="L627" s="31">
        <f t="shared" si="193"/>
        <v>550000</v>
      </c>
      <c r="M627" s="31">
        <f t="shared" si="194"/>
        <v>600000</v>
      </c>
      <c r="N627" s="50">
        <v>62.9</v>
      </c>
      <c r="O627" s="111"/>
    </row>
    <row r="628" spans="1:15" s="14" customFormat="1" ht="70" customHeight="1" x14ac:dyDescent="0.45">
      <c r="A628" s="8"/>
      <c r="B628" s="8"/>
      <c r="C628" s="34"/>
      <c r="D628" s="35"/>
      <c r="E628" s="35" t="s">
        <v>414</v>
      </c>
      <c r="F628" s="8">
        <v>2020</v>
      </c>
      <c r="G628" s="62">
        <v>1582865</v>
      </c>
      <c r="H628" s="50"/>
      <c r="I628" s="31">
        <v>40000</v>
      </c>
      <c r="J628" s="31"/>
      <c r="K628" s="31"/>
      <c r="L628" s="31">
        <f t="shared" si="193"/>
        <v>0</v>
      </c>
      <c r="M628" s="31">
        <f t="shared" si="194"/>
        <v>40000</v>
      </c>
      <c r="N628" s="50">
        <v>2.5</v>
      </c>
      <c r="O628" s="111"/>
    </row>
    <row r="629" spans="1:15" s="14" customFormat="1" ht="68.150000000000006" customHeight="1" x14ac:dyDescent="0.45">
      <c r="A629" s="8"/>
      <c r="B629" s="8"/>
      <c r="C629" s="34"/>
      <c r="D629" s="35"/>
      <c r="E629" s="35" t="s">
        <v>415</v>
      </c>
      <c r="F629" s="8">
        <v>2020</v>
      </c>
      <c r="G629" s="62">
        <v>571520</v>
      </c>
      <c r="H629" s="50"/>
      <c r="I629" s="31">
        <f>40000-19000</f>
        <v>21000</v>
      </c>
      <c r="J629" s="31"/>
      <c r="K629" s="31"/>
      <c r="L629" s="31">
        <f t="shared" si="193"/>
        <v>0</v>
      </c>
      <c r="M629" s="31">
        <f t="shared" si="194"/>
        <v>21000</v>
      </c>
      <c r="N629" s="50">
        <v>3.7</v>
      </c>
      <c r="O629" s="111"/>
    </row>
    <row r="630" spans="1:15" s="14" customFormat="1" ht="70" customHeight="1" x14ac:dyDescent="0.45">
      <c r="A630" s="8"/>
      <c r="B630" s="8"/>
      <c r="C630" s="34"/>
      <c r="D630" s="35"/>
      <c r="E630" s="35" t="s">
        <v>407</v>
      </c>
      <c r="F630" s="8">
        <v>2020</v>
      </c>
      <c r="G630" s="62">
        <v>1584047</v>
      </c>
      <c r="H630" s="50"/>
      <c r="I630" s="31">
        <f>40000+660000-630000</f>
        <v>70000</v>
      </c>
      <c r="J630" s="31"/>
      <c r="K630" s="31">
        <v>630000</v>
      </c>
      <c r="L630" s="31">
        <f t="shared" si="193"/>
        <v>630000</v>
      </c>
      <c r="M630" s="31">
        <f t="shared" si="194"/>
        <v>700000</v>
      </c>
      <c r="N630" s="50">
        <v>44.2</v>
      </c>
      <c r="O630" s="111"/>
    </row>
    <row r="631" spans="1:15" s="14" customFormat="1" ht="68.150000000000006" customHeight="1" x14ac:dyDescent="0.45">
      <c r="A631" s="8"/>
      <c r="B631" s="8"/>
      <c r="C631" s="34"/>
      <c r="D631" s="35"/>
      <c r="E631" s="35" t="s">
        <v>423</v>
      </c>
      <c r="F631" s="8">
        <v>2020</v>
      </c>
      <c r="G631" s="62">
        <v>930097</v>
      </c>
      <c r="H631" s="50"/>
      <c r="I631" s="31">
        <f>40000-12000</f>
        <v>28000</v>
      </c>
      <c r="J631" s="31"/>
      <c r="K631" s="31"/>
      <c r="L631" s="31">
        <f t="shared" si="193"/>
        <v>0</v>
      </c>
      <c r="M631" s="31">
        <f t="shared" si="194"/>
        <v>28000</v>
      </c>
      <c r="N631" s="50">
        <v>3</v>
      </c>
      <c r="O631" s="111"/>
    </row>
    <row r="632" spans="1:15" s="14" customFormat="1" ht="71.150000000000006" customHeight="1" x14ac:dyDescent="0.45">
      <c r="A632" s="8"/>
      <c r="B632" s="8"/>
      <c r="C632" s="34"/>
      <c r="D632" s="35"/>
      <c r="E632" s="35" t="s">
        <v>424</v>
      </c>
      <c r="F632" s="8">
        <v>2020</v>
      </c>
      <c r="G632" s="62">
        <v>1587728</v>
      </c>
      <c r="H632" s="50"/>
      <c r="I632" s="31">
        <f>40000+1000</f>
        <v>41000</v>
      </c>
      <c r="J632" s="31"/>
      <c r="K632" s="31"/>
      <c r="L632" s="31">
        <f t="shared" si="193"/>
        <v>0</v>
      </c>
      <c r="M632" s="31">
        <f t="shared" si="194"/>
        <v>41000</v>
      </c>
      <c r="N632" s="50">
        <v>2.6</v>
      </c>
      <c r="O632" s="111"/>
    </row>
    <row r="633" spans="1:15" s="14" customFormat="1" ht="63" customHeight="1" x14ac:dyDescent="0.45">
      <c r="A633" s="8"/>
      <c r="B633" s="8"/>
      <c r="C633" s="34"/>
      <c r="D633" s="35"/>
      <c r="E633" s="35" t="s">
        <v>425</v>
      </c>
      <c r="F633" s="8">
        <v>2020</v>
      </c>
      <c r="G633" s="62">
        <v>1255583</v>
      </c>
      <c r="H633" s="50"/>
      <c r="I633" s="31">
        <f>40000-5000</f>
        <v>35000</v>
      </c>
      <c r="J633" s="31"/>
      <c r="K633" s="31"/>
      <c r="L633" s="31">
        <f t="shared" si="193"/>
        <v>0</v>
      </c>
      <c r="M633" s="31">
        <f t="shared" si="194"/>
        <v>35000</v>
      </c>
      <c r="N633" s="50">
        <v>2.8</v>
      </c>
      <c r="O633" s="111"/>
    </row>
    <row r="634" spans="1:15" s="14" customFormat="1" ht="75" customHeight="1" x14ac:dyDescent="0.45">
      <c r="A634" s="8"/>
      <c r="B634" s="8"/>
      <c r="C634" s="34"/>
      <c r="D634" s="35"/>
      <c r="E634" s="35" t="s">
        <v>426</v>
      </c>
      <c r="F634" s="8">
        <v>2020</v>
      </c>
      <c r="G634" s="62">
        <v>1367436</v>
      </c>
      <c r="H634" s="50"/>
      <c r="I634" s="31">
        <f>40000-3000</f>
        <v>37000</v>
      </c>
      <c r="J634" s="31"/>
      <c r="K634" s="31"/>
      <c r="L634" s="31">
        <f t="shared" si="193"/>
        <v>0</v>
      </c>
      <c r="M634" s="31">
        <f t="shared" si="194"/>
        <v>37000</v>
      </c>
      <c r="N634" s="50">
        <v>2.7</v>
      </c>
      <c r="O634" s="111"/>
    </row>
    <row r="635" spans="1:15" s="14" customFormat="1" ht="65.5" customHeight="1" x14ac:dyDescent="0.45">
      <c r="A635" s="8"/>
      <c r="B635" s="8"/>
      <c r="C635" s="34"/>
      <c r="D635" s="35"/>
      <c r="E635" s="35" t="s">
        <v>398</v>
      </c>
      <c r="F635" s="8">
        <v>2020</v>
      </c>
      <c r="G635" s="62">
        <v>914508</v>
      </c>
      <c r="H635" s="50"/>
      <c r="I635" s="31">
        <f>40000+656000-630000</f>
        <v>66000</v>
      </c>
      <c r="J635" s="31"/>
      <c r="K635" s="31">
        <v>630000</v>
      </c>
      <c r="L635" s="31">
        <f t="shared" si="193"/>
        <v>630000</v>
      </c>
      <c r="M635" s="31">
        <f t="shared" si="194"/>
        <v>696000</v>
      </c>
      <c r="N635" s="50">
        <v>76.099999999999994</v>
      </c>
      <c r="O635" s="111"/>
    </row>
    <row r="636" spans="1:15" s="14" customFormat="1" ht="60.65" customHeight="1" x14ac:dyDescent="0.45">
      <c r="A636" s="8"/>
      <c r="B636" s="8"/>
      <c r="C636" s="34"/>
      <c r="D636" s="35"/>
      <c r="E636" s="35" t="s">
        <v>399</v>
      </c>
      <c r="F636" s="8">
        <v>2020</v>
      </c>
      <c r="G636" s="62">
        <v>1266838</v>
      </c>
      <c r="H636" s="50"/>
      <c r="I636" s="31">
        <f>40000+1107000-1037000</f>
        <v>110000</v>
      </c>
      <c r="J636" s="31"/>
      <c r="K636" s="31">
        <v>1037000</v>
      </c>
      <c r="L636" s="31">
        <f t="shared" si="193"/>
        <v>1037000</v>
      </c>
      <c r="M636" s="31">
        <f t="shared" si="194"/>
        <v>1147000</v>
      </c>
      <c r="N636" s="50">
        <v>90.5</v>
      </c>
      <c r="O636" s="111"/>
    </row>
    <row r="637" spans="1:15" s="14" customFormat="1" ht="75.650000000000006" customHeight="1" x14ac:dyDescent="0.45">
      <c r="A637" s="8"/>
      <c r="B637" s="8"/>
      <c r="C637" s="34"/>
      <c r="D637" s="35"/>
      <c r="E637" s="35" t="s">
        <v>386</v>
      </c>
      <c r="F637" s="8">
        <v>2020</v>
      </c>
      <c r="G637" s="62">
        <v>1143367</v>
      </c>
      <c r="H637" s="50"/>
      <c r="I637" s="31">
        <f>40000+824000-780000</f>
        <v>84000</v>
      </c>
      <c r="J637" s="31"/>
      <c r="K637" s="31">
        <v>780000</v>
      </c>
      <c r="L637" s="31">
        <f t="shared" si="193"/>
        <v>780000</v>
      </c>
      <c r="M637" s="31">
        <f t="shared" si="194"/>
        <v>864000</v>
      </c>
      <c r="N637" s="50">
        <v>75.599999999999994</v>
      </c>
      <c r="O637" s="111"/>
    </row>
    <row r="638" spans="1:15" s="14" customFormat="1" ht="64.5" customHeight="1" x14ac:dyDescent="0.45">
      <c r="A638" s="8"/>
      <c r="B638" s="8"/>
      <c r="C638" s="34"/>
      <c r="D638" s="35"/>
      <c r="E638" s="35" t="s">
        <v>387</v>
      </c>
      <c r="F638" s="8">
        <v>2020</v>
      </c>
      <c r="G638" s="62">
        <v>1164344</v>
      </c>
      <c r="H638" s="50"/>
      <c r="I638" s="31">
        <f>40000+884000-830000</f>
        <v>94000</v>
      </c>
      <c r="J638" s="31"/>
      <c r="K638" s="31">
        <v>830000</v>
      </c>
      <c r="L638" s="31">
        <f t="shared" si="193"/>
        <v>830000</v>
      </c>
      <c r="M638" s="31">
        <f t="shared" si="194"/>
        <v>924000</v>
      </c>
      <c r="N638" s="50">
        <v>79.400000000000006</v>
      </c>
      <c r="O638" s="111"/>
    </row>
    <row r="639" spans="1:15" s="14" customFormat="1" ht="66" customHeight="1" x14ac:dyDescent="0.45">
      <c r="A639" s="8"/>
      <c r="B639" s="8"/>
      <c r="C639" s="34"/>
      <c r="D639" s="35"/>
      <c r="E639" s="35" t="s">
        <v>405</v>
      </c>
      <c r="F639" s="8">
        <v>2020</v>
      </c>
      <c r="G639" s="62">
        <v>1214770</v>
      </c>
      <c r="H639" s="50"/>
      <c r="I639" s="31">
        <f>40000+718000-680000</f>
        <v>78000</v>
      </c>
      <c r="J639" s="31"/>
      <c r="K639" s="31">
        <v>680000</v>
      </c>
      <c r="L639" s="31">
        <f t="shared" si="193"/>
        <v>680000</v>
      </c>
      <c r="M639" s="31">
        <f t="shared" si="194"/>
        <v>758000</v>
      </c>
      <c r="N639" s="50">
        <v>62.4</v>
      </c>
      <c r="O639" s="111"/>
    </row>
    <row r="640" spans="1:15" s="14" customFormat="1" ht="70" customHeight="1" x14ac:dyDescent="0.45">
      <c r="A640" s="8"/>
      <c r="B640" s="8"/>
      <c r="C640" s="34"/>
      <c r="D640" s="35"/>
      <c r="E640" s="35" t="s">
        <v>421</v>
      </c>
      <c r="F640" s="8">
        <v>2020</v>
      </c>
      <c r="G640" s="62">
        <v>1926364</v>
      </c>
      <c r="H640" s="50"/>
      <c r="I640" s="31">
        <f>40000+7000</f>
        <v>47000</v>
      </c>
      <c r="J640" s="31"/>
      <c r="K640" s="31"/>
      <c r="L640" s="31">
        <f t="shared" si="193"/>
        <v>0</v>
      </c>
      <c r="M640" s="31">
        <f t="shared" si="194"/>
        <v>47000</v>
      </c>
      <c r="N640" s="50">
        <v>2.4</v>
      </c>
      <c r="O640" s="111"/>
    </row>
    <row r="641" spans="1:15" s="14" customFormat="1" ht="68.150000000000006" customHeight="1" x14ac:dyDescent="0.45">
      <c r="A641" s="8"/>
      <c r="B641" s="8"/>
      <c r="C641" s="34"/>
      <c r="D641" s="35"/>
      <c r="E641" s="35" t="s">
        <v>406</v>
      </c>
      <c r="F641" s="8">
        <v>2020</v>
      </c>
      <c r="G641" s="62">
        <v>926386</v>
      </c>
      <c r="H641" s="50"/>
      <c r="I641" s="31">
        <f>40000+728000-690000</f>
        <v>78000</v>
      </c>
      <c r="J641" s="31"/>
      <c r="K641" s="31">
        <v>690000</v>
      </c>
      <c r="L641" s="31">
        <f t="shared" si="193"/>
        <v>690000</v>
      </c>
      <c r="M641" s="31">
        <f t="shared" si="194"/>
        <v>768000</v>
      </c>
      <c r="N641" s="50">
        <v>82.9</v>
      </c>
      <c r="O641" s="111"/>
    </row>
    <row r="642" spans="1:15" s="14" customFormat="1" ht="74.150000000000006" customHeight="1" x14ac:dyDescent="0.45">
      <c r="A642" s="8"/>
      <c r="B642" s="8"/>
      <c r="C642" s="34"/>
      <c r="D642" s="35"/>
      <c r="E642" s="35" t="s">
        <v>419</v>
      </c>
      <c r="F642" s="8">
        <v>2020</v>
      </c>
      <c r="G642" s="62">
        <v>816409</v>
      </c>
      <c r="H642" s="50"/>
      <c r="I642" s="31">
        <f>40000-14000</f>
        <v>26000</v>
      </c>
      <c r="J642" s="31"/>
      <c r="K642" s="31"/>
      <c r="L642" s="31">
        <f t="shared" si="193"/>
        <v>0</v>
      </c>
      <c r="M642" s="31">
        <f t="shared" si="194"/>
        <v>26000</v>
      </c>
      <c r="N642" s="50">
        <v>3.2</v>
      </c>
      <c r="O642" s="111"/>
    </row>
    <row r="643" spans="1:15" s="14" customFormat="1" ht="70" customHeight="1" x14ac:dyDescent="0.45">
      <c r="A643" s="8"/>
      <c r="B643" s="8"/>
      <c r="C643" s="34"/>
      <c r="D643" s="35"/>
      <c r="E643" s="35" t="s">
        <v>420</v>
      </c>
      <c r="F643" s="8">
        <v>2020</v>
      </c>
      <c r="G643" s="62">
        <v>683612</v>
      </c>
      <c r="H643" s="50"/>
      <c r="I643" s="31">
        <f>40000-17000</f>
        <v>23000</v>
      </c>
      <c r="J643" s="31"/>
      <c r="K643" s="31"/>
      <c r="L643" s="31">
        <f t="shared" si="193"/>
        <v>0</v>
      </c>
      <c r="M643" s="31">
        <f t="shared" si="194"/>
        <v>23000</v>
      </c>
      <c r="N643" s="50">
        <v>3.4</v>
      </c>
      <c r="O643" s="111"/>
    </row>
    <row r="644" spans="1:15" s="14" customFormat="1" ht="61.5" customHeight="1" x14ac:dyDescent="0.45">
      <c r="A644" s="8"/>
      <c r="B644" s="8"/>
      <c r="C644" s="34"/>
      <c r="D644" s="35"/>
      <c r="E644" s="35" t="s">
        <v>427</v>
      </c>
      <c r="F644" s="8">
        <v>2020</v>
      </c>
      <c r="G644" s="62">
        <v>1117662</v>
      </c>
      <c r="H644" s="50"/>
      <c r="I644" s="31">
        <f>40000-8000</f>
        <v>32000</v>
      </c>
      <c r="J644" s="31"/>
      <c r="K644" s="31"/>
      <c r="L644" s="31">
        <f t="shared" si="193"/>
        <v>0</v>
      </c>
      <c r="M644" s="31">
        <f t="shared" si="194"/>
        <v>32000</v>
      </c>
      <c r="N644" s="50">
        <v>2.9</v>
      </c>
      <c r="O644" s="111"/>
    </row>
    <row r="645" spans="1:15" s="14" customFormat="1" ht="72" customHeight="1" x14ac:dyDescent="0.45">
      <c r="A645" s="8"/>
      <c r="B645" s="8"/>
      <c r="C645" s="34"/>
      <c r="D645" s="35"/>
      <c r="E645" s="35" t="s">
        <v>581</v>
      </c>
      <c r="F645" s="8">
        <v>2020</v>
      </c>
      <c r="G645" s="62">
        <v>817204</v>
      </c>
      <c r="H645" s="50"/>
      <c r="I645" s="31">
        <v>26000</v>
      </c>
      <c r="J645" s="31"/>
      <c r="K645" s="31"/>
      <c r="L645" s="31">
        <f t="shared" si="193"/>
        <v>0</v>
      </c>
      <c r="M645" s="31">
        <f t="shared" si="194"/>
        <v>26000</v>
      </c>
      <c r="N645" s="50">
        <v>3.2</v>
      </c>
      <c r="O645" s="111"/>
    </row>
    <row r="646" spans="1:15" s="14" customFormat="1" ht="69" customHeight="1" x14ac:dyDescent="0.45">
      <c r="A646" s="8"/>
      <c r="B646" s="8"/>
      <c r="C646" s="34"/>
      <c r="D646" s="35"/>
      <c r="E646" s="35" t="s">
        <v>392</v>
      </c>
      <c r="F646" s="8">
        <v>2020</v>
      </c>
      <c r="G646" s="62">
        <v>974456</v>
      </c>
      <c r="H646" s="50"/>
      <c r="I646" s="31">
        <f>40000+788000-740000</f>
        <v>88000</v>
      </c>
      <c r="J646" s="31"/>
      <c r="K646" s="31">
        <v>740000</v>
      </c>
      <c r="L646" s="31">
        <f t="shared" si="193"/>
        <v>740000</v>
      </c>
      <c r="M646" s="31">
        <f t="shared" si="194"/>
        <v>828000</v>
      </c>
      <c r="N646" s="50">
        <v>85</v>
      </c>
      <c r="O646" s="111"/>
    </row>
    <row r="647" spans="1:15" s="14" customFormat="1" ht="76.5" customHeight="1" x14ac:dyDescent="0.45">
      <c r="A647" s="8"/>
      <c r="B647" s="8"/>
      <c r="C647" s="34"/>
      <c r="D647" s="35"/>
      <c r="E647" s="35" t="s">
        <v>393</v>
      </c>
      <c r="F647" s="8">
        <v>2020</v>
      </c>
      <c r="G647" s="62">
        <v>550627</v>
      </c>
      <c r="H647" s="50"/>
      <c r="I647" s="31">
        <f>40000+320000-320000</f>
        <v>40000</v>
      </c>
      <c r="J647" s="31"/>
      <c r="K647" s="31">
        <v>320000</v>
      </c>
      <c r="L647" s="31">
        <f t="shared" si="193"/>
        <v>320000</v>
      </c>
      <c r="M647" s="31">
        <f t="shared" si="194"/>
        <v>360000</v>
      </c>
      <c r="N647" s="50">
        <v>65.400000000000006</v>
      </c>
      <c r="O647" s="111"/>
    </row>
    <row r="648" spans="1:15" s="14" customFormat="1" ht="70.5" customHeight="1" x14ac:dyDescent="0.45">
      <c r="A648" s="8"/>
      <c r="B648" s="8"/>
      <c r="C648" s="34"/>
      <c r="D648" s="35"/>
      <c r="E648" s="35" t="s">
        <v>394</v>
      </c>
      <c r="F648" s="8">
        <v>2020</v>
      </c>
      <c r="G648" s="62">
        <v>1500702</v>
      </c>
      <c r="H648" s="50"/>
      <c r="I648" s="31">
        <f>40000+1071000-1000000</f>
        <v>111000</v>
      </c>
      <c r="J648" s="31"/>
      <c r="K648" s="31"/>
      <c r="L648" s="31">
        <f t="shared" si="193"/>
        <v>0</v>
      </c>
      <c r="M648" s="31">
        <f t="shared" si="194"/>
        <v>111000</v>
      </c>
      <c r="N648" s="50">
        <v>7.4</v>
      </c>
      <c r="O648" s="111"/>
    </row>
    <row r="649" spans="1:15" s="14" customFormat="1" ht="70" customHeight="1" x14ac:dyDescent="0.45">
      <c r="A649" s="8"/>
      <c r="B649" s="8"/>
      <c r="C649" s="34"/>
      <c r="D649" s="35"/>
      <c r="E649" s="35" t="s">
        <v>383</v>
      </c>
      <c r="F649" s="8" t="s">
        <v>49</v>
      </c>
      <c r="G649" s="62">
        <v>923552</v>
      </c>
      <c r="H649" s="50">
        <v>57.3</v>
      </c>
      <c r="I649" s="31">
        <v>308955</v>
      </c>
      <c r="J649" s="31"/>
      <c r="K649" s="31"/>
      <c r="L649" s="31">
        <f t="shared" si="193"/>
        <v>0</v>
      </c>
      <c r="M649" s="31">
        <f t="shared" si="194"/>
        <v>308955</v>
      </c>
      <c r="N649" s="92">
        <v>100</v>
      </c>
      <c r="O649" s="111"/>
    </row>
    <row r="650" spans="1:15" s="14" customFormat="1" ht="76" customHeight="1" x14ac:dyDescent="0.45">
      <c r="A650" s="8"/>
      <c r="B650" s="8"/>
      <c r="C650" s="34"/>
      <c r="D650" s="35"/>
      <c r="E650" s="35" t="s">
        <v>384</v>
      </c>
      <c r="F650" s="8" t="s">
        <v>49</v>
      </c>
      <c r="G650" s="62">
        <v>905530</v>
      </c>
      <c r="H650" s="50">
        <v>5.8</v>
      </c>
      <c r="I650" s="31">
        <v>695613</v>
      </c>
      <c r="J650" s="31"/>
      <c r="K650" s="31"/>
      <c r="L650" s="31">
        <f t="shared" si="193"/>
        <v>0</v>
      </c>
      <c r="M650" s="31">
        <f t="shared" si="194"/>
        <v>695613</v>
      </c>
      <c r="N650" s="92">
        <v>100</v>
      </c>
      <c r="O650" s="111"/>
    </row>
    <row r="651" spans="1:15" s="14" customFormat="1" ht="68.150000000000006" customHeight="1" x14ac:dyDescent="0.45">
      <c r="A651" s="8"/>
      <c r="B651" s="8"/>
      <c r="C651" s="34"/>
      <c r="D651" s="35"/>
      <c r="E651" s="35" t="s">
        <v>389</v>
      </c>
      <c r="F651" s="8">
        <v>2020</v>
      </c>
      <c r="G651" s="62">
        <v>1583302</v>
      </c>
      <c r="H651" s="50"/>
      <c r="I651" s="31">
        <f>40000+1186000-1100000</f>
        <v>126000</v>
      </c>
      <c r="J651" s="31"/>
      <c r="K651" s="31">
        <v>1100000</v>
      </c>
      <c r="L651" s="31">
        <f t="shared" si="193"/>
        <v>1100000</v>
      </c>
      <c r="M651" s="31">
        <f t="shared" si="194"/>
        <v>1226000</v>
      </c>
      <c r="N651" s="50">
        <v>77.400000000000006</v>
      </c>
      <c r="O651" s="111"/>
    </row>
    <row r="652" spans="1:15" s="14" customFormat="1" ht="68.150000000000006" customHeight="1" x14ac:dyDescent="0.45">
      <c r="A652" s="8"/>
      <c r="B652" s="8"/>
      <c r="C652" s="34"/>
      <c r="D652" s="35"/>
      <c r="E652" s="35" t="s">
        <v>483</v>
      </c>
      <c r="F652" s="8">
        <v>2020</v>
      </c>
      <c r="G652" s="62">
        <v>2857295</v>
      </c>
      <c r="H652" s="50"/>
      <c r="I652" s="31">
        <f>1500000-1360000</f>
        <v>140000</v>
      </c>
      <c r="J652" s="31"/>
      <c r="K652" s="31">
        <f>360000+208967+40162+288977+86839</f>
        <v>984945</v>
      </c>
      <c r="L652" s="31">
        <f t="shared" si="193"/>
        <v>984945</v>
      </c>
      <c r="M652" s="31">
        <f t="shared" si="194"/>
        <v>1124945</v>
      </c>
      <c r="N652" s="50">
        <v>39.4</v>
      </c>
      <c r="O652" s="111"/>
    </row>
    <row r="653" spans="1:15" s="14" customFormat="1" ht="69" customHeight="1" x14ac:dyDescent="0.45">
      <c r="A653" s="8"/>
      <c r="B653" s="8"/>
      <c r="C653" s="34"/>
      <c r="D653" s="35"/>
      <c r="E653" s="35" t="s">
        <v>422</v>
      </c>
      <c r="F653" s="8">
        <v>2020</v>
      </c>
      <c r="G653" s="62">
        <v>1137078</v>
      </c>
      <c r="H653" s="50"/>
      <c r="I653" s="31">
        <f>40000-7000</f>
        <v>33000</v>
      </c>
      <c r="J653" s="31"/>
      <c r="K653" s="31"/>
      <c r="L653" s="31">
        <f t="shared" si="193"/>
        <v>0</v>
      </c>
      <c r="M653" s="31">
        <f t="shared" si="194"/>
        <v>33000</v>
      </c>
      <c r="N653" s="50">
        <v>2.9</v>
      </c>
      <c r="O653" s="111"/>
    </row>
    <row r="654" spans="1:15" s="14" customFormat="1" ht="74.150000000000006" customHeight="1" x14ac:dyDescent="0.45">
      <c r="A654" s="8"/>
      <c r="B654" s="8"/>
      <c r="C654" s="34"/>
      <c r="D654" s="35"/>
      <c r="E654" s="35" t="s">
        <v>382</v>
      </c>
      <c r="F654" s="8" t="s">
        <v>49</v>
      </c>
      <c r="G654" s="62">
        <v>1339018</v>
      </c>
      <c r="H654" s="50">
        <v>2.2999999999999998</v>
      </c>
      <c r="I654" s="31">
        <v>1230641</v>
      </c>
      <c r="J654" s="31"/>
      <c r="K654" s="31"/>
      <c r="L654" s="31">
        <f t="shared" si="193"/>
        <v>0</v>
      </c>
      <c r="M654" s="31">
        <f t="shared" si="194"/>
        <v>1230641</v>
      </c>
      <c r="N654" s="92">
        <v>100</v>
      </c>
      <c r="O654" s="111"/>
    </row>
    <row r="655" spans="1:15" s="14" customFormat="1" ht="72" customHeight="1" x14ac:dyDescent="0.45">
      <c r="A655" s="8"/>
      <c r="B655" s="8"/>
      <c r="C655" s="34"/>
      <c r="D655" s="35"/>
      <c r="E655" s="35" t="s">
        <v>396</v>
      </c>
      <c r="F655" s="8">
        <v>2020</v>
      </c>
      <c r="G655" s="62">
        <v>1705457</v>
      </c>
      <c r="H655" s="50">
        <v>2</v>
      </c>
      <c r="I655" s="31">
        <f>40000+1616784-1500000</f>
        <v>156784</v>
      </c>
      <c r="J655" s="31"/>
      <c r="K655" s="31">
        <v>1500000</v>
      </c>
      <c r="L655" s="31">
        <f t="shared" si="193"/>
        <v>1500000</v>
      </c>
      <c r="M655" s="31">
        <f t="shared" si="194"/>
        <v>1656784</v>
      </c>
      <c r="N655" s="92">
        <v>100</v>
      </c>
      <c r="O655" s="111"/>
    </row>
    <row r="656" spans="1:15" s="14" customFormat="1" ht="69" customHeight="1" x14ac:dyDescent="0.45">
      <c r="A656" s="8"/>
      <c r="B656" s="8"/>
      <c r="C656" s="34"/>
      <c r="D656" s="35"/>
      <c r="E656" s="35" t="s">
        <v>381</v>
      </c>
      <c r="F656" s="8" t="s">
        <v>49</v>
      </c>
      <c r="G656" s="62">
        <v>1015687</v>
      </c>
      <c r="H656" s="50">
        <v>2.5</v>
      </c>
      <c r="I656" s="31">
        <v>928166</v>
      </c>
      <c r="J656" s="31"/>
      <c r="K656" s="31"/>
      <c r="L656" s="31">
        <f t="shared" si="193"/>
        <v>0</v>
      </c>
      <c r="M656" s="31">
        <f t="shared" si="194"/>
        <v>928166</v>
      </c>
      <c r="N656" s="92">
        <v>100</v>
      </c>
      <c r="O656" s="111"/>
    </row>
    <row r="657" spans="1:15" s="14" customFormat="1" ht="81" customHeight="1" x14ac:dyDescent="0.45">
      <c r="A657" s="8"/>
      <c r="B657" s="8"/>
      <c r="C657" s="34"/>
      <c r="D657" s="35"/>
      <c r="E657" s="35" t="s">
        <v>395</v>
      </c>
      <c r="F657" s="8">
        <v>2020</v>
      </c>
      <c r="G657" s="62">
        <v>1272356</v>
      </c>
      <c r="H657" s="50"/>
      <c r="I657" s="31">
        <f>40000+610000-590000</f>
        <v>60000</v>
      </c>
      <c r="J657" s="31"/>
      <c r="K657" s="31">
        <v>590000</v>
      </c>
      <c r="L657" s="31">
        <f t="shared" si="193"/>
        <v>590000</v>
      </c>
      <c r="M657" s="31">
        <f t="shared" si="194"/>
        <v>650000</v>
      </c>
      <c r="N657" s="50">
        <v>51.1</v>
      </c>
      <c r="O657" s="111"/>
    </row>
    <row r="658" spans="1:15" s="14" customFormat="1" ht="71.5" customHeight="1" x14ac:dyDescent="0.45">
      <c r="A658" s="8"/>
      <c r="B658" s="8"/>
      <c r="C658" s="34"/>
      <c r="D658" s="35"/>
      <c r="E658" s="35" t="s">
        <v>430</v>
      </c>
      <c r="F658" s="8">
        <v>2020</v>
      </c>
      <c r="G658" s="62">
        <v>694830</v>
      </c>
      <c r="H658" s="50"/>
      <c r="I658" s="31">
        <f>40000+488000-470000</f>
        <v>58000</v>
      </c>
      <c r="J658" s="31"/>
      <c r="K658" s="31">
        <v>470000</v>
      </c>
      <c r="L658" s="31">
        <f t="shared" si="193"/>
        <v>470000</v>
      </c>
      <c r="M658" s="31">
        <f t="shared" si="194"/>
        <v>528000</v>
      </c>
      <c r="N658" s="50">
        <v>76</v>
      </c>
      <c r="O658" s="111"/>
    </row>
    <row r="659" spans="1:15" s="14" customFormat="1" ht="65.150000000000006" customHeight="1" x14ac:dyDescent="0.45">
      <c r="A659" s="8"/>
      <c r="B659" s="8"/>
      <c r="C659" s="34"/>
      <c r="D659" s="35"/>
      <c r="E659" s="35" t="s">
        <v>429</v>
      </c>
      <c r="F659" s="8">
        <v>2020</v>
      </c>
      <c r="G659" s="62">
        <v>1337473</v>
      </c>
      <c r="H659" s="50"/>
      <c r="I659" s="31">
        <f>40000+944000-890000</f>
        <v>94000</v>
      </c>
      <c r="J659" s="31"/>
      <c r="K659" s="31">
        <v>890000</v>
      </c>
      <c r="L659" s="31">
        <f t="shared" si="193"/>
        <v>890000</v>
      </c>
      <c r="M659" s="31">
        <f t="shared" si="194"/>
        <v>984000</v>
      </c>
      <c r="N659" s="50">
        <v>73.599999999999994</v>
      </c>
      <c r="O659" s="111"/>
    </row>
    <row r="660" spans="1:15" s="14" customFormat="1" ht="70.5" customHeight="1" x14ac:dyDescent="0.45">
      <c r="A660" s="8"/>
      <c r="B660" s="8"/>
      <c r="C660" s="34"/>
      <c r="D660" s="35"/>
      <c r="E660" s="35" t="s">
        <v>431</v>
      </c>
      <c r="F660" s="8">
        <v>2020</v>
      </c>
      <c r="G660" s="62">
        <v>1265707</v>
      </c>
      <c r="H660" s="50"/>
      <c r="I660" s="31">
        <f>40000+846000-800000</f>
        <v>86000</v>
      </c>
      <c r="J660" s="31"/>
      <c r="K660" s="31">
        <v>800000</v>
      </c>
      <c r="L660" s="31">
        <f>J660+K660</f>
        <v>800000</v>
      </c>
      <c r="M660" s="31">
        <f>I660+L660</f>
        <v>886000</v>
      </c>
      <c r="N660" s="50">
        <v>70</v>
      </c>
      <c r="O660" s="111"/>
    </row>
    <row r="661" spans="1:15" s="14" customFormat="1" ht="70" customHeight="1" x14ac:dyDescent="0.45">
      <c r="A661" s="8"/>
      <c r="B661" s="8"/>
      <c r="C661" s="34"/>
      <c r="D661" s="35"/>
      <c r="E661" s="35" t="s">
        <v>397</v>
      </c>
      <c r="F661" s="8">
        <v>2020</v>
      </c>
      <c r="G661" s="62">
        <v>1120842</v>
      </c>
      <c r="H661" s="50"/>
      <c r="I661" s="31">
        <f>40000+660000-630000</f>
        <v>70000</v>
      </c>
      <c r="J661" s="31"/>
      <c r="K661" s="31">
        <v>630000</v>
      </c>
      <c r="L661" s="31">
        <f t="shared" si="193"/>
        <v>630000</v>
      </c>
      <c r="M661" s="31">
        <f t="shared" si="194"/>
        <v>700000</v>
      </c>
      <c r="N661" s="50">
        <v>62.5</v>
      </c>
      <c r="O661" s="111"/>
    </row>
    <row r="662" spans="1:15" s="14" customFormat="1" ht="65.150000000000006" customHeight="1" x14ac:dyDescent="0.45">
      <c r="A662" s="8"/>
      <c r="B662" s="8"/>
      <c r="C662" s="34"/>
      <c r="D662" s="35"/>
      <c r="E662" s="35" t="s">
        <v>401</v>
      </c>
      <c r="F662" s="8">
        <v>2020</v>
      </c>
      <c r="G662" s="62">
        <v>1943232</v>
      </c>
      <c r="H662" s="50"/>
      <c r="I662" s="31">
        <f>40000+1304000-1210000</f>
        <v>134000</v>
      </c>
      <c r="J662" s="31"/>
      <c r="K662" s="31">
        <v>1210000</v>
      </c>
      <c r="L662" s="31">
        <f>J662+K662</f>
        <v>1210000</v>
      </c>
      <c r="M662" s="31">
        <f>I662+L662</f>
        <v>1344000</v>
      </c>
      <c r="N662" s="50">
        <v>69.2</v>
      </c>
      <c r="O662" s="111"/>
    </row>
    <row r="663" spans="1:15" s="14" customFormat="1" ht="71.150000000000006" customHeight="1" x14ac:dyDescent="0.45">
      <c r="A663" s="8"/>
      <c r="B663" s="8"/>
      <c r="C663" s="34"/>
      <c r="D663" s="35"/>
      <c r="E663" s="35" t="s">
        <v>400</v>
      </c>
      <c r="F663" s="8">
        <v>2020</v>
      </c>
      <c r="G663" s="62">
        <v>2372484</v>
      </c>
      <c r="H663" s="50"/>
      <c r="I663" s="31">
        <f>40000+1460000-1360000</f>
        <v>140000</v>
      </c>
      <c r="J663" s="31"/>
      <c r="K663" s="31">
        <v>1360000</v>
      </c>
      <c r="L663" s="31">
        <f t="shared" si="193"/>
        <v>1360000</v>
      </c>
      <c r="M663" s="31">
        <f t="shared" si="194"/>
        <v>1500000</v>
      </c>
      <c r="N663" s="50">
        <v>63.2</v>
      </c>
      <c r="O663" s="111"/>
    </row>
    <row r="664" spans="1:15" s="14" customFormat="1" ht="64" customHeight="1" x14ac:dyDescent="0.45">
      <c r="A664" s="8"/>
      <c r="B664" s="8"/>
      <c r="C664" s="34"/>
      <c r="D664" s="35"/>
      <c r="E664" s="35" t="s">
        <v>404</v>
      </c>
      <c r="F664" s="8">
        <v>2020</v>
      </c>
      <c r="G664" s="62">
        <v>1211023</v>
      </c>
      <c r="H664" s="50"/>
      <c r="I664" s="31">
        <f>40000+1460000-1360000</f>
        <v>140000</v>
      </c>
      <c r="J664" s="31"/>
      <c r="K664" s="31">
        <f>1360000-288977</f>
        <v>1071023</v>
      </c>
      <c r="L664" s="31">
        <f t="shared" si="193"/>
        <v>1071023</v>
      </c>
      <c r="M664" s="31">
        <f t="shared" si="194"/>
        <v>1211023</v>
      </c>
      <c r="N664" s="92">
        <v>100</v>
      </c>
      <c r="O664" s="111"/>
    </row>
    <row r="665" spans="1:15" s="14" customFormat="1" ht="79" customHeight="1" x14ac:dyDescent="0.45">
      <c r="A665" s="8"/>
      <c r="B665" s="8"/>
      <c r="C665" s="34"/>
      <c r="D665" s="35"/>
      <c r="E665" s="35" t="s">
        <v>380</v>
      </c>
      <c r="F665" s="8" t="s">
        <v>49</v>
      </c>
      <c r="G665" s="62">
        <v>1280072</v>
      </c>
      <c r="H665" s="50">
        <v>22.9</v>
      </c>
      <c r="I665" s="31">
        <v>972240</v>
      </c>
      <c r="J665" s="31"/>
      <c r="K665" s="31"/>
      <c r="L665" s="31">
        <f>J665+K665</f>
        <v>0</v>
      </c>
      <c r="M665" s="31">
        <f>I665+L665</f>
        <v>972240</v>
      </c>
      <c r="N665" s="92">
        <v>100</v>
      </c>
      <c r="O665" s="111"/>
    </row>
    <row r="666" spans="1:15" s="14" customFormat="1" ht="68.150000000000006" customHeight="1" x14ac:dyDescent="0.45">
      <c r="A666" s="8"/>
      <c r="B666" s="8"/>
      <c r="C666" s="34"/>
      <c r="D666" s="35"/>
      <c r="E666" s="35" t="s">
        <v>481</v>
      </c>
      <c r="F666" s="8">
        <v>2020</v>
      </c>
      <c r="G666" s="62">
        <v>1545161</v>
      </c>
      <c r="H666" s="50"/>
      <c r="I666" s="31">
        <f>40000+1592000-1500000</f>
        <v>132000</v>
      </c>
      <c r="J666" s="31"/>
      <c r="K666" s="31">
        <f>1500000-86839</f>
        <v>1413161</v>
      </c>
      <c r="L666" s="31">
        <f t="shared" si="193"/>
        <v>1413161</v>
      </c>
      <c r="M666" s="31">
        <f t="shared" si="194"/>
        <v>1545161</v>
      </c>
      <c r="N666" s="92">
        <v>100</v>
      </c>
      <c r="O666" s="111"/>
    </row>
    <row r="667" spans="1:15" s="14" customFormat="1" ht="68.150000000000006" customHeight="1" x14ac:dyDescent="0.45">
      <c r="A667" s="8"/>
      <c r="B667" s="8"/>
      <c r="C667" s="34"/>
      <c r="D667" s="35"/>
      <c r="E667" s="35" t="s">
        <v>385</v>
      </c>
      <c r="F667" s="8" t="s">
        <v>49</v>
      </c>
      <c r="G667" s="62">
        <v>1107684</v>
      </c>
      <c r="H667" s="50">
        <v>7.3</v>
      </c>
      <c r="I667" s="31">
        <v>1000000</v>
      </c>
      <c r="J667" s="31"/>
      <c r="K667" s="31"/>
      <c r="L667" s="31">
        <f t="shared" ref="L667" si="195">J667+K667</f>
        <v>0</v>
      </c>
      <c r="M667" s="31">
        <f t="shared" ref="M667" si="196">I667+L667</f>
        <v>1000000</v>
      </c>
      <c r="N667" s="50">
        <v>97.6</v>
      </c>
      <c r="O667" s="111"/>
    </row>
    <row r="668" spans="1:15" s="5" customFormat="1" ht="47.15" customHeight="1" x14ac:dyDescent="0.45">
      <c r="A668" s="7">
        <v>1517310</v>
      </c>
      <c r="B668" s="7">
        <v>7310</v>
      </c>
      <c r="C668" s="17" t="s">
        <v>2</v>
      </c>
      <c r="D668" s="9" t="s">
        <v>1</v>
      </c>
      <c r="E668" s="8"/>
      <c r="F668" s="31"/>
      <c r="G668" s="31"/>
      <c r="H668" s="31"/>
      <c r="I668" s="10">
        <f>I669+I672</f>
        <v>4590000</v>
      </c>
      <c r="J668" s="10">
        <f t="shared" ref="J668:M668" si="197">J669+J672</f>
        <v>1295000</v>
      </c>
      <c r="K668" s="10">
        <f t="shared" si="197"/>
        <v>0</v>
      </c>
      <c r="L668" s="10">
        <f t="shared" si="197"/>
        <v>1295000</v>
      </c>
      <c r="M668" s="10">
        <f t="shared" si="197"/>
        <v>5885000</v>
      </c>
      <c r="N668" s="10"/>
      <c r="O668" s="81"/>
    </row>
    <row r="669" spans="1:15" s="65" customFormat="1" ht="53.15" customHeight="1" x14ac:dyDescent="0.45">
      <c r="A669" s="38"/>
      <c r="B669" s="38"/>
      <c r="C669" s="38"/>
      <c r="D669" s="22"/>
      <c r="E669" s="21" t="s">
        <v>25</v>
      </c>
      <c r="F669" s="37"/>
      <c r="G669" s="37"/>
      <c r="H669" s="37"/>
      <c r="I669" s="13">
        <f>SUM(I670:I670)+I671</f>
        <v>3160000</v>
      </c>
      <c r="J669" s="13">
        <f t="shared" ref="J669:M669" si="198">SUM(J670:J670)+J671</f>
        <v>1295000</v>
      </c>
      <c r="K669" s="13">
        <f t="shared" si="198"/>
        <v>0</v>
      </c>
      <c r="L669" s="13">
        <f t="shared" si="198"/>
        <v>1295000</v>
      </c>
      <c r="M669" s="13">
        <f t="shared" si="198"/>
        <v>4455000</v>
      </c>
      <c r="N669" s="37"/>
      <c r="O669" s="81"/>
    </row>
    <row r="670" spans="1:15" s="14" customFormat="1" ht="55" customHeight="1" x14ac:dyDescent="0.45">
      <c r="A670" s="8"/>
      <c r="B670" s="8"/>
      <c r="C670" s="8"/>
      <c r="D670" s="8"/>
      <c r="E670" s="35" t="s">
        <v>30</v>
      </c>
      <c r="F670" s="8" t="s">
        <v>45</v>
      </c>
      <c r="G670" s="30">
        <v>15922519</v>
      </c>
      <c r="H670" s="8">
        <v>70.3</v>
      </c>
      <c r="I670" s="31">
        <v>3000000</v>
      </c>
      <c r="J670" s="31">
        <v>1295000</v>
      </c>
      <c r="K670" s="31"/>
      <c r="L670" s="31">
        <f t="shared" ref="L670:L671" si="199">J670+K670</f>
        <v>1295000</v>
      </c>
      <c r="M670" s="31">
        <f t="shared" ref="M670:M671" si="200">I670+L670</f>
        <v>4295000</v>
      </c>
      <c r="N670" s="8">
        <v>100</v>
      </c>
      <c r="O670" s="81"/>
    </row>
    <row r="671" spans="1:15" s="14" customFormat="1" ht="45" customHeight="1" x14ac:dyDescent="0.45">
      <c r="A671" s="8"/>
      <c r="B671" s="8"/>
      <c r="C671" s="8"/>
      <c r="D671" s="47"/>
      <c r="E671" s="57" t="s">
        <v>241</v>
      </c>
      <c r="F671" s="8" t="s">
        <v>48</v>
      </c>
      <c r="G671" s="30"/>
      <c r="H671" s="8"/>
      <c r="I671" s="31">
        <v>160000</v>
      </c>
      <c r="J671" s="31"/>
      <c r="K671" s="31"/>
      <c r="L671" s="31">
        <f t="shared" si="199"/>
        <v>0</v>
      </c>
      <c r="M671" s="31">
        <f t="shared" si="200"/>
        <v>160000</v>
      </c>
      <c r="N671" s="8"/>
      <c r="O671" s="81"/>
    </row>
    <row r="672" spans="1:15" s="14" customFormat="1" ht="49" customHeight="1" x14ac:dyDescent="0.45">
      <c r="A672" s="8"/>
      <c r="B672" s="8"/>
      <c r="C672" s="8"/>
      <c r="D672" s="8"/>
      <c r="E672" s="21" t="s">
        <v>26</v>
      </c>
      <c r="F672" s="8"/>
      <c r="G672" s="30"/>
      <c r="H672" s="8"/>
      <c r="I672" s="13">
        <f>I673</f>
        <v>1430000</v>
      </c>
      <c r="J672" s="13">
        <f t="shared" ref="J672:M672" si="201">J673</f>
        <v>0</v>
      </c>
      <c r="K672" s="13">
        <f t="shared" si="201"/>
        <v>0</v>
      </c>
      <c r="L672" s="13">
        <f t="shared" si="201"/>
        <v>0</v>
      </c>
      <c r="M672" s="13">
        <f t="shared" si="201"/>
        <v>1430000</v>
      </c>
      <c r="N672" s="8"/>
      <c r="O672" s="81"/>
    </row>
    <row r="673" spans="1:15" s="14" customFormat="1" ht="84" customHeight="1" x14ac:dyDescent="0.45">
      <c r="A673" s="8"/>
      <c r="B673" s="8"/>
      <c r="C673" s="8"/>
      <c r="D673" s="47"/>
      <c r="E673" s="66" t="s">
        <v>242</v>
      </c>
      <c r="F673" s="8" t="s">
        <v>49</v>
      </c>
      <c r="G673" s="30">
        <v>1497784</v>
      </c>
      <c r="H673" s="8">
        <v>4.5999999999999996</v>
      </c>
      <c r="I673" s="31">
        <v>1430000</v>
      </c>
      <c r="J673" s="31"/>
      <c r="K673" s="31"/>
      <c r="L673" s="31">
        <f t="shared" ref="L673" si="202">J673+K673</f>
        <v>0</v>
      </c>
      <c r="M673" s="31">
        <f t="shared" ref="M673" si="203">I673+L673</f>
        <v>1430000</v>
      </c>
      <c r="N673" s="8">
        <v>100</v>
      </c>
      <c r="O673" s="81"/>
    </row>
    <row r="674" spans="1:15" s="5" customFormat="1" ht="48" customHeight="1" x14ac:dyDescent="0.45">
      <c r="A674" s="7">
        <v>1517321</v>
      </c>
      <c r="B674" s="7">
        <v>7321</v>
      </c>
      <c r="C674" s="17" t="s">
        <v>2</v>
      </c>
      <c r="D674" s="61" t="s">
        <v>3</v>
      </c>
      <c r="E674" s="67"/>
      <c r="F674" s="31"/>
      <c r="G674" s="31"/>
      <c r="H674" s="31"/>
      <c r="I674" s="10">
        <f>I677+I675</f>
        <v>4000000</v>
      </c>
      <c r="J674" s="10">
        <f t="shared" ref="J674:M674" si="204">J677+J675</f>
        <v>993835</v>
      </c>
      <c r="K674" s="10">
        <f t="shared" si="204"/>
        <v>0</v>
      </c>
      <c r="L674" s="10">
        <f t="shared" si="204"/>
        <v>993835</v>
      </c>
      <c r="M674" s="10">
        <f t="shared" si="204"/>
        <v>4993835</v>
      </c>
      <c r="N674" s="8"/>
      <c r="O674" s="81"/>
    </row>
    <row r="675" spans="1:15" s="5" customFormat="1" ht="48" customHeight="1" x14ac:dyDescent="0.45">
      <c r="A675" s="7"/>
      <c r="B675" s="7"/>
      <c r="C675" s="17"/>
      <c r="D675" s="61"/>
      <c r="E675" s="21" t="s">
        <v>25</v>
      </c>
      <c r="F675" s="31"/>
      <c r="G675" s="31"/>
      <c r="H675" s="31"/>
      <c r="I675" s="10">
        <f>I676</f>
        <v>0</v>
      </c>
      <c r="J675" s="10">
        <f t="shared" ref="J675:M675" si="205">J676</f>
        <v>993835</v>
      </c>
      <c r="K675" s="10">
        <f t="shared" si="205"/>
        <v>0</v>
      </c>
      <c r="L675" s="10">
        <f t="shared" si="205"/>
        <v>993835</v>
      </c>
      <c r="M675" s="10">
        <f t="shared" si="205"/>
        <v>993835</v>
      </c>
      <c r="N675" s="8"/>
      <c r="O675" s="81"/>
    </row>
    <row r="676" spans="1:15" s="5" customFormat="1" ht="70" customHeight="1" x14ac:dyDescent="0.45">
      <c r="A676" s="7"/>
      <c r="B676" s="7"/>
      <c r="C676" s="17"/>
      <c r="D676" s="61"/>
      <c r="E676" s="35" t="s">
        <v>31</v>
      </c>
      <c r="F676" s="31" t="s">
        <v>46</v>
      </c>
      <c r="G676" s="30">
        <v>77987328</v>
      </c>
      <c r="H676" s="52">
        <v>0.9</v>
      </c>
      <c r="I676" s="10"/>
      <c r="J676" s="31">
        <v>993835</v>
      </c>
      <c r="K676" s="10"/>
      <c r="L676" s="31">
        <f t="shared" ref="L676" si="206">J676+K676</f>
        <v>993835</v>
      </c>
      <c r="M676" s="31">
        <f t="shared" ref="M676" si="207">I676+L676</f>
        <v>993835</v>
      </c>
      <c r="N676" s="8">
        <v>40.700000000000003</v>
      </c>
      <c r="O676" s="81"/>
    </row>
    <row r="677" spans="1:15" s="65" customFormat="1" ht="58" customHeight="1" x14ac:dyDescent="0.45">
      <c r="A677" s="38"/>
      <c r="B677" s="38"/>
      <c r="C677" s="38"/>
      <c r="D677" s="22"/>
      <c r="E677" s="21" t="s">
        <v>26</v>
      </c>
      <c r="F677" s="37"/>
      <c r="G677" s="37"/>
      <c r="H677" s="37"/>
      <c r="I677" s="13">
        <f>SUM(I678:I678)</f>
        <v>4000000</v>
      </c>
      <c r="J677" s="13">
        <f t="shared" ref="J677:M677" si="208">SUM(J678:J678)</f>
        <v>0</v>
      </c>
      <c r="K677" s="13">
        <f t="shared" si="208"/>
        <v>0</v>
      </c>
      <c r="L677" s="13">
        <f t="shared" si="208"/>
        <v>0</v>
      </c>
      <c r="M677" s="13">
        <f t="shared" si="208"/>
        <v>4000000</v>
      </c>
      <c r="N677" s="38"/>
      <c r="O677" s="81"/>
    </row>
    <row r="678" spans="1:15" s="14" customFormat="1" ht="60" customHeight="1" x14ac:dyDescent="0.45">
      <c r="A678" s="8"/>
      <c r="B678" s="8"/>
      <c r="C678" s="8"/>
      <c r="D678" s="8"/>
      <c r="E678" s="35" t="s">
        <v>32</v>
      </c>
      <c r="F678" s="8" t="s">
        <v>45</v>
      </c>
      <c r="G678" s="30">
        <v>7491775</v>
      </c>
      <c r="H678" s="50">
        <v>32</v>
      </c>
      <c r="I678" s="31">
        <v>4000000</v>
      </c>
      <c r="J678" s="31"/>
      <c r="K678" s="31"/>
      <c r="L678" s="31">
        <f t="shared" ref="L678" si="209">J678+K678</f>
        <v>0</v>
      </c>
      <c r="M678" s="31">
        <f t="shared" ref="M678" si="210">I678+L678</f>
        <v>4000000</v>
      </c>
      <c r="N678" s="8">
        <v>81.2</v>
      </c>
      <c r="O678" s="81"/>
    </row>
    <row r="679" spans="1:15" s="5" customFormat="1" ht="54" customHeight="1" x14ac:dyDescent="0.45">
      <c r="A679" s="7">
        <v>1517322</v>
      </c>
      <c r="B679" s="7">
        <v>7322</v>
      </c>
      <c r="C679" s="17" t="s">
        <v>2</v>
      </c>
      <c r="D679" s="61" t="s">
        <v>4</v>
      </c>
      <c r="E679" s="67"/>
      <c r="F679" s="31"/>
      <c r="G679" s="31"/>
      <c r="H679" s="31"/>
      <c r="I679" s="10">
        <f>I680</f>
        <v>12454849</v>
      </c>
      <c r="J679" s="10">
        <f t="shared" ref="J679:M679" si="211">J680</f>
        <v>0</v>
      </c>
      <c r="K679" s="10">
        <f t="shared" si="211"/>
        <v>0</v>
      </c>
      <c r="L679" s="10">
        <f t="shared" si="211"/>
        <v>0</v>
      </c>
      <c r="M679" s="10">
        <f t="shared" si="211"/>
        <v>12454849</v>
      </c>
      <c r="N679" s="8"/>
      <c r="O679" s="81"/>
    </row>
    <row r="680" spans="1:15" s="65" customFormat="1" ht="53.15" customHeight="1" x14ac:dyDescent="0.45">
      <c r="A680" s="38"/>
      <c r="B680" s="38"/>
      <c r="C680" s="38"/>
      <c r="D680" s="22"/>
      <c r="E680" s="21" t="s">
        <v>26</v>
      </c>
      <c r="F680" s="37"/>
      <c r="G680" s="37"/>
      <c r="H680" s="37"/>
      <c r="I680" s="13">
        <f>SUM(I681:I683)</f>
        <v>12454849</v>
      </c>
      <c r="J680" s="13">
        <f t="shared" ref="J680:M680" si="212">SUM(J681:J683)</f>
        <v>0</v>
      </c>
      <c r="K680" s="13">
        <f t="shared" si="212"/>
        <v>0</v>
      </c>
      <c r="L680" s="13">
        <f t="shared" si="212"/>
        <v>0</v>
      </c>
      <c r="M680" s="13">
        <f t="shared" si="212"/>
        <v>12454849</v>
      </c>
      <c r="N680" s="38"/>
      <c r="O680" s="81"/>
    </row>
    <row r="681" spans="1:15" s="14" customFormat="1" ht="66" customHeight="1" x14ac:dyDescent="0.45">
      <c r="A681" s="8"/>
      <c r="B681" s="8"/>
      <c r="C681" s="8"/>
      <c r="D681" s="8"/>
      <c r="E681" s="35" t="s">
        <v>33</v>
      </c>
      <c r="F681" s="8" t="s">
        <v>47</v>
      </c>
      <c r="G681" s="30">
        <v>32104361</v>
      </c>
      <c r="H681" s="8">
        <v>7.8</v>
      </c>
      <c r="I681" s="31">
        <f>7000000-3286719+8000000</f>
        <v>11713281</v>
      </c>
      <c r="J681" s="31"/>
      <c r="K681" s="31"/>
      <c r="L681" s="31">
        <f t="shared" ref="L681:L683" si="213">J681+K681</f>
        <v>0</v>
      </c>
      <c r="M681" s="31">
        <f t="shared" ref="M681:M683" si="214">I681+L681</f>
        <v>11713281</v>
      </c>
      <c r="N681" s="8">
        <v>44.3</v>
      </c>
      <c r="O681" s="81"/>
    </row>
    <row r="682" spans="1:15" s="14" customFormat="1" ht="113.15" customHeight="1" x14ac:dyDescent="0.45">
      <c r="A682" s="8"/>
      <c r="B682" s="8"/>
      <c r="C682" s="8"/>
      <c r="D682" s="47"/>
      <c r="E682" s="66" t="s">
        <v>71</v>
      </c>
      <c r="F682" s="8" t="s">
        <v>49</v>
      </c>
      <c r="G682" s="30">
        <v>1499096</v>
      </c>
      <c r="H682" s="8">
        <v>53.4</v>
      </c>
      <c r="I682" s="31">
        <v>537335</v>
      </c>
      <c r="J682" s="31"/>
      <c r="K682" s="31"/>
      <c r="L682" s="31">
        <f t="shared" si="213"/>
        <v>0</v>
      </c>
      <c r="M682" s="31">
        <f t="shared" si="214"/>
        <v>537335</v>
      </c>
      <c r="N682" s="8">
        <v>89.2</v>
      </c>
      <c r="O682" s="81"/>
    </row>
    <row r="683" spans="1:15" s="14" customFormat="1" ht="51" customHeight="1" x14ac:dyDescent="0.45">
      <c r="A683" s="8"/>
      <c r="B683" s="8"/>
      <c r="C683" s="8"/>
      <c r="D683" s="47"/>
      <c r="E683" s="66" t="s">
        <v>72</v>
      </c>
      <c r="F683" s="8" t="s">
        <v>46</v>
      </c>
      <c r="G683" s="30">
        <v>18339951</v>
      </c>
      <c r="H683" s="8">
        <v>10.4</v>
      </c>
      <c r="I683" s="31">
        <v>204233</v>
      </c>
      <c r="J683" s="31"/>
      <c r="K683" s="31"/>
      <c r="L683" s="31">
        <f t="shared" si="213"/>
        <v>0</v>
      </c>
      <c r="M683" s="31">
        <f t="shared" si="214"/>
        <v>204233</v>
      </c>
      <c r="N683" s="8">
        <v>11.5</v>
      </c>
      <c r="O683" s="81"/>
    </row>
    <row r="684" spans="1:15" s="18" customFormat="1" ht="61" customHeight="1" x14ac:dyDescent="0.45">
      <c r="A684" s="7">
        <v>1517325</v>
      </c>
      <c r="B684" s="7">
        <v>7325</v>
      </c>
      <c r="C684" s="17" t="s">
        <v>2</v>
      </c>
      <c r="D684" s="47" t="s">
        <v>529</v>
      </c>
      <c r="E684" s="21"/>
      <c r="F684" s="7"/>
      <c r="G684" s="36"/>
      <c r="H684" s="7"/>
      <c r="I684" s="10">
        <f>I686+I687</f>
        <v>500000</v>
      </c>
      <c r="J684" s="10">
        <f t="shared" ref="J684:M684" si="215">J686+J687</f>
        <v>0</v>
      </c>
      <c r="K684" s="10">
        <f t="shared" si="215"/>
        <v>10000000</v>
      </c>
      <c r="L684" s="10">
        <f t="shared" si="215"/>
        <v>10000000</v>
      </c>
      <c r="M684" s="10">
        <f t="shared" si="215"/>
        <v>10500000</v>
      </c>
      <c r="N684" s="7"/>
      <c r="O684" s="80"/>
    </row>
    <row r="685" spans="1:15" s="18" customFormat="1" ht="61" customHeight="1" x14ac:dyDescent="0.45">
      <c r="A685" s="7"/>
      <c r="B685" s="7"/>
      <c r="C685" s="17"/>
      <c r="D685" s="47"/>
      <c r="E685" s="21" t="s">
        <v>25</v>
      </c>
      <c r="F685" s="7"/>
      <c r="G685" s="36"/>
      <c r="H685" s="7"/>
      <c r="I685" s="13">
        <f>I686</f>
        <v>500000</v>
      </c>
      <c r="J685" s="13">
        <f t="shared" ref="J685:M685" si="216">J686</f>
        <v>0</v>
      </c>
      <c r="K685" s="13">
        <f t="shared" si="216"/>
        <v>0</v>
      </c>
      <c r="L685" s="13">
        <f t="shared" si="216"/>
        <v>0</v>
      </c>
      <c r="M685" s="13">
        <f t="shared" si="216"/>
        <v>500000</v>
      </c>
      <c r="N685" s="7"/>
      <c r="O685" s="80"/>
    </row>
    <row r="686" spans="1:15" s="14" customFormat="1" ht="56.15" customHeight="1" x14ac:dyDescent="0.45">
      <c r="A686" s="8"/>
      <c r="B686" s="8"/>
      <c r="C686" s="8"/>
      <c r="D686" s="47"/>
      <c r="E686" s="66" t="s">
        <v>524</v>
      </c>
      <c r="F686" s="8">
        <v>2020</v>
      </c>
      <c r="G686" s="30"/>
      <c r="H686" s="8"/>
      <c r="I686" s="31">
        <f>100000+400000</f>
        <v>500000</v>
      </c>
      <c r="J686" s="31"/>
      <c r="K686" s="31"/>
      <c r="L686" s="31">
        <f>J686+K686</f>
        <v>0</v>
      </c>
      <c r="M686" s="31">
        <f>I686+L686</f>
        <v>500000</v>
      </c>
      <c r="N686" s="8"/>
      <c r="O686" s="81"/>
    </row>
    <row r="687" spans="1:15" s="14" customFormat="1" ht="56.15" customHeight="1" x14ac:dyDescent="0.45">
      <c r="A687" s="8"/>
      <c r="B687" s="8"/>
      <c r="C687" s="8"/>
      <c r="D687" s="47"/>
      <c r="E687" s="21" t="s">
        <v>26</v>
      </c>
      <c r="F687" s="8"/>
      <c r="G687" s="30"/>
      <c r="H687" s="8"/>
      <c r="I687" s="13">
        <f>I688</f>
        <v>0</v>
      </c>
      <c r="J687" s="13">
        <f t="shared" ref="J687:M687" si="217">J688</f>
        <v>0</v>
      </c>
      <c r="K687" s="13">
        <f t="shared" si="217"/>
        <v>10000000</v>
      </c>
      <c r="L687" s="13">
        <f t="shared" si="217"/>
        <v>10000000</v>
      </c>
      <c r="M687" s="13">
        <f t="shared" si="217"/>
        <v>10000000</v>
      </c>
      <c r="N687" s="8"/>
      <c r="O687" s="81"/>
    </row>
    <row r="688" spans="1:15" s="14" customFormat="1" ht="73" customHeight="1" x14ac:dyDescent="0.45">
      <c r="A688" s="8"/>
      <c r="B688" s="8"/>
      <c r="C688" s="8"/>
      <c r="D688" s="47"/>
      <c r="E688" s="66" t="s">
        <v>681</v>
      </c>
      <c r="F688" s="8" t="s">
        <v>45</v>
      </c>
      <c r="G688" s="30">
        <v>12421937</v>
      </c>
      <c r="H688" s="8">
        <v>0.2</v>
      </c>
      <c r="I688" s="31"/>
      <c r="J688" s="31"/>
      <c r="K688" s="31">
        <v>10000000</v>
      </c>
      <c r="L688" s="31">
        <f>J688+K688</f>
        <v>10000000</v>
      </c>
      <c r="M688" s="31">
        <f>I688+L688</f>
        <v>10000000</v>
      </c>
      <c r="N688" s="8">
        <v>80.7</v>
      </c>
      <c r="O688" s="81"/>
    </row>
    <row r="689" spans="1:15" s="5" customFormat="1" ht="53.15" customHeight="1" x14ac:dyDescent="0.45">
      <c r="A689" s="7">
        <v>1517330</v>
      </c>
      <c r="B689" s="7">
        <v>7330</v>
      </c>
      <c r="C689" s="17" t="s">
        <v>2</v>
      </c>
      <c r="D689" s="61" t="s">
        <v>24</v>
      </c>
      <c r="E689" s="61"/>
      <c r="F689" s="31"/>
      <c r="G689" s="31"/>
      <c r="H689" s="31"/>
      <c r="I689" s="10">
        <f>I690+I713</f>
        <v>43270823</v>
      </c>
      <c r="J689" s="10">
        <f>J690+J713</f>
        <v>-2352445</v>
      </c>
      <c r="K689" s="10">
        <f>K690+K713</f>
        <v>18100000</v>
      </c>
      <c r="L689" s="10">
        <f>L690+L713</f>
        <v>15747555</v>
      </c>
      <c r="M689" s="10">
        <f>M690+M713</f>
        <v>59018378</v>
      </c>
      <c r="N689" s="8"/>
      <c r="O689" s="81"/>
    </row>
    <row r="690" spans="1:15" s="65" customFormat="1" ht="57" customHeight="1" x14ac:dyDescent="0.45">
      <c r="A690" s="68"/>
      <c r="B690" s="68"/>
      <c r="C690" s="68"/>
      <c r="D690" s="22"/>
      <c r="E690" s="21" t="s">
        <v>25</v>
      </c>
      <c r="F690" s="69"/>
      <c r="G690" s="69"/>
      <c r="H690" s="69"/>
      <c r="I690" s="13">
        <f>SUM(I691:I712)</f>
        <v>29576412</v>
      </c>
      <c r="J690" s="13">
        <f>SUM(J691:J712)</f>
        <v>-2752445</v>
      </c>
      <c r="K690" s="13">
        <f>SUM(K691:K712)</f>
        <v>0</v>
      </c>
      <c r="L690" s="13">
        <f>SUM(L691:L712)</f>
        <v>-2752445</v>
      </c>
      <c r="M690" s="13">
        <f>SUM(M691:M712)</f>
        <v>26823967</v>
      </c>
      <c r="N690" s="68"/>
      <c r="O690" s="81"/>
    </row>
    <row r="691" spans="1:15" s="5" customFormat="1" ht="50.15" customHeight="1" x14ac:dyDescent="0.45">
      <c r="A691" s="70"/>
      <c r="B691" s="70"/>
      <c r="C691" s="70"/>
      <c r="D691" s="7"/>
      <c r="E691" s="35" t="s">
        <v>34</v>
      </c>
      <c r="F691" s="8" t="s">
        <v>55</v>
      </c>
      <c r="G691" s="30">
        <v>28556946</v>
      </c>
      <c r="H691" s="50">
        <v>58</v>
      </c>
      <c r="I691" s="31">
        <f>5000000-1000000</f>
        <v>4000000</v>
      </c>
      <c r="J691" s="31"/>
      <c r="K691" s="31"/>
      <c r="L691" s="31">
        <f t="shared" ref="L691:L712" si="218">J691+K691</f>
        <v>0</v>
      </c>
      <c r="M691" s="31">
        <f t="shared" ref="M691:M712" si="219">I691+L691</f>
        <v>4000000</v>
      </c>
      <c r="N691" s="71">
        <v>72</v>
      </c>
      <c r="O691" s="81"/>
    </row>
    <row r="692" spans="1:15" s="5" customFormat="1" ht="46" customHeight="1" x14ac:dyDescent="0.45">
      <c r="A692" s="70"/>
      <c r="B692" s="70"/>
      <c r="C692" s="70"/>
      <c r="D692" s="7"/>
      <c r="E692" s="35" t="s">
        <v>63</v>
      </c>
      <c r="F692" s="8" t="s">
        <v>64</v>
      </c>
      <c r="G692" s="30"/>
      <c r="H692" s="8"/>
      <c r="I692" s="31">
        <v>1000000</v>
      </c>
      <c r="J692" s="31"/>
      <c r="K692" s="31"/>
      <c r="L692" s="31">
        <f t="shared" si="218"/>
        <v>0</v>
      </c>
      <c r="M692" s="31">
        <f t="shared" si="219"/>
        <v>1000000</v>
      </c>
      <c r="N692" s="8"/>
      <c r="O692" s="81"/>
    </row>
    <row r="693" spans="1:15" s="14" customFormat="1" ht="100" customHeight="1" x14ac:dyDescent="0.45">
      <c r="A693" s="8"/>
      <c r="B693" s="8"/>
      <c r="C693" s="8"/>
      <c r="D693" s="8"/>
      <c r="E693" s="35" t="s">
        <v>35</v>
      </c>
      <c r="F693" s="8" t="s">
        <v>48</v>
      </c>
      <c r="G693" s="30"/>
      <c r="H693" s="8"/>
      <c r="I693" s="31">
        <f>20200000-500000</f>
        <v>19700000</v>
      </c>
      <c r="J693" s="31">
        <f>-1393835-1917556</f>
        <v>-3311391</v>
      </c>
      <c r="K693" s="31"/>
      <c r="L693" s="31">
        <f t="shared" si="218"/>
        <v>-3311391</v>
      </c>
      <c r="M693" s="31">
        <f t="shared" si="219"/>
        <v>16388609</v>
      </c>
      <c r="N693" s="8"/>
      <c r="O693" s="81"/>
    </row>
    <row r="694" spans="1:15" s="5" customFormat="1" ht="46" customHeight="1" x14ac:dyDescent="0.3">
      <c r="A694" s="70"/>
      <c r="B694" s="70"/>
      <c r="C694" s="70"/>
      <c r="D694" s="7"/>
      <c r="E694" s="35" t="s">
        <v>53</v>
      </c>
      <c r="F694" s="8">
        <v>2020</v>
      </c>
      <c r="G694" s="30"/>
      <c r="H694" s="8"/>
      <c r="I694" s="31">
        <f>1450000+200000+1000000</f>
        <v>2650000</v>
      </c>
      <c r="J694" s="31"/>
      <c r="K694" s="31"/>
      <c r="L694" s="31">
        <f t="shared" si="218"/>
        <v>0</v>
      </c>
      <c r="M694" s="31">
        <f t="shared" si="219"/>
        <v>2650000</v>
      </c>
      <c r="N694" s="8"/>
      <c r="O694" s="83"/>
    </row>
    <row r="695" spans="1:15" s="5" customFormat="1" ht="54" customHeight="1" x14ac:dyDescent="0.3">
      <c r="A695" s="70"/>
      <c r="B695" s="70"/>
      <c r="C695" s="70"/>
      <c r="D695" s="7"/>
      <c r="E695" s="35" t="s">
        <v>57</v>
      </c>
      <c r="F695" s="8" t="s">
        <v>39</v>
      </c>
      <c r="G695" s="30">
        <v>1609069</v>
      </c>
      <c r="H695" s="8">
        <v>2.8</v>
      </c>
      <c r="I695" s="31">
        <v>500000</v>
      </c>
      <c r="J695" s="31"/>
      <c r="K695" s="31"/>
      <c r="L695" s="31">
        <f t="shared" si="218"/>
        <v>0</v>
      </c>
      <c r="M695" s="31">
        <f t="shared" si="219"/>
        <v>500000</v>
      </c>
      <c r="N695" s="8">
        <v>33.799999999999997</v>
      </c>
      <c r="O695" s="83"/>
    </row>
    <row r="696" spans="1:15" s="5" customFormat="1" ht="64" customHeight="1" x14ac:dyDescent="0.3">
      <c r="A696" s="70"/>
      <c r="B696" s="70"/>
      <c r="C696" s="70"/>
      <c r="D696" s="7"/>
      <c r="E696" s="35" t="s">
        <v>505</v>
      </c>
      <c r="F696" s="8">
        <v>2020</v>
      </c>
      <c r="G696" s="30"/>
      <c r="H696" s="8"/>
      <c r="I696" s="31">
        <v>150000</v>
      </c>
      <c r="J696" s="31"/>
      <c r="K696" s="31"/>
      <c r="L696" s="31">
        <f t="shared" si="218"/>
        <v>0</v>
      </c>
      <c r="M696" s="31">
        <f t="shared" si="219"/>
        <v>150000</v>
      </c>
      <c r="N696" s="8"/>
      <c r="O696" s="83"/>
    </row>
    <row r="697" spans="1:15" s="5" customFormat="1" ht="77.150000000000006" customHeight="1" x14ac:dyDescent="0.3">
      <c r="A697" s="70"/>
      <c r="B697" s="70"/>
      <c r="C697" s="70"/>
      <c r="D697" s="7"/>
      <c r="E697" s="35" t="s">
        <v>442</v>
      </c>
      <c r="F697" s="8">
        <v>2020</v>
      </c>
      <c r="G697" s="30"/>
      <c r="H697" s="8"/>
      <c r="I697" s="31">
        <v>88540</v>
      </c>
      <c r="J697" s="31"/>
      <c r="K697" s="31"/>
      <c r="L697" s="31">
        <f t="shared" si="218"/>
        <v>0</v>
      </c>
      <c r="M697" s="31">
        <f t="shared" si="219"/>
        <v>88540</v>
      </c>
      <c r="N697" s="8"/>
      <c r="O697" s="83"/>
    </row>
    <row r="698" spans="1:15" s="5" customFormat="1" ht="74.150000000000006" customHeight="1" x14ac:dyDescent="0.3">
      <c r="A698" s="70"/>
      <c r="B698" s="70"/>
      <c r="C698" s="70"/>
      <c r="D698" s="7"/>
      <c r="E698" s="35" t="s">
        <v>443</v>
      </c>
      <c r="F698" s="8">
        <v>2020</v>
      </c>
      <c r="G698" s="30"/>
      <c r="H698" s="8"/>
      <c r="I698" s="31">
        <v>88540</v>
      </c>
      <c r="J698" s="31"/>
      <c r="K698" s="31"/>
      <c r="L698" s="31">
        <f t="shared" si="218"/>
        <v>0</v>
      </c>
      <c r="M698" s="31">
        <f t="shared" si="219"/>
        <v>88540</v>
      </c>
      <c r="N698" s="8"/>
      <c r="O698" s="83"/>
    </row>
    <row r="699" spans="1:15" s="5" customFormat="1" ht="74.150000000000006" customHeight="1" x14ac:dyDescent="0.3">
      <c r="A699" s="70"/>
      <c r="B699" s="70"/>
      <c r="C699" s="70"/>
      <c r="D699" s="7"/>
      <c r="E699" s="35" t="s">
        <v>638</v>
      </c>
      <c r="F699" s="8">
        <v>2020</v>
      </c>
      <c r="G699" s="30"/>
      <c r="H699" s="8"/>
      <c r="I699" s="31"/>
      <c r="J699" s="31">
        <v>88300</v>
      </c>
      <c r="K699" s="31"/>
      <c r="L699" s="31">
        <f t="shared" ref="L699" si="220">J699+K699</f>
        <v>88300</v>
      </c>
      <c r="M699" s="31">
        <f t="shared" ref="M699" si="221">I699+L699</f>
        <v>88300</v>
      </c>
      <c r="N699" s="8"/>
      <c r="O699" s="83"/>
    </row>
    <row r="700" spans="1:15" s="5" customFormat="1" ht="74.150000000000006" customHeight="1" x14ac:dyDescent="0.3">
      <c r="A700" s="70"/>
      <c r="B700" s="70"/>
      <c r="C700" s="70"/>
      <c r="D700" s="7"/>
      <c r="E700" s="35" t="s">
        <v>637</v>
      </c>
      <c r="F700" s="8">
        <v>2020</v>
      </c>
      <c r="G700" s="30"/>
      <c r="H700" s="8"/>
      <c r="I700" s="31"/>
      <c r="J700" s="31">
        <v>88300</v>
      </c>
      <c r="K700" s="31"/>
      <c r="L700" s="31">
        <f t="shared" ref="L700" si="222">J700+K700</f>
        <v>88300</v>
      </c>
      <c r="M700" s="31">
        <f t="shared" ref="M700" si="223">I700+L700</f>
        <v>88300</v>
      </c>
      <c r="N700" s="8"/>
      <c r="O700" s="83"/>
    </row>
    <row r="701" spans="1:15" s="5" customFormat="1" ht="74.150000000000006" customHeight="1" x14ac:dyDescent="0.3">
      <c r="A701" s="70"/>
      <c r="B701" s="70"/>
      <c r="C701" s="70"/>
      <c r="D701" s="7"/>
      <c r="E701" s="35" t="s">
        <v>678</v>
      </c>
      <c r="F701" s="8">
        <v>2020</v>
      </c>
      <c r="G701" s="30"/>
      <c r="H701" s="8"/>
      <c r="I701" s="31"/>
      <c r="J701" s="31">
        <f>3300+85000</f>
        <v>88300</v>
      </c>
      <c r="K701" s="31"/>
      <c r="L701" s="31">
        <f t="shared" ref="L701" si="224">J701+K701</f>
        <v>88300</v>
      </c>
      <c r="M701" s="31">
        <f t="shared" ref="M701" si="225">I701+L701</f>
        <v>88300</v>
      </c>
      <c r="N701" s="8"/>
      <c r="O701" s="83"/>
    </row>
    <row r="702" spans="1:15" s="5" customFormat="1" ht="74.150000000000006" customHeight="1" x14ac:dyDescent="0.3">
      <c r="A702" s="70"/>
      <c r="B702" s="70"/>
      <c r="C702" s="70"/>
      <c r="D702" s="7"/>
      <c r="E702" s="35" t="s">
        <v>663</v>
      </c>
      <c r="F702" s="8">
        <v>2020</v>
      </c>
      <c r="G702" s="30"/>
      <c r="H702" s="8"/>
      <c r="I702" s="31"/>
      <c r="J702" s="31">
        <v>32000</v>
      </c>
      <c r="K702" s="31"/>
      <c r="L702" s="31">
        <f t="shared" ref="L702:L703" si="226">J702+K702</f>
        <v>32000</v>
      </c>
      <c r="M702" s="31">
        <f t="shared" ref="M702:M703" si="227">I702+L702</f>
        <v>32000</v>
      </c>
      <c r="N702" s="8"/>
      <c r="O702" s="83"/>
    </row>
    <row r="703" spans="1:15" s="5" customFormat="1" ht="54" x14ac:dyDescent="0.3">
      <c r="A703" s="70"/>
      <c r="B703" s="70"/>
      <c r="C703" s="70"/>
      <c r="D703" s="7"/>
      <c r="E703" s="35" t="s">
        <v>679</v>
      </c>
      <c r="F703" s="8">
        <v>2020</v>
      </c>
      <c r="G703" s="30"/>
      <c r="H703" s="8"/>
      <c r="I703" s="31"/>
      <c r="J703" s="31">
        <v>262046</v>
      </c>
      <c r="K703" s="31"/>
      <c r="L703" s="31">
        <f t="shared" si="226"/>
        <v>262046</v>
      </c>
      <c r="M703" s="31">
        <f t="shared" si="227"/>
        <v>262046</v>
      </c>
      <c r="N703" s="8"/>
      <c r="O703" s="83"/>
    </row>
    <row r="704" spans="1:15" s="5" customFormat="1" ht="74.150000000000006" customHeight="1" x14ac:dyDescent="0.3">
      <c r="A704" s="70"/>
      <c r="B704" s="70"/>
      <c r="C704" s="70"/>
      <c r="D704" s="7"/>
      <c r="E704" s="35" t="s">
        <v>633</v>
      </c>
      <c r="F704" s="8">
        <v>2020</v>
      </c>
      <c r="G704" s="30"/>
      <c r="H704" s="8"/>
      <c r="I704" s="31">
        <v>290000</v>
      </c>
      <c r="J704" s="31"/>
      <c r="K704" s="31"/>
      <c r="L704" s="31">
        <f t="shared" ref="L704" si="228">J704+K704</f>
        <v>0</v>
      </c>
      <c r="M704" s="31">
        <f t="shared" ref="M704" si="229">I704+L704</f>
        <v>290000</v>
      </c>
      <c r="N704" s="8"/>
      <c r="O704" s="83"/>
    </row>
    <row r="705" spans="1:15" s="5" customFormat="1" ht="70" customHeight="1" x14ac:dyDescent="0.3">
      <c r="A705" s="70"/>
      <c r="B705" s="70"/>
      <c r="C705" s="70"/>
      <c r="D705" s="7"/>
      <c r="E705" s="35" t="s">
        <v>444</v>
      </c>
      <c r="F705" s="8">
        <v>2020</v>
      </c>
      <c r="G705" s="30"/>
      <c r="H705" s="8"/>
      <c r="I705" s="31">
        <v>108784</v>
      </c>
      <c r="J705" s="31"/>
      <c r="K705" s="31"/>
      <c r="L705" s="31">
        <f t="shared" si="218"/>
        <v>0</v>
      </c>
      <c r="M705" s="31">
        <f t="shared" si="219"/>
        <v>108784</v>
      </c>
      <c r="N705" s="8"/>
      <c r="O705" s="83"/>
    </row>
    <row r="706" spans="1:15" s="5" customFormat="1" ht="70" customHeight="1" x14ac:dyDescent="0.3">
      <c r="A706" s="70"/>
      <c r="B706" s="70"/>
      <c r="C706" s="70"/>
      <c r="D706" s="7"/>
      <c r="E706" s="35" t="s">
        <v>484</v>
      </c>
      <c r="F706" s="8">
        <v>2020</v>
      </c>
      <c r="G706" s="30"/>
      <c r="H706" s="8"/>
      <c r="I706" s="31">
        <v>250000</v>
      </c>
      <c r="J706" s="31"/>
      <c r="K706" s="31"/>
      <c r="L706" s="31">
        <f t="shared" si="218"/>
        <v>0</v>
      </c>
      <c r="M706" s="31">
        <f t="shared" si="219"/>
        <v>250000</v>
      </c>
      <c r="N706" s="8"/>
      <c r="O706" s="83"/>
    </row>
    <row r="707" spans="1:15" s="5" customFormat="1" ht="70" customHeight="1" x14ac:dyDescent="0.3">
      <c r="A707" s="70"/>
      <c r="B707" s="70"/>
      <c r="C707" s="70"/>
      <c r="D707" s="7"/>
      <c r="E707" s="35" t="s">
        <v>506</v>
      </c>
      <c r="F707" s="8">
        <v>2020</v>
      </c>
      <c r="G707" s="30"/>
      <c r="H707" s="8"/>
      <c r="I707" s="31">
        <v>88540</v>
      </c>
      <c r="J707" s="31"/>
      <c r="K707" s="31"/>
      <c r="L707" s="31">
        <f t="shared" si="218"/>
        <v>0</v>
      </c>
      <c r="M707" s="31">
        <f t="shared" si="219"/>
        <v>88540</v>
      </c>
      <c r="N707" s="8"/>
      <c r="O707" s="83"/>
    </row>
    <row r="708" spans="1:15" s="5" customFormat="1" ht="87" customHeight="1" x14ac:dyDescent="0.3">
      <c r="A708" s="70"/>
      <c r="B708" s="70"/>
      <c r="C708" s="70"/>
      <c r="D708" s="7"/>
      <c r="E708" s="35" t="s">
        <v>507</v>
      </c>
      <c r="F708" s="8">
        <v>2020</v>
      </c>
      <c r="G708" s="30"/>
      <c r="H708" s="8"/>
      <c r="I708" s="31">
        <v>88540</v>
      </c>
      <c r="J708" s="31"/>
      <c r="K708" s="31"/>
      <c r="L708" s="31">
        <f t="shared" si="218"/>
        <v>0</v>
      </c>
      <c r="M708" s="31">
        <f t="shared" si="219"/>
        <v>88540</v>
      </c>
      <c r="N708" s="8"/>
      <c r="O708" s="83"/>
    </row>
    <row r="709" spans="1:15" s="5" customFormat="1" ht="70" customHeight="1" x14ac:dyDescent="0.3">
      <c r="A709" s="70"/>
      <c r="B709" s="70"/>
      <c r="C709" s="70"/>
      <c r="D709" s="7"/>
      <c r="E709" s="35" t="s">
        <v>572</v>
      </c>
      <c r="F709" s="8">
        <v>2020</v>
      </c>
      <c r="G709" s="30"/>
      <c r="H709" s="8"/>
      <c r="I709" s="31">
        <v>182968</v>
      </c>
      <c r="J709" s="31"/>
      <c r="K709" s="31"/>
      <c r="L709" s="31">
        <f t="shared" si="218"/>
        <v>0</v>
      </c>
      <c r="M709" s="31">
        <f t="shared" si="219"/>
        <v>182968</v>
      </c>
      <c r="N709" s="8"/>
      <c r="O709" s="83"/>
    </row>
    <row r="710" spans="1:15" s="5" customFormat="1" ht="70" customHeight="1" x14ac:dyDescent="0.3">
      <c r="A710" s="70"/>
      <c r="B710" s="70"/>
      <c r="C710" s="70"/>
      <c r="D710" s="7"/>
      <c r="E710" s="35" t="s">
        <v>571</v>
      </c>
      <c r="F710" s="8">
        <v>2020</v>
      </c>
      <c r="G710" s="30"/>
      <c r="H710" s="8"/>
      <c r="I710" s="31">
        <v>100000</v>
      </c>
      <c r="J710" s="31"/>
      <c r="K710" s="31"/>
      <c r="L710" s="31">
        <f t="shared" si="218"/>
        <v>0</v>
      </c>
      <c r="M710" s="31">
        <f t="shared" si="219"/>
        <v>100000</v>
      </c>
      <c r="N710" s="8"/>
      <c r="O710" s="83"/>
    </row>
    <row r="711" spans="1:15" s="5" customFormat="1" ht="70" customHeight="1" x14ac:dyDescent="0.3">
      <c r="A711" s="70"/>
      <c r="B711" s="70"/>
      <c r="C711" s="70"/>
      <c r="D711" s="7"/>
      <c r="E711" s="35" t="s">
        <v>508</v>
      </c>
      <c r="F711" s="8">
        <v>2020</v>
      </c>
      <c r="G711" s="30"/>
      <c r="H711" s="8"/>
      <c r="I711" s="31">
        <v>140500</v>
      </c>
      <c r="J711" s="31"/>
      <c r="K711" s="31"/>
      <c r="L711" s="31">
        <f t="shared" si="218"/>
        <v>0</v>
      </c>
      <c r="M711" s="31">
        <f t="shared" si="219"/>
        <v>140500</v>
      </c>
      <c r="N711" s="8"/>
      <c r="O711" s="83"/>
    </row>
    <row r="712" spans="1:15" s="5" customFormat="1" ht="77" customHeight="1" x14ac:dyDescent="0.3">
      <c r="A712" s="70"/>
      <c r="B712" s="70"/>
      <c r="C712" s="70"/>
      <c r="D712" s="7"/>
      <c r="E712" s="35" t="s">
        <v>466</v>
      </c>
      <c r="F712" s="8">
        <v>2020</v>
      </c>
      <c r="G712" s="30"/>
      <c r="H712" s="8"/>
      <c r="I712" s="31">
        <v>150000</v>
      </c>
      <c r="J712" s="31"/>
      <c r="K712" s="31"/>
      <c r="L712" s="31">
        <f t="shared" si="218"/>
        <v>0</v>
      </c>
      <c r="M712" s="31">
        <f t="shared" si="219"/>
        <v>150000</v>
      </c>
      <c r="N712" s="8"/>
      <c r="O712" s="83"/>
    </row>
    <row r="713" spans="1:15" s="65" customFormat="1" ht="57" customHeight="1" x14ac:dyDescent="0.3">
      <c r="A713" s="68"/>
      <c r="B713" s="68"/>
      <c r="C713" s="68"/>
      <c r="D713" s="22"/>
      <c r="E713" s="21" t="s">
        <v>26</v>
      </c>
      <c r="F713" s="37"/>
      <c r="G713" s="55"/>
      <c r="H713" s="55"/>
      <c r="I713" s="13">
        <f>SUM(I714:I722)</f>
        <v>13694411</v>
      </c>
      <c r="J713" s="13">
        <f t="shared" ref="J713:M713" si="230">SUM(J714:J722)</f>
        <v>400000</v>
      </c>
      <c r="K713" s="13">
        <f>SUM(K714:K722)</f>
        <v>18100000</v>
      </c>
      <c r="L713" s="13">
        <f t="shared" si="230"/>
        <v>18500000</v>
      </c>
      <c r="M713" s="13">
        <f t="shared" si="230"/>
        <v>32194411</v>
      </c>
      <c r="N713" s="60"/>
      <c r="O713" s="83"/>
    </row>
    <row r="714" spans="1:15" s="5" customFormat="1" ht="79" customHeight="1" x14ac:dyDescent="0.3">
      <c r="A714" s="70"/>
      <c r="B714" s="70"/>
      <c r="C714" s="70"/>
      <c r="D714" s="7"/>
      <c r="E714" s="35" t="s">
        <v>696</v>
      </c>
      <c r="F714" s="8">
        <v>2020</v>
      </c>
      <c r="G714" s="30"/>
      <c r="H714" s="52"/>
      <c r="I714" s="31"/>
      <c r="J714" s="31"/>
      <c r="K714" s="31">
        <v>100000</v>
      </c>
      <c r="L714" s="31">
        <f t="shared" ref="L714" si="231">J714+K714</f>
        <v>100000</v>
      </c>
      <c r="M714" s="31">
        <f t="shared" ref="M714" si="232">I714+L714</f>
        <v>100000</v>
      </c>
      <c r="N714" s="30"/>
      <c r="O714" s="83"/>
    </row>
    <row r="715" spans="1:15" s="5" customFormat="1" ht="51" customHeight="1" x14ac:dyDescent="0.3">
      <c r="A715" s="70"/>
      <c r="B715" s="70"/>
      <c r="C715" s="70"/>
      <c r="D715" s="7"/>
      <c r="E715" s="35" t="s">
        <v>36</v>
      </c>
      <c r="F715" s="31" t="s">
        <v>49</v>
      </c>
      <c r="G715" s="30">
        <v>1478560</v>
      </c>
      <c r="H715" s="52">
        <v>46.8</v>
      </c>
      <c r="I715" s="31">
        <v>800000</v>
      </c>
      <c r="J715" s="31"/>
      <c r="K715" s="31"/>
      <c r="L715" s="31">
        <f t="shared" ref="L715:L722" si="233">J715+K715</f>
        <v>0</v>
      </c>
      <c r="M715" s="31">
        <f t="shared" ref="M715:M722" si="234">I715+L715</f>
        <v>800000</v>
      </c>
      <c r="N715" s="30">
        <v>100</v>
      </c>
      <c r="O715" s="83"/>
    </row>
    <row r="716" spans="1:15" s="5" customFormat="1" ht="51" customHeight="1" x14ac:dyDescent="0.3">
      <c r="A716" s="70"/>
      <c r="B716" s="70"/>
      <c r="C716" s="70"/>
      <c r="D716" s="7"/>
      <c r="E716" s="35" t="s">
        <v>468</v>
      </c>
      <c r="F716" s="31" t="s">
        <v>49</v>
      </c>
      <c r="G716" s="30">
        <v>14274349</v>
      </c>
      <c r="H716" s="52">
        <v>42.3</v>
      </c>
      <c r="I716" s="31">
        <v>6112208</v>
      </c>
      <c r="J716" s="31"/>
      <c r="K716" s="31"/>
      <c r="L716" s="31">
        <f t="shared" si="233"/>
        <v>0</v>
      </c>
      <c r="M716" s="31">
        <f t="shared" si="234"/>
        <v>6112208</v>
      </c>
      <c r="N716" s="30">
        <v>100</v>
      </c>
      <c r="O716" s="83"/>
    </row>
    <row r="717" spans="1:15" s="5" customFormat="1" ht="51" customHeight="1" x14ac:dyDescent="0.3">
      <c r="A717" s="70"/>
      <c r="B717" s="70"/>
      <c r="C717" s="70"/>
      <c r="D717" s="7"/>
      <c r="E717" s="35" t="s">
        <v>469</v>
      </c>
      <c r="F717" s="31" t="s">
        <v>470</v>
      </c>
      <c r="G717" s="30">
        <v>31834662</v>
      </c>
      <c r="H717" s="52">
        <v>74.099999999999994</v>
      </c>
      <c r="I717" s="31">
        <v>1922052</v>
      </c>
      <c r="J717" s="31"/>
      <c r="K717" s="31"/>
      <c r="L717" s="31">
        <f t="shared" si="233"/>
        <v>0</v>
      </c>
      <c r="M717" s="31">
        <f t="shared" si="234"/>
        <v>1922052</v>
      </c>
      <c r="N717" s="30">
        <v>100</v>
      </c>
      <c r="O717" s="83"/>
    </row>
    <row r="718" spans="1:15" s="5" customFormat="1" ht="51" customHeight="1" x14ac:dyDescent="0.3">
      <c r="A718" s="70"/>
      <c r="B718" s="70"/>
      <c r="C718" s="70"/>
      <c r="D718" s="7"/>
      <c r="E718" s="35" t="s">
        <v>653</v>
      </c>
      <c r="F718" s="8">
        <v>2020</v>
      </c>
      <c r="G718" s="30"/>
      <c r="H718" s="52"/>
      <c r="I718" s="31"/>
      <c r="J718" s="31">
        <v>400000</v>
      </c>
      <c r="K718" s="31"/>
      <c r="L718" s="31">
        <f t="shared" ref="L718" si="235">J718+K718</f>
        <v>400000</v>
      </c>
      <c r="M718" s="31">
        <f t="shared" ref="M718" si="236">I718+L718</f>
        <v>400000</v>
      </c>
      <c r="N718" s="30"/>
      <c r="O718" s="83"/>
    </row>
    <row r="719" spans="1:15" s="5" customFormat="1" ht="54" customHeight="1" x14ac:dyDescent="0.3">
      <c r="A719" s="70"/>
      <c r="B719" s="70"/>
      <c r="C719" s="70"/>
      <c r="D719" s="7"/>
      <c r="E719" s="35" t="s">
        <v>60</v>
      </c>
      <c r="F719" s="8" t="s">
        <v>49</v>
      </c>
      <c r="G719" s="30">
        <v>2393868</v>
      </c>
      <c r="H719" s="52">
        <v>4.8</v>
      </c>
      <c r="I719" s="31">
        <f>300000+2000000</f>
        <v>2300000</v>
      </c>
      <c r="J719" s="31"/>
      <c r="K719" s="31"/>
      <c r="L719" s="31">
        <f t="shared" si="233"/>
        <v>0</v>
      </c>
      <c r="M719" s="31">
        <f t="shared" si="234"/>
        <v>2300000</v>
      </c>
      <c r="N719" s="30">
        <v>100</v>
      </c>
      <c r="O719" s="83"/>
    </row>
    <row r="720" spans="1:15" s="5" customFormat="1" ht="37" customHeight="1" x14ac:dyDescent="0.3">
      <c r="A720" s="70"/>
      <c r="B720" s="70"/>
      <c r="C720" s="70"/>
      <c r="D720" s="7"/>
      <c r="E720" s="35" t="s">
        <v>37</v>
      </c>
      <c r="F720" s="8">
        <v>2020</v>
      </c>
      <c r="G720" s="30">
        <v>43519067</v>
      </c>
      <c r="H720" s="52">
        <v>0.9</v>
      </c>
      <c r="I720" s="31">
        <f>13500000-1800000-10000000</f>
        <v>1700000</v>
      </c>
      <c r="J720" s="31"/>
      <c r="K720" s="31">
        <v>18000000</v>
      </c>
      <c r="L720" s="31">
        <f t="shared" si="233"/>
        <v>18000000</v>
      </c>
      <c r="M720" s="31">
        <f t="shared" si="234"/>
        <v>19700000</v>
      </c>
      <c r="N720" s="52">
        <v>46.2</v>
      </c>
      <c r="O720" s="83"/>
    </row>
    <row r="721" spans="1:15" s="5" customFormat="1" ht="45" customHeight="1" x14ac:dyDescent="0.3">
      <c r="A721" s="70"/>
      <c r="B721" s="70"/>
      <c r="C721" s="70"/>
      <c r="D721" s="47"/>
      <c r="E721" s="35" t="s">
        <v>245</v>
      </c>
      <c r="F721" s="8">
        <v>2020</v>
      </c>
      <c r="G721" s="30"/>
      <c r="H721" s="30"/>
      <c r="I721" s="31">
        <v>300000</v>
      </c>
      <c r="J721" s="31"/>
      <c r="K721" s="31"/>
      <c r="L721" s="31">
        <f t="shared" si="233"/>
        <v>0</v>
      </c>
      <c r="M721" s="31">
        <f t="shared" si="234"/>
        <v>300000</v>
      </c>
      <c r="N721" s="52"/>
      <c r="O721" s="83"/>
    </row>
    <row r="722" spans="1:15" s="5" customFormat="1" ht="75" customHeight="1" x14ac:dyDescent="0.3">
      <c r="A722" s="70"/>
      <c r="B722" s="70"/>
      <c r="C722" s="70"/>
      <c r="D722" s="47"/>
      <c r="E722" s="35" t="s">
        <v>73</v>
      </c>
      <c r="F722" s="31" t="s">
        <v>39</v>
      </c>
      <c r="G722" s="30">
        <v>4183025</v>
      </c>
      <c r="H722" s="52">
        <v>68</v>
      </c>
      <c r="I722" s="31">
        <v>560151</v>
      </c>
      <c r="J722" s="31"/>
      <c r="K722" s="31"/>
      <c r="L722" s="31">
        <f t="shared" si="233"/>
        <v>0</v>
      </c>
      <c r="M722" s="31">
        <f t="shared" si="234"/>
        <v>560151</v>
      </c>
      <c r="N722" s="52">
        <v>81.2</v>
      </c>
      <c r="O722" s="83"/>
    </row>
    <row r="723" spans="1:15" s="14" customFormat="1" ht="124" customHeight="1" x14ac:dyDescent="0.45">
      <c r="A723" s="7">
        <v>1517361</v>
      </c>
      <c r="B723" s="7">
        <v>7361</v>
      </c>
      <c r="C723" s="17" t="s">
        <v>100</v>
      </c>
      <c r="D723" s="9" t="s">
        <v>568</v>
      </c>
      <c r="E723" s="21" t="s">
        <v>25</v>
      </c>
      <c r="F723" s="8"/>
      <c r="G723" s="8"/>
      <c r="H723" s="8"/>
      <c r="I723" s="10">
        <f>I724</f>
        <v>5000000</v>
      </c>
      <c r="J723" s="10">
        <f t="shared" ref="J723:M723" si="237">J724</f>
        <v>0</v>
      </c>
      <c r="K723" s="10">
        <f t="shared" si="237"/>
        <v>0</v>
      </c>
      <c r="L723" s="10">
        <f t="shared" si="237"/>
        <v>0</v>
      </c>
      <c r="M723" s="10">
        <f t="shared" si="237"/>
        <v>5000000</v>
      </c>
      <c r="N723" s="8"/>
      <c r="O723" s="81"/>
    </row>
    <row r="724" spans="1:15" s="14" customFormat="1" ht="76" customHeight="1" x14ac:dyDescent="0.45">
      <c r="A724" s="8"/>
      <c r="B724" s="8"/>
      <c r="C724" s="8"/>
      <c r="D724" s="8"/>
      <c r="E724" s="35" t="s">
        <v>31</v>
      </c>
      <c r="F724" s="8" t="s">
        <v>46</v>
      </c>
      <c r="G724" s="30">
        <v>77987328</v>
      </c>
      <c r="H724" s="8">
        <v>0.9</v>
      </c>
      <c r="I724" s="31">
        <v>5000000</v>
      </c>
      <c r="J724" s="31"/>
      <c r="K724" s="31"/>
      <c r="L724" s="31">
        <f t="shared" ref="L724" si="238">J724+K724</f>
        <v>0</v>
      </c>
      <c r="M724" s="31">
        <f t="shared" ref="M724" si="239">I724+L724</f>
        <v>5000000</v>
      </c>
      <c r="N724" s="8">
        <v>40.700000000000003</v>
      </c>
      <c r="O724" s="81"/>
    </row>
    <row r="725" spans="1:15" s="5" customFormat="1" ht="108.5" customHeight="1" x14ac:dyDescent="0.3">
      <c r="A725" s="7">
        <v>1517363</v>
      </c>
      <c r="B725" s="7">
        <v>7363</v>
      </c>
      <c r="C725" s="17" t="s">
        <v>100</v>
      </c>
      <c r="D725" s="61" t="s">
        <v>243</v>
      </c>
      <c r="E725" s="27" t="s">
        <v>175</v>
      </c>
      <c r="F725" s="31"/>
      <c r="G725" s="30"/>
      <c r="H725" s="30"/>
      <c r="I725" s="10">
        <f>I726</f>
        <v>95000</v>
      </c>
      <c r="J725" s="10">
        <f t="shared" ref="J725:M725" si="240">J726</f>
        <v>0</v>
      </c>
      <c r="K725" s="10">
        <f t="shared" si="240"/>
        <v>0</v>
      </c>
      <c r="L725" s="10">
        <f t="shared" si="240"/>
        <v>0</v>
      </c>
      <c r="M725" s="10">
        <f t="shared" si="240"/>
        <v>95000</v>
      </c>
      <c r="N725" s="52"/>
      <c r="O725" s="83"/>
    </row>
    <row r="726" spans="1:15" s="65" customFormat="1" ht="68.150000000000006" customHeight="1" x14ac:dyDescent="0.3">
      <c r="A726" s="68"/>
      <c r="B726" s="68"/>
      <c r="C726" s="68"/>
      <c r="D726" s="47"/>
      <c r="E726" s="57" t="s">
        <v>244</v>
      </c>
      <c r="F726" s="31" t="s">
        <v>49</v>
      </c>
      <c r="G726" s="30">
        <v>299822</v>
      </c>
      <c r="H726" s="52">
        <v>65.900000000000006</v>
      </c>
      <c r="I726" s="31">
        <v>95000</v>
      </c>
      <c r="J726" s="31"/>
      <c r="K726" s="31"/>
      <c r="L726" s="31">
        <f t="shared" ref="L726" si="241">J726+K726</f>
        <v>0</v>
      </c>
      <c r="M726" s="31">
        <f t="shared" ref="M726" si="242">I726+L726</f>
        <v>95000</v>
      </c>
      <c r="N726" s="30">
        <v>100</v>
      </c>
      <c r="O726" s="83"/>
    </row>
    <row r="727" spans="1:15" s="5" customFormat="1" ht="31.5" customHeight="1" x14ac:dyDescent="0.3">
      <c r="A727" s="7">
        <v>1517640</v>
      </c>
      <c r="B727" s="7">
        <v>7640</v>
      </c>
      <c r="C727" s="70"/>
      <c r="D727" s="61" t="s">
        <v>6</v>
      </c>
      <c r="E727" s="70"/>
      <c r="F727" s="31"/>
      <c r="G727" s="30"/>
      <c r="H727" s="30"/>
      <c r="I727" s="10">
        <f>I728+I735</f>
        <v>74352548</v>
      </c>
      <c r="J727" s="10">
        <f>J728+J735</f>
        <v>0</v>
      </c>
      <c r="K727" s="10">
        <f>K728+K735</f>
        <v>-15200000</v>
      </c>
      <c r="L727" s="10">
        <f>L728+L735</f>
        <v>-15200000</v>
      </c>
      <c r="M727" s="10">
        <f>M728+M735</f>
        <v>59152548</v>
      </c>
      <c r="N727" s="52"/>
      <c r="O727" s="83"/>
    </row>
    <row r="728" spans="1:15" s="75" customFormat="1" ht="55" customHeight="1" x14ac:dyDescent="0.3">
      <c r="A728" s="22"/>
      <c r="B728" s="22"/>
      <c r="C728" s="72"/>
      <c r="D728" s="12"/>
      <c r="E728" s="21" t="s">
        <v>666</v>
      </c>
      <c r="F728" s="13"/>
      <c r="G728" s="73"/>
      <c r="H728" s="73"/>
      <c r="I728" s="13">
        <f>I730+I731</f>
        <v>53264206</v>
      </c>
      <c r="J728" s="13">
        <f t="shared" ref="J728:M728" si="243">J730+J731</f>
        <v>0</v>
      </c>
      <c r="K728" s="13">
        <f t="shared" si="243"/>
        <v>-7700000</v>
      </c>
      <c r="L728" s="13">
        <f t="shared" si="243"/>
        <v>-7700000</v>
      </c>
      <c r="M728" s="13">
        <f t="shared" si="243"/>
        <v>45564206</v>
      </c>
      <c r="N728" s="74"/>
      <c r="O728" s="83"/>
    </row>
    <row r="729" spans="1:15" s="150" customFormat="1" ht="29" customHeight="1" x14ac:dyDescent="0.3">
      <c r="A729" s="126"/>
      <c r="B729" s="126"/>
      <c r="C729" s="145"/>
      <c r="D729" s="146"/>
      <c r="E729" s="130" t="s">
        <v>669</v>
      </c>
      <c r="F729" s="131"/>
      <c r="G729" s="147"/>
      <c r="H729" s="147"/>
      <c r="I729" s="131">
        <f>I734</f>
        <v>44062207</v>
      </c>
      <c r="J729" s="131">
        <f t="shared" ref="J729:M729" si="244">J734</f>
        <v>0</v>
      </c>
      <c r="K729" s="131">
        <f t="shared" si="244"/>
        <v>0</v>
      </c>
      <c r="L729" s="131">
        <f t="shared" si="244"/>
        <v>0</v>
      </c>
      <c r="M729" s="131">
        <f t="shared" si="244"/>
        <v>44062207</v>
      </c>
      <c r="N729" s="148"/>
      <c r="O729" s="149"/>
    </row>
    <row r="730" spans="1:15" s="5" customFormat="1" ht="64" customHeight="1" x14ac:dyDescent="0.3">
      <c r="A730" s="7"/>
      <c r="B730" s="7"/>
      <c r="C730" s="70"/>
      <c r="D730" s="61"/>
      <c r="E730" s="57" t="s">
        <v>355</v>
      </c>
      <c r="F730" s="8">
        <v>2020</v>
      </c>
      <c r="G730" s="30"/>
      <c r="H730" s="30"/>
      <c r="I730" s="31">
        <v>389558</v>
      </c>
      <c r="J730" s="31"/>
      <c r="K730" s="31"/>
      <c r="L730" s="31">
        <f t="shared" ref="L730" si="245">J730+K730</f>
        <v>0</v>
      </c>
      <c r="M730" s="31">
        <f t="shared" ref="M730" si="246">I730+L730</f>
        <v>389558</v>
      </c>
      <c r="N730" s="52"/>
      <c r="O730" s="83"/>
    </row>
    <row r="731" spans="1:15" s="5" customFormat="1" ht="96" customHeight="1" x14ac:dyDescent="0.3">
      <c r="A731" s="7"/>
      <c r="B731" s="7"/>
      <c r="C731" s="70"/>
      <c r="D731" s="61"/>
      <c r="E731" s="57" t="s">
        <v>614</v>
      </c>
      <c r="F731" s="8"/>
      <c r="G731" s="30"/>
      <c r="H731" s="30"/>
      <c r="I731" s="31">
        <f>I733+I732</f>
        <v>52874648</v>
      </c>
      <c r="J731" s="31">
        <f>J733+J732</f>
        <v>0</v>
      </c>
      <c r="K731" s="31">
        <f>K733+K732</f>
        <v>-7700000</v>
      </c>
      <c r="L731" s="31">
        <f>L733+L732</f>
        <v>-7700000</v>
      </c>
      <c r="M731" s="31">
        <f>M733+M732</f>
        <v>45174648</v>
      </c>
      <c r="N731" s="52"/>
      <c r="O731" s="83"/>
    </row>
    <row r="732" spans="1:15" s="65" customFormat="1" ht="66.5" customHeight="1" x14ac:dyDescent="0.3">
      <c r="A732" s="22"/>
      <c r="B732" s="22"/>
      <c r="C732" s="68"/>
      <c r="D732" s="12"/>
      <c r="E732" s="76" t="s">
        <v>349</v>
      </c>
      <c r="F732" s="38" t="s">
        <v>67</v>
      </c>
      <c r="G732" s="55"/>
      <c r="H732" s="55"/>
      <c r="I732" s="37">
        <v>500000</v>
      </c>
      <c r="J732" s="37"/>
      <c r="K732" s="37"/>
      <c r="L732" s="37">
        <f>J732+K732</f>
        <v>0</v>
      </c>
      <c r="M732" s="37">
        <f>I732+L732</f>
        <v>500000</v>
      </c>
      <c r="N732" s="60"/>
      <c r="O732" s="109"/>
    </row>
    <row r="733" spans="1:15" s="65" customFormat="1" ht="66.5" customHeight="1" x14ac:dyDescent="0.3">
      <c r="A733" s="22"/>
      <c r="B733" s="22"/>
      <c r="C733" s="68"/>
      <c r="D733" s="12"/>
      <c r="E733" s="76" t="s">
        <v>674</v>
      </c>
      <c r="F733" s="38" t="s">
        <v>50</v>
      </c>
      <c r="G733" s="55"/>
      <c r="H733" s="55"/>
      <c r="I733" s="37">
        <v>52374648</v>
      </c>
      <c r="J733" s="37"/>
      <c r="K733" s="37">
        <v>-7700000</v>
      </c>
      <c r="L733" s="37">
        <f t="shared" ref="L733" si="247">J733+K733</f>
        <v>-7700000</v>
      </c>
      <c r="M733" s="37">
        <f t="shared" ref="M733" si="248">I733+L733</f>
        <v>44674648</v>
      </c>
      <c r="N733" s="60"/>
      <c r="O733" s="109"/>
    </row>
    <row r="734" spans="1:15" s="156" customFormat="1" ht="34.5" customHeight="1" x14ac:dyDescent="0.3">
      <c r="A734" s="126"/>
      <c r="B734" s="126"/>
      <c r="C734" s="151"/>
      <c r="D734" s="146"/>
      <c r="E734" s="152" t="s">
        <v>675</v>
      </c>
      <c r="F734" s="138"/>
      <c r="G734" s="153"/>
      <c r="H734" s="153"/>
      <c r="I734" s="89">
        <v>44062207</v>
      </c>
      <c r="J734" s="89"/>
      <c r="K734" s="89"/>
      <c r="L734" s="89"/>
      <c r="M734" s="89">
        <v>44062207</v>
      </c>
      <c r="N734" s="154"/>
      <c r="O734" s="155"/>
    </row>
    <row r="735" spans="1:15" s="5" customFormat="1" ht="50.15" customHeight="1" x14ac:dyDescent="0.3">
      <c r="A735" s="7"/>
      <c r="B735" s="7"/>
      <c r="C735" s="70"/>
      <c r="D735" s="61"/>
      <c r="E735" s="21" t="s">
        <v>348</v>
      </c>
      <c r="F735" s="31"/>
      <c r="G735" s="30"/>
      <c r="H735" s="30"/>
      <c r="I735" s="13">
        <f>SUM(I736:I738)</f>
        <v>21088342</v>
      </c>
      <c r="J735" s="13">
        <f>SUM(J736:J738)</f>
        <v>0</v>
      </c>
      <c r="K735" s="13">
        <f>SUM(K736:K738)</f>
        <v>-7500000</v>
      </c>
      <c r="L735" s="13">
        <f>SUM(L736:L738)</f>
        <v>-7500000</v>
      </c>
      <c r="M735" s="13">
        <f>SUM(M736:M738)</f>
        <v>13588342</v>
      </c>
      <c r="N735" s="52"/>
      <c r="O735" s="83"/>
    </row>
    <row r="736" spans="1:15" s="5" customFormat="1" ht="66" customHeight="1" x14ac:dyDescent="0.3">
      <c r="A736" s="7"/>
      <c r="B736" s="7"/>
      <c r="C736" s="70"/>
      <c r="D736" s="61"/>
      <c r="E736" s="57" t="s">
        <v>40</v>
      </c>
      <c r="F736" s="31" t="s">
        <v>55</v>
      </c>
      <c r="G736" s="30">
        <v>25179181</v>
      </c>
      <c r="H736" s="52">
        <v>73.8</v>
      </c>
      <c r="I736" s="31">
        <v>2000000</v>
      </c>
      <c r="J736" s="31"/>
      <c r="K736" s="31"/>
      <c r="L736" s="31">
        <f t="shared" ref="L736:L738" si="249">J736+K736</f>
        <v>0</v>
      </c>
      <c r="M736" s="31">
        <f t="shared" ref="M736:M738" si="250">I736+L736</f>
        <v>2000000</v>
      </c>
      <c r="N736" s="52">
        <v>81.7</v>
      </c>
      <c r="O736" s="83"/>
    </row>
    <row r="737" spans="1:15" s="5" customFormat="1" ht="90" customHeight="1" x14ac:dyDescent="0.3">
      <c r="A737" s="7"/>
      <c r="B737" s="7"/>
      <c r="C737" s="17"/>
      <c r="D737" s="61"/>
      <c r="E737" s="57" t="s">
        <v>41</v>
      </c>
      <c r="F737" s="30" t="s">
        <v>39</v>
      </c>
      <c r="G737" s="30"/>
      <c r="H737" s="30"/>
      <c r="I737" s="31">
        <v>6232928</v>
      </c>
      <c r="J737" s="31"/>
      <c r="K737" s="31">
        <v>-2500000</v>
      </c>
      <c r="L737" s="31">
        <f t="shared" si="249"/>
        <v>-2500000</v>
      </c>
      <c r="M737" s="31">
        <f t="shared" si="250"/>
        <v>3732928</v>
      </c>
      <c r="N737" s="52"/>
      <c r="O737" s="84"/>
    </row>
    <row r="738" spans="1:15" s="5" customFormat="1" ht="80.5" customHeight="1" x14ac:dyDescent="0.3">
      <c r="A738" s="7"/>
      <c r="B738" s="7"/>
      <c r="C738" s="17"/>
      <c r="D738" s="61"/>
      <c r="E738" s="57" t="s">
        <v>42</v>
      </c>
      <c r="F738" s="30" t="s">
        <v>39</v>
      </c>
      <c r="G738" s="30"/>
      <c r="H738" s="30"/>
      <c r="I738" s="31">
        <v>12855414</v>
      </c>
      <c r="J738" s="31"/>
      <c r="K738" s="31">
        <v>-5000000</v>
      </c>
      <c r="L738" s="31">
        <f t="shared" si="249"/>
        <v>-5000000</v>
      </c>
      <c r="M738" s="31">
        <f t="shared" si="250"/>
        <v>7855414</v>
      </c>
      <c r="N738" s="52"/>
      <c r="O738" s="84"/>
    </row>
    <row r="739" spans="1:15" s="5" customFormat="1" ht="96" customHeight="1" x14ac:dyDescent="0.3">
      <c r="A739" s="39" t="s">
        <v>170</v>
      </c>
      <c r="B739" s="45"/>
      <c r="C739" s="45"/>
      <c r="D739" s="41" t="s">
        <v>171</v>
      </c>
      <c r="E739" s="57"/>
      <c r="F739" s="30"/>
      <c r="G739" s="30"/>
      <c r="H739" s="30"/>
      <c r="I739" s="10">
        <f>I740</f>
        <v>100000</v>
      </c>
      <c r="J739" s="10">
        <f t="shared" ref="J739:M739" si="251">J740</f>
        <v>45000</v>
      </c>
      <c r="K739" s="10">
        <f t="shared" si="251"/>
        <v>0</v>
      </c>
      <c r="L739" s="10">
        <f t="shared" si="251"/>
        <v>45000</v>
      </c>
      <c r="M739" s="10">
        <f t="shared" si="251"/>
        <v>145000</v>
      </c>
      <c r="N739" s="52"/>
      <c r="O739" s="84"/>
    </row>
    <row r="740" spans="1:15" s="5" customFormat="1" ht="74.5" customHeight="1" x14ac:dyDescent="0.3">
      <c r="A740" s="40" t="s">
        <v>172</v>
      </c>
      <c r="B740" s="46"/>
      <c r="C740" s="46"/>
      <c r="D740" s="42" t="s">
        <v>171</v>
      </c>
      <c r="E740" s="57"/>
      <c r="F740" s="30"/>
      <c r="G740" s="30"/>
      <c r="H740" s="30"/>
      <c r="I740" s="13">
        <f>I741+I742+I743</f>
        <v>100000</v>
      </c>
      <c r="J740" s="13">
        <f t="shared" ref="J740:M740" si="252">J741+J742+J743</f>
        <v>45000</v>
      </c>
      <c r="K740" s="13">
        <f>K741+K742+K743</f>
        <v>0</v>
      </c>
      <c r="L740" s="13">
        <f t="shared" si="252"/>
        <v>45000</v>
      </c>
      <c r="M740" s="13">
        <f t="shared" si="252"/>
        <v>145000</v>
      </c>
      <c r="N740" s="52"/>
      <c r="O740" s="84"/>
    </row>
    <row r="741" spans="1:15" s="5" customFormat="1" ht="127.5" customHeight="1" x14ac:dyDescent="0.3">
      <c r="A741" s="8">
        <v>3110160</v>
      </c>
      <c r="B741" s="34" t="s">
        <v>80</v>
      </c>
      <c r="C741" s="34" t="s">
        <v>78</v>
      </c>
      <c r="D741" s="35" t="s">
        <v>79</v>
      </c>
      <c r="E741" s="76" t="s">
        <v>176</v>
      </c>
      <c r="F741" s="30"/>
      <c r="G741" s="30"/>
      <c r="H741" s="30"/>
      <c r="I741" s="31">
        <v>25000</v>
      </c>
      <c r="J741" s="31"/>
      <c r="K741" s="31"/>
      <c r="L741" s="31">
        <f t="shared" ref="L741:L743" si="253">J741+K741</f>
        <v>0</v>
      </c>
      <c r="M741" s="31">
        <f t="shared" ref="M741:M743" si="254">I741+L741</f>
        <v>25000</v>
      </c>
      <c r="N741" s="52"/>
      <c r="O741" s="84"/>
    </row>
    <row r="742" spans="1:15" s="5" customFormat="1" ht="93" customHeight="1" x14ac:dyDescent="0.3">
      <c r="A742" s="8">
        <v>3117650</v>
      </c>
      <c r="B742" s="8">
        <v>7650</v>
      </c>
      <c r="C742" s="34" t="s">
        <v>100</v>
      </c>
      <c r="D742" s="57" t="s">
        <v>173</v>
      </c>
      <c r="E742" s="76" t="s">
        <v>181</v>
      </c>
      <c r="F742" s="30"/>
      <c r="G742" s="30"/>
      <c r="H742" s="30"/>
      <c r="I742" s="31">
        <v>30000</v>
      </c>
      <c r="J742" s="31"/>
      <c r="K742" s="31"/>
      <c r="L742" s="31">
        <f t="shared" si="253"/>
        <v>0</v>
      </c>
      <c r="M742" s="31">
        <f t="shared" si="254"/>
        <v>30000</v>
      </c>
      <c r="N742" s="52"/>
      <c r="O742" s="84"/>
    </row>
    <row r="743" spans="1:15" s="5" customFormat="1" ht="127.5" customHeight="1" x14ac:dyDescent="0.3">
      <c r="A743" s="8">
        <v>3117660</v>
      </c>
      <c r="B743" s="8">
        <v>7660</v>
      </c>
      <c r="C743" s="34" t="s">
        <v>100</v>
      </c>
      <c r="D743" s="57" t="s">
        <v>174</v>
      </c>
      <c r="E743" s="76" t="s">
        <v>181</v>
      </c>
      <c r="F743" s="30"/>
      <c r="G743" s="30"/>
      <c r="H743" s="30"/>
      <c r="I743" s="31">
        <v>45000</v>
      </c>
      <c r="J743" s="31">
        <v>45000</v>
      </c>
      <c r="K743" s="31"/>
      <c r="L743" s="31">
        <f t="shared" si="253"/>
        <v>45000</v>
      </c>
      <c r="M743" s="31">
        <f t="shared" si="254"/>
        <v>90000</v>
      </c>
      <c r="N743" s="52"/>
      <c r="O743" s="84"/>
    </row>
    <row r="744" spans="1:15" s="14" customFormat="1" ht="63.5" customHeight="1" x14ac:dyDescent="0.45">
      <c r="A744" s="77"/>
      <c r="B744" s="77"/>
      <c r="C744" s="77"/>
      <c r="D744" s="9" t="s">
        <v>676</v>
      </c>
      <c r="E744" s="77"/>
      <c r="F744" s="77"/>
      <c r="G744" s="77"/>
      <c r="H744" s="77"/>
      <c r="I744" s="10">
        <f>I21+I56+I278+I289+I299+I302+I310+I585+I588+I739</f>
        <v>447217120.47000003</v>
      </c>
      <c r="J744" s="10">
        <f>J21+J56+J278+J289+J299+J302+J310+J585+J588+J739</f>
        <v>-229473.80000000075</v>
      </c>
      <c r="K744" s="10">
        <f>K21+K56+K278+K289+K299+K302+K310+K585+K588+K739</f>
        <v>61525762</v>
      </c>
      <c r="L744" s="10">
        <f>L21+L56+L278+L289+L299+L302+L310+L585+L588+L739</f>
        <v>61296288.200000003</v>
      </c>
      <c r="M744" s="10">
        <f>M21+M56+M278+M289+M299+M302+M310+M585+M588+M739</f>
        <v>508513408.66999996</v>
      </c>
      <c r="N744" s="77"/>
      <c r="O744" s="84"/>
    </row>
    <row r="745" spans="1:15" s="78" customFormat="1" ht="47.15" customHeight="1" x14ac:dyDescent="0.45">
      <c r="A745" s="77"/>
      <c r="B745" s="77"/>
      <c r="C745" s="77"/>
      <c r="D745" s="21" t="s">
        <v>712</v>
      </c>
      <c r="E745" s="77"/>
      <c r="F745" s="77"/>
      <c r="G745" s="77"/>
      <c r="H745" s="77"/>
      <c r="I745" s="13">
        <f>I61+I312</f>
        <v>1187498.93</v>
      </c>
      <c r="J745" s="13">
        <f t="shared" ref="J745:M745" si="255">J61+J312</f>
        <v>0</v>
      </c>
      <c r="K745" s="13">
        <f t="shared" si="255"/>
        <v>0</v>
      </c>
      <c r="L745" s="13">
        <f t="shared" si="255"/>
        <v>0</v>
      </c>
      <c r="M745" s="13">
        <f t="shared" si="255"/>
        <v>1187498.93</v>
      </c>
      <c r="N745" s="77"/>
      <c r="O745" s="84"/>
    </row>
    <row r="746" spans="1:15" s="78" customFormat="1" ht="47.15" customHeight="1" x14ac:dyDescent="0.45">
      <c r="A746" s="77"/>
      <c r="B746" s="77"/>
      <c r="C746" s="77"/>
      <c r="D746" s="21" t="s">
        <v>713</v>
      </c>
      <c r="E746" s="77"/>
      <c r="F746" s="77"/>
      <c r="G746" s="77"/>
      <c r="H746" s="77"/>
      <c r="I746" s="13">
        <f>I58+I59+I60</f>
        <v>1486539</v>
      </c>
      <c r="J746" s="13">
        <f t="shared" ref="J746:M746" si="256">J58+J59+J60</f>
        <v>621926</v>
      </c>
      <c r="K746" s="13">
        <f t="shared" si="256"/>
        <v>0</v>
      </c>
      <c r="L746" s="13">
        <f t="shared" si="256"/>
        <v>621926</v>
      </c>
      <c r="M746" s="13">
        <f t="shared" si="256"/>
        <v>2108465</v>
      </c>
      <c r="N746" s="77"/>
      <c r="O746" s="84"/>
    </row>
    <row r="747" spans="1:15" s="78" customFormat="1" ht="47.15" customHeight="1" x14ac:dyDescent="0.45">
      <c r="A747" s="77"/>
      <c r="B747" s="77"/>
      <c r="C747" s="77"/>
      <c r="D747" s="21" t="s">
        <v>669</v>
      </c>
      <c r="E747" s="77"/>
      <c r="F747" s="77"/>
      <c r="G747" s="77"/>
      <c r="H747" s="77"/>
      <c r="I747" s="13">
        <f>I590+I280</f>
        <v>58776907</v>
      </c>
      <c r="J747" s="13">
        <f>J590+J280</f>
        <v>0</v>
      </c>
      <c r="K747" s="13">
        <f>K590+K280</f>
        <v>0</v>
      </c>
      <c r="L747" s="13">
        <f>L590+L280</f>
        <v>0</v>
      </c>
      <c r="M747" s="13">
        <f>M590+M280</f>
        <v>58776907</v>
      </c>
      <c r="N747" s="77"/>
      <c r="O747" s="84"/>
    </row>
    <row r="748" spans="1:15" s="162" customFormat="1" ht="117.5" hidden="1" customHeight="1" x14ac:dyDescent="0.45">
      <c r="A748" s="159"/>
      <c r="B748" s="159"/>
      <c r="C748" s="159"/>
      <c r="D748" s="160" t="s">
        <v>654</v>
      </c>
      <c r="E748" s="159"/>
      <c r="F748" s="159"/>
      <c r="G748" s="159"/>
      <c r="H748" s="159"/>
      <c r="I748" s="110">
        <f t="shared" ref="I748:M749" si="257">I58</f>
        <v>744000</v>
      </c>
      <c r="J748" s="110">
        <f t="shared" si="257"/>
        <v>0</v>
      </c>
      <c r="K748" s="110">
        <f t="shared" si="257"/>
        <v>0</v>
      </c>
      <c r="L748" s="110">
        <f t="shared" si="257"/>
        <v>0</v>
      </c>
      <c r="M748" s="110">
        <f t="shared" si="257"/>
        <v>744000</v>
      </c>
      <c r="N748" s="159"/>
      <c r="O748" s="161"/>
    </row>
    <row r="749" spans="1:15" s="162" customFormat="1" ht="125" hidden="1" customHeight="1" x14ac:dyDescent="0.45">
      <c r="A749" s="159"/>
      <c r="B749" s="159"/>
      <c r="C749" s="159"/>
      <c r="D749" s="160" t="s">
        <v>655</v>
      </c>
      <c r="E749" s="159"/>
      <c r="F749" s="159"/>
      <c r="G749" s="159"/>
      <c r="H749" s="159"/>
      <c r="I749" s="110">
        <f t="shared" si="257"/>
        <v>742539</v>
      </c>
      <c r="J749" s="110">
        <f t="shared" si="257"/>
        <v>0</v>
      </c>
      <c r="K749" s="110">
        <f t="shared" si="257"/>
        <v>0</v>
      </c>
      <c r="L749" s="110">
        <f t="shared" si="257"/>
        <v>0</v>
      </c>
      <c r="M749" s="110">
        <f t="shared" si="257"/>
        <v>742539</v>
      </c>
      <c r="N749" s="159"/>
      <c r="O749" s="161"/>
    </row>
    <row r="750" spans="1:15" s="162" customFormat="1" ht="104.5" hidden="1" customHeight="1" x14ac:dyDescent="0.45">
      <c r="A750" s="159"/>
      <c r="B750" s="159"/>
      <c r="C750" s="159"/>
      <c r="D750" s="160" t="s">
        <v>684</v>
      </c>
      <c r="E750" s="159"/>
      <c r="F750" s="159"/>
      <c r="G750" s="159"/>
      <c r="H750" s="159"/>
      <c r="I750" s="110">
        <f>I60</f>
        <v>0</v>
      </c>
      <c r="J750" s="110">
        <f t="shared" ref="J750:M750" si="258">J60</f>
        <v>621926</v>
      </c>
      <c r="K750" s="110">
        <f t="shared" si="258"/>
        <v>0</v>
      </c>
      <c r="L750" s="110">
        <f t="shared" si="258"/>
        <v>621926</v>
      </c>
      <c r="M750" s="110">
        <f t="shared" si="258"/>
        <v>621926</v>
      </c>
      <c r="N750" s="159"/>
      <c r="O750" s="161"/>
    </row>
    <row r="751" spans="1:15" s="162" customFormat="1" ht="106" hidden="1" customHeight="1" x14ac:dyDescent="0.45">
      <c r="A751" s="159"/>
      <c r="B751" s="159"/>
      <c r="C751" s="159"/>
      <c r="D751" s="160" t="s">
        <v>656</v>
      </c>
      <c r="E751" s="159"/>
      <c r="F751" s="159"/>
      <c r="G751" s="159"/>
      <c r="H751" s="159"/>
      <c r="I751" s="110">
        <f>I61+I312</f>
        <v>1187498.93</v>
      </c>
      <c r="J751" s="110">
        <f>J61+J312</f>
        <v>0</v>
      </c>
      <c r="K751" s="110">
        <f>K61+K312</f>
        <v>0</v>
      </c>
      <c r="L751" s="110">
        <f>L61+L312</f>
        <v>0</v>
      </c>
      <c r="M751" s="110">
        <f>M61+M312</f>
        <v>1187498.93</v>
      </c>
      <c r="N751" s="159"/>
      <c r="O751" s="161"/>
    </row>
    <row r="752" spans="1:15" s="78" customFormat="1" ht="21" customHeight="1" x14ac:dyDescent="0.45">
      <c r="D752" s="106"/>
      <c r="I752" s="107"/>
      <c r="J752" s="107"/>
      <c r="K752" s="107"/>
      <c r="L752" s="107"/>
      <c r="M752" s="107"/>
      <c r="O752" s="84"/>
    </row>
    <row r="753" spans="1:15" s="78" customFormat="1" ht="21" customHeight="1" x14ac:dyDescent="0.45">
      <c r="D753" s="106"/>
      <c r="I753" s="107"/>
      <c r="J753" s="107"/>
      <c r="K753" s="107"/>
      <c r="L753" s="107"/>
      <c r="M753" s="107"/>
      <c r="O753" s="84"/>
    </row>
    <row r="754" spans="1:15" s="78" customFormat="1" ht="21" customHeight="1" x14ac:dyDescent="0.45">
      <c r="D754" s="106"/>
      <c r="I754" s="107"/>
      <c r="J754" s="107"/>
      <c r="K754" s="107"/>
      <c r="L754" s="107"/>
      <c r="M754" s="107"/>
      <c r="O754" s="84"/>
    </row>
    <row r="755" spans="1:15" x14ac:dyDescent="0.3">
      <c r="O755" s="84"/>
    </row>
    <row r="756" spans="1:15" s="96" customFormat="1" ht="25.75" customHeight="1" x14ac:dyDescent="0.55000000000000004">
      <c r="A756" s="115" t="s">
        <v>597</v>
      </c>
      <c r="B756" s="115"/>
      <c r="C756" s="115"/>
      <c r="D756" s="115"/>
      <c r="E756" s="115"/>
      <c r="I756" s="121" t="s">
        <v>598</v>
      </c>
      <c r="J756" s="121"/>
      <c r="K756" s="121"/>
      <c r="L756" s="121"/>
      <c r="O756" s="104"/>
    </row>
    <row r="757" spans="1:15" s="96" customFormat="1" ht="15" customHeight="1" x14ac:dyDescent="0.55000000000000004">
      <c r="A757" s="103"/>
      <c r="B757" s="103"/>
      <c r="C757" s="103"/>
      <c r="D757" s="99"/>
      <c r="E757" s="99"/>
      <c r="F757" s="99"/>
      <c r="G757" s="99"/>
      <c r="H757" s="99"/>
      <c r="I757" s="99"/>
      <c r="J757" s="99"/>
      <c r="K757" s="99"/>
      <c r="L757" s="157"/>
      <c r="M757" s="99"/>
    </row>
    <row r="758" spans="1:15" ht="23" x14ac:dyDescent="0.5">
      <c r="A758" s="114" t="s">
        <v>599</v>
      </c>
      <c r="B758" s="114"/>
      <c r="C758" s="114"/>
      <c r="D758" s="114"/>
      <c r="E758" s="114"/>
    </row>
    <row r="759" spans="1:15" ht="25.5" x14ac:dyDescent="0.55000000000000004">
      <c r="A759" s="105"/>
      <c r="B759" s="105"/>
      <c r="C759" s="113"/>
      <c r="D759" s="113"/>
      <c r="E759" s="113"/>
    </row>
    <row r="760" spans="1:15" ht="11.5" customHeight="1" x14ac:dyDescent="0.3"/>
  </sheetData>
  <mergeCells count="27">
    <mergeCell ref="A16:B16"/>
    <mergeCell ref="H1:N1"/>
    <mergeCell ref="H2:N2"/>
    <mergeCell ref="A12:N12"/>
    <mergeCell ref="A13:N13"/>
    <mergeCell ref="A15:B15"/>
    <mergeCell ref="C18:C19"/>
    <mergeCell ref="D18:D19"/>
    <mergeCell ref="E18:E19"/>
    <mergeCell ref="F18:F19"/>
    <mergeCell ref="I756:L756"/>
    <mergeCell ref="A758:E758"/>
    <mergeCell ref="H3:N3"/>
    <mergeCell ref="H4:N4"/>
    <mergeCell ref="H5:N5"/>
    <mergeCell ref="H6:N6"/>
    <mergeCell ref="H8:N8"/>
    <mergeCell ref="N18:N19"/>
    <mergeCell ref="A756:E756"/>
    <mergeCell ref="G18:G19"/>
    <mergeCell ref="H18:H19"/>
    <mergeCell ref="I18:I19"/>
    <mergeCell ref="J18:K18"/>
    <mergeCell ref="L18:L19"/>
    <mergeCell ref="M18:M19"/>
    <mergeCell ref="A18:A19"/>
    <mergeCell ref="B18:B19"/>
  </mergeCells>
  <printOptions horizontalCentered="1"/>
  <pageMargins left="0.19685039370078741" right="0.19685039370078741" top="1.1811023622047245" bottom="0.51181102362204722" header="0.31496062992125984" footer="0.31496062992125984"/>
  <pageSetup paperSize="9" scale="55" fitToHeight="76" orientation="landscape" verticalDpi="0" r:id="rId1"/>
  <headerFooter>
    <oddFooter>&amp;R&amp;"Times New Roman,обычный"&amp;12Сторінка &amp;P</oddFooter>
  </headerFooter>
  <rowBreaks count="1" manualBreakCount="1">
    <brk id="2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6 (с )</vt:lpstr>
      <vt:lpstr>'дод 6 (с )'!Заголовки_для_печати</vt:lpstr>
      <vt:lpstr>'дод 6 (с 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2020-06-26T10:30:16Z</cp:lastPrinted>
  <dcterms:created xsi:type="dcterms:W3CDTF">2018-10-18T06:20:50Z</dcterms:created>
  <dcterms:modified xsi:type="dcterms:W3CDTF">2020-06-26T10:33:40Z</dcterms:modified>
</cp:coreProperties>
</file>